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comments5.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2.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Introduction" state="visible" r:id="rId3"/>
    <sheet sheetId="2" name="Summary" state="visible" r:id="rId4"/>
    <sheet sheetId="3" name="Profile" state="visible" r:id="rId5"/>
    <sheet sheetId="4" name="Pattern" state="visible" r:id="rId6"/>
    <sheet sheetId="5" name="Materials" state="visible" r:id="rId7"/>
    <sheet sheetId="6" name="Dimension" state="visible" r:id="rId8"/>
    <sheet sheetId="7" name="Dimension Estimated Values" state="hidden" r:id="rId9"/>
  </sheets>
  <definedNames>
    <definedName name="Bar_Sample">Materials!$AY$9:$BP$35</definedName>
    <definedName name="Feature">Materials!$AE$12:$AW$40</definedName>
    <definedName name="Shape_Factor">Materials!$BU$4:$BX$18</definedName>
    <definedName name="Reach">Materials!$K$8:$AC$38</definedName>
    <definedName name="Riffle_Surface">Materials!$K$45:$AC$80</definedName>
    <definedName name="Largest_Di">Materials!$BR$4:$BR$13</definedName>
  </definedNames>
  <calcPr/>
</workbook>
</file>

<file path=xl/comments1.xml><?xml version="1.0" encoding="utf-8"?>
<comments xmlns="http://schemas.openxmlformats.org/spreadsheetml/2006/main">
  <authors>
    <author/>
  </authors>
  <commentList>
    <comment ref="C12" authorId="0">
      <text>
        <t xml:space="preserve">
1.  Select the tabs below, "Summary", Profile, Pattern, etc."  Enter data in the blue cells.
2.  Each page has basic instructions.  More information is in comments attached to pertinent cells. 
3.  Print portions of worksheets by blocking a section, select print then print selection. </t>
      </text>
    </comment>
    <comment ref="C14" authorId="0">
      <text>
        <t xml:space="preserve">
This spreadsheet can be used to enter and organize stream morphology data for a single channel reach.  It includes worksheets for channel cross section dimension, meander pattern, longitudinal slope profile and channel material.  Data are reduced to dimensionless ratios allowing comparison between channels.  
The methods and organization of this spreadsheet follow Dave Rosgen's "Reference Reach Field Book" (Wildland Hydrology, 1998) and USDA Forest Service General Technical Report RM-245, Stream Channel Reference Sites: An Illustrated Guide to Field Technique, 1994.
This spreadsheet is for data collected with a surveyor's level.  A separate spreadsheet is provided for data collected with a total station.</t>
      </text>
    </comment>
    <comment ref="C16" authorId="0">
      <text>
        <t xml:space="preserve">
Updates and support information may be downloaded from:
    Ohio Department of Natural Resources 
    Division of Soil and Water Conservation
    http://ohiodnr.com/soilandwater/streammorphology.htm
Questions and comments contact:
    Dan Mecklenburg
    dan.mecklenburg@dnr.state.oh.us
    </t>
      </text>
    </comment>
    <comment ref="C18" authorId="0">
      <text>
        <t xml:space="preserve">
Harrelson, Cheryl, C. Rawlins and John Potyondy. Stream Channel Reference Sites: An Illustrated Guide to Field Technique. Gen. Tech. Rep. RM-245. Fort Collins, CO: U.S. Forest Service, Rocky Mountain Forest and Range Experiment Station, 1994.
Knighton, David. Fluvial Forms &amp; Processes: A new Perspective. London: Arnold, 1998.
Kondolf, G. Mathias and Herve Piegay. Tools in Fluvial Geomorphology. West Sussex: John Wiley &amp; Sons Ltd, 2003.
Rosgen, David. Applied River Morphology. Pagosa Springs: Wildland Hydrology, 1996.
Rosgen, David. The Reference Reach Field Book. Fort Collins: Wildland Hydrology, 1998.
Thorne, Colin, Richard Hey and Malcolm Newson. Applied Fluvial Geomorphology for River Engineering and Management. West Sussex: John Wiley &amp; Sons Ltd, 1997.
</t>
      </text>
    </comment>
    <comment ref="C20" authorId="0">
      <text>
        <t xml:space="preserve">
The Reference Reach Spreadsheet (the "Spreadsheet") is copyrighted by Dan Mecklenburg, (“D.E.M.") and Ohio Department of Natural Resources ("ODNR").
The following terms apply to all files associated with the Spreadsheet.  Neither D.E.M. nor ODNR make any expressed or implied warranty.  In no event shall D.E.M. nor ODNR be liable to you or any third party for any damages arising from or relating to the spreadsheet, including, without limitation, any indirect, special or consequential damages or similar damages, including lost profits or lost data, even if D.E.M. or ODNR has been advised of the possibility of such damages.  The spreadsheet is provided "as is."  Neither D.E.M. nor ODNR have liability in contract, negligence or otherwise arising out of the spreadsheet. 
</t>
      </text>
    </comment>
  </commentList>
</comments>
</file>

<file path=xl/comments2.xml><?xml version="1.0" encoding="utf-8"?>
<comments xmlns="http://schemas.openxmlformats.org/spreadsheetml/2006/main">
  <authors>
    <author/>
  </authors>
  <commentList>
    <comment ref="E38" authorId="0">
      <text>
        <t xml:space="preserve">
Degrees or decimal degrees may be entered.
For example 40 degrees 30 minutes may be entered as 40.5 degrees.
 </t>
      </text>
    </comment>
    <comment ref="F38" authorId="0">
      <text>
        <t xml:space="preserve">
Minutes or decimal minutes may be entered.
 </t>
      </text>
    </comment>
    <comment ref="N62" authorId="0">
      <text>
        <t xml:space="preserve">
The Shield's parameter is a ratio of forces on a particle, shear stress acting in the down stream direction over the vertical effect of gravity.    It  is commonly assigned a value of 0.06 but often is in the range of 0.04 to 0.07.  
   t*=t / [(rs - r) g (D50/304.8)]
    t* = Shield's parameter, dimensionless
     t  = shear stress =rgRS  (lb/ft2)
     D50 =diameter sediment particle (mm)
     rs = density of sediment (5.15 slugs/cu.ft)
     r = density of water (1.94 slugs/cu.ft)
     g = gravitational acceleration (32.2 ft/s2)
If the Shield's parameter is assumed to be constant in stream reaches of similar character it can be useful for comparing streams of similar character but of slightly different size, slope and particle size.
For example in design a the Shield's parameter computed in the reference reach can be used to solve for slope in the design reach.
</t>
      </text>
    </comment>
    <comment ref="N78" authorId="0">
      <text>
        <t xml:space="preserve">
Pool-pool spacing is the distance between pools and must be measured from similar points in each pool such as the beginning of one to the beginning of the next.</t>
      </text>
    </comment>
    <comment ref="N83" authorId="0">
      <text>
        <t xml:space="preserve">
Channel slope is the "rise over run" for a reach approximately 20 - 30 bankfull channel widths in length, with the "riffle-to-riffle" water surface slope representing the gradient at bankfull stage.</t>
      </text>
    </comment>
    <comment ref="O83" authorId="0">
      <text>
        <t xml:space="preserve">
All ratios with channel slope as the denominator use this most representative channel slope, not the max and min to the right of this cell.
</t>
      </text>
    </comment>
    <comment ref="N89" authorId="0">
      <text>
        <t xml:space="preserve">
Valley slope = channel slope * sinuosity
from:
sinuosity = Lstream / Lvalley = Svalley / Sstream</t>
      </text>
    </comment>
  </commentList>
</comments>
</file>

<file path=xl/comments3.xml><?xml version="1.0" encoding="utf-8"?>
<comments xmlns="http://schemas.openxmlformats.org/spreadsheetml/2006/main">
  <authors>
    <author/>
  </authors>
  <commentList>
    <comment ref="F27" authorId="0">
      <text>
        <t xml:space="preserve">This cell is linked to the Dimension worksheet.  
</t>
      </text>
    </comment>
    <comment ref="D30" authorId="0">
      <text>
        <t xml:space="preserve">
Pool-pool spacing is the distance between pools and must be measured from similar points in each pool such as the beginning of one to the beginning of the next.</t>
      </text>
    </comment>
    <comment ref="D37" authorId="0">
      <text>
        <t xml:space="preserve">
Channel slope is the "rise over run" for a reach approximately 20 - 30 bankfull channel widths in length, with the "riffle-to-riffle" water surface slope representing the gradient at bankfull stage.</t>
      </text>
    </comment>
    <comment ref="E37" authorId="0">
      <text>
        <t xml:space="preserve">
All ratios with channel slope as the denominator use this most representative channel slope, not the max and min to the right of this cell.
</t>
      </text>
    </comment>
    <comment ref="BF37" authorId="0">
      <text>
        <t xml:space="preserve">
Slope between any two points can be calculated by entering their station and elevation.  Station and elevation values may be read from the profile graph by pointing to a data point.</t>
      </text>
    </comment>
    <comment ref="M39" authorId="0">
      <text>
        <t xml:space="preserve">Enter:
    R  for riffle
    P  for pool
    N for run
    G  for glide
at the upstream end of each feature.  
The end of each feature is taken to be where the next begins.  
Note that the last feature will not be counted unless you mark its end.  If the profile stops, for example, at  the top of a riffle, mark the last point with an "R".  If the survey ends in the middle of a feature, the length of the last feature is not known and will not be included.
</t>
      </text>
    </comment>
    <comment ref="R39" authorId="0">
      <text>
        <t xml:space="preserve">
The benchmark is the initial reference point of the survey.   
It is a fixed  point away from the channel often a large bolder, structure or stake.
An arbitrary elevation, such as 100 ft, is commonly  used.   If known, the elevation above mean sea level may be used.</t>
      </text>
    </comment>
    <comment ref="S41" authorId="0">
      <text>
        <t xml:space="preserve">
'Foresight bed' is a rod reading taken on the stream bed in the thalweg.
The elevation is found by subtracting the foresight rod reading from the height of the instrument.</t>
      </text>
    </comment>
    <comment ref="U41" authorId="0">
      <text>
        <t xml:space="preserve">
Foresight bankfull (BKF) is a rod reading taken on a bankfull indicator or feature.
The bankfull elevation is found by subtracting the foresight rod reading from the height of the instrument.</t>
      </text>
    </comment>
    <comment ref="V41" authorId="0">
      <text>
        <t xml:space="preserve">
Enter any additional feature surveyed such as floodplain, right and left bank, terrace or a second suspected bankfull feature.
The name filled in below is added to the chart legend.</t>
      </text>
    </comment>
    <comment ref="W41" authorId="0">
      <text>
        <t xml:space="preserve">
Enter any additional feature surveyed such as floodplain, right and left bank, terrace or a second suspected bankfull feature.
The name filled in below is added to the chart legend.</t>
      </text>
    </comment>
    <comment ref="X41" authorId="0">
      <text>
        <t xml:space="preserve">
Enter any additional feature surveyed such as floodplain, right and left bank, terrace or a second suspected bankfull feature.
The name filled in below is added to the chart legend.</t>
      </text>
    </comment>
    <comment ref="Y41" authorId="0">
      <text>
        <t xml:space="preserve">
Enter the bearing of each distance in degrees.
The first station should not have an AZ.  There is no distance and direction "to the first station. "The distance and direction "to the second station" should be entered with the second station.  </t>
      </text>
    </comment>
    <comment ref="L42" authorId="0">
      <text>
        <t xml:space="preserve">
At the points along the profile where cross sections were taken enter the number or name of the cross sections.  
This will link to the cross section sheet.</t>
      </text>
    </comment>
    <comment ref="N42" authorId="0">
      <text>
        <t xml:space="preserve">
Enter data collected either incrementally  from each point to the next or continuously from the starting point.
A station is the distance from one starting point measured down the bankfull channel centerline.  In very small streams stations may be recorded directly.  More commonly, the distance between each station is recorded as incremental distance then station values are obtained by adding incremental distances.
Note: No distance values are associated with turning points.  Leave the distance cell blank in the rows for both the foresight and backsight.</t>
      </text>
    </comment>
    <comment ref="P42" authorId="0">
      <text>
        <t xml:space="preserve"> 
Backsight (BS) is a rod reading taken on a point of known elevation.  
Only one backsight is taken for each setup of the instrument.
The instrument height is found by adding the backsight to the benchmark or turning point.</t>
      </text>
    </comment>
    <comment ref="Q42" authorId="0">
      <text>
        <t xml:space="preserve">
Height of Instrument (HI) is the level's elevation.  
It is found by adding the backsight rod reading to the elevation of a benchmark or turning point.</t>
      </text>
    </comment>
    <comment ref="R42" authorId="0">
      <text>
        <t xml:space="preserve">
Turning Point (TP) is a reliable point on which a rod reading will be taken before and after the instrument is moved.  Prior to moving the instrument a foresight is taken to establish the turning point's elevation.  After the instrument is moved a backsight is taken of the same turning point to establish the new height of the instrument.
Foresight (FS) is a rod reading taken on any point to determine its elevation.  A point's elevation is found by subtracting the foresight from the height of the instrument.
</t>
      </text>
    </comment>
    <comment ref="T42" authorId="0">
      <text>
        <t xml:space="preserve">
Depth of water is measured directly from the stream bed to the water surface.
The water surface elevation is found by adding the depth of water to the bed elevation.
If the water surface was recorded as foresight data it may be entered in the extra FS column provided.</t>
      </text>
    </comment>
    <comment ref="Y44" authorId="0">
      <text>
        <t xml:space="preserve">
AZ is the direction between two points.  The direction between the first and second station should be entered with the second station.  </t>
      </text>
    </comment>
    <comment ref="F61" authorId="0">
      <text>
        <t xml:space="preserve">This cell is linked to the Dimension worksheet.  
</t>
      </text>
    </comment>
    <comment ref="E62" authorId="0">
      <text>
        <t xml:space="preserve">
Pool-pool spacing is the distance between pools and must be measured from similar points in each pool such as the beginning of one to the beginning of the next.</t>
      </text>
    </comment>
    <comment ref="E67" authorId="0">
      <text>
        <t xml:space="preserve">
Channel slope is the "rise over run" for a reach approximately 20 - 30 bankfull channel widths in length, with the "riffle-to-riffle" water surface slope representing the gradient at bankfull stage.</t>
      </text>
    </comment>
    <comment ref="F67" authorId="0">
      <text>
        <t xml:space="preserve">
All ratios with channel slope as the denominator use this most representative channel slope, not the max and min to the right of this cell.
</t>
      </text>
    </comment>
    <comment ref="E73" authorId="0">
      <text>
        <t xml:space="preserve">
Valley slope = channel slope * sinuosity
from:
sinuosity = Lstream / Lvalley = Svalley / Sstream</t>
      </text>
    </comment>
  </commentList>
</comments>
</file>

<file path=xl/comments4.xml><?xml version="1.0" encoding="utf-8"?>
<comments xmlns="http://schemas.openxmlformats.org/spreadsheetml/2006/main">
  <authors>
    <author/>
  </authors>
  <commentList>
    <comment ref="E16" authorId="0">
      <text>
        <t xml:space="preserve">
Pattern values to be entered here may be obtained from aerial photos, GIS, topo maps or direct measurement.  Use topo maps cautiously as stream length is typically shown to be less than it actual is particularly on smaller streams.
If profile distance and azimuth data have been collected the plan form of the surveyed reach can be graphed here and may be used to help define the meander pattern.  Since azimuth is easily recorded while recording profile data it is entered on the profile worksheet.
The graph's X and Y axis scales must match each other or the pattern will be distorted.  The graph may need to be adjusted along with your printer setup.</t>
      </text>
    </comment>
    <comment ref="D19" authorId="0">
      <text>
        <t xml:space="preserve">
"Meander Length" is the distance straight down the valley of one complete meander wave form.</t>
      </text>
    </comment>
    <comment ref="D23" authorId="0">
      <text>
        <t xml:space="preserve">
"Belt Width" is the extension of meanders laterally across a valley.  It is the width that would contain the entire meander pattern.  
Beltwidth is on a reach scale where amplitude is on an individual meander scale.</t>
      </text>
    </comment>
    <comment ref="D25" authorId="0">
      <text>
        <t xml:space="preserve">
"Amplitude" is the width of a meander pattern measured from the channel centerline.
Amplitude is measured on an individual meander scale where beltwidth is on a stream reach scale.</t>
      </text>
    </comment>
    <comment ref="D29" authorId="0">
      <text>
        <t xml:space="preserve">
"Radius of Curvature" is measured to a bend's centerline of the bankfull channel.
It can be measured directly by finding a pivot point to the channel's centerline, aerial photography or by measuring a cord length and middle ordinate (see Radius Calculator.)
</t>
      </text>
    </comment>
    <comment ref="D31" authorId="0">
      <text>
        <t xml:space="preserve">
"Arc Angle" in degrees is measured between the radius at the start and end of a bend.
Arc angle is related to "Arc Length" as:
  Arc Length = .0175 * (arc angle) * (radius) </t>
      </text>
    </comment>
    <comment ref="D35" authorId="0">
      <text>
        <t xml:space="preserve">
Find "Stream Length" from aerial photography or measure it the pattern graphed from this sheet (but don't use USGS topographic maps as they typically under represent stream length.)  Measure at least two meander lengths and related straight line valley length.</t>
      </text>
    </comment>
    <comment ref="D37" authorId="0">
      <text>
        <t xml:space="preserve">
Measure straight line "Valley Length" to the same start and end points of the measured stream length.</t>
      </text>
    </comment>
    <comment ref="D40" authorId="0">
      <text>
        <t xml:space="preserve">
Water depth can be represented on the channel plan form graph as vertical lines.  
The scale of water depth will be exaggerated by the number entered.  
Remove lines by entering "0".</t>
      </text>
    </comment>
    <comment ref="D42" authorId="0">
      <text>
        <t xml:space="preserve">
Bankfull width must be entered on the dimension sheet (in the riffle summary section).
The banks shown here are simply 1/2 the bankfull width perpendicular to each centerline data point.
</t>
      </text>
    </comment>
    <comment ref="F63" authorId="0">
      <text>
        <t xml:space="preserve">
This cell is linked to the Dimension worksheet.  </t>
      </text>
    </comment>
    <comment ref="E64" authorId="0">
      <text>
        <t xml:space="preserve">
"Meander Length" is the distance straight down the valley of one complete meander wave form.</t>
      </text>
    </comment>
    <comment ref="E65" authorId="0">
      <text>
        <t xml:space="preserve">
"Belt Width" is the extension of meanders laterally across a valley.  It is the width that would contain the entire meander pattern.  
Beltwidth is on a reach scale where amplitude is on an individual meander scale.</t>
      </text>
    </comment>
    <comment ref="E66" authorId="0">
      <text>
        <t xml:space="preserve">
"Amplitude" is the width of a meander pattern measured from the channel centerline.
Amplitude is measured on an individual meander scale where beltwidth is on a stream reach scale.</t>
      </text>
    </comment>
    <comment ref="E67" authorId="0">
      <text>
        <t xml:space="preserve">
"Radius of Curvature" is measured to a bend's centerline of the bankfull channel.
It can be measured directly by finding a pivot point to the channel's centerline, aerial photography or by measuring a cord length and middle ordinate (see Radius Calculator.)
</t>
      </text>
    </comment>
    <comment ref="E68" authorId="0">
      <text>
        <t xml:space="preserve">
"Arc Angle" in degrees is measured between the radius at the start and end of a bend.
Arc angle is related to "Arc Length" as:
  Arc Length = .0175 * (arc angle) * (radius) </t>
      </text>
    </comment>
    <comment ref="E69" authorId="0">
      <text>
        <t xml:space="preserve">
Find "Stream Length" from aerial photography or measure it the pattern graphed from this sheet (but don't use USGS topographic maps as they typically under represent stream length.)  Measure at least two meander lengths and related straight line valley length.</t>
      </text>
    </comment>
    <comment ref="E70" authorId="0">
      <text>
        <t xml:space="preserve">
Measure straight line "Valley Length" to the same start and end points of the measured stream length.</t>
      </text>
    </comment>
    <comment ref="E71" authorId="0">
      <text>
        <t xml:space="preserve">
"Sinuosity" is the ratio of stream length divided by valley length.
The values in the two cells above are used if entered, if not the valley distance is assumed to be a straight line from the first station to the last as shown on the meander pattern graph.</t>
      </text>
    </comment>
    <comment ref="E72" authorId="0">
      <text>
        <t xml:space="preserve">
The "Meander Length Ratio" is meander length divided by bankfull width.</t>
      </text>
    </comment>
    <comment ref="E73" authorId="0">
      <text>
        <t xml:space="preserve">
The "Meander Width Ratio" is "belt width" divided by "bankfull width."</t>
      </text>
    </comment>
    <comment ref="E74" authorId="0">
      <text>
        <t xml:space="preserve">
The "Radius Ratio" is radius of curvature divided by bankfull width.</t>
      </text>
    </comment>
  </commentList>
</comments>
</file>

<file path=xl/comments5.xml><?xml version="1.0" encoding="utf-8"?>
<comments xmlns="http://schemas.openxmlformats.org/spreadsheetml/2006/main">
  <authors>
    <author/>
  </authors>
  <commentList>
    <comment ref="BS4" authorId="0">
      <text>
        <t xml:space="preserve">
This is the intermediate axis of the largest size particle routinely moved by channel forming flows. Two techniques for determining it are locating the largest particles on the top of  a point bar or on the trailing edge of the point bar.  Also, the single largest may be used or the average of the largest three or five.
</t>
      </text>
    </comment>
    <comment ref="BX4" authorId="0">
      <text>
        <t xml:space="preserve">
Shape factor refers to the form of a particle, for example its roundness or flatness.
Sp = c/(ab)^0.5
   where
   a = long axis
   b = intermediate axis
   c = short axis  </t>
      </text>
    </comment>
    <comment ref="N10" authorId="0">
      <text>
        <t xml:space="preserve">
The scale is a commonly used and practical modified  "half-phi scale."  The increments are half-phi (2^(n/2) through the range of fine gravel to small boulders.  Finer, harder to distinguish grains have the phi-scale (2^n).</t>
      </text>
    </comment>
    <comment ref="T36" authorId="0">
      <text>
        <t xml:space="preserve">Based on particle count only.</t>
      </text>
    </comment>
    <comment ref="W37" authorId="0">
      <text>
        <t xml:space="preserve">
The geometric mean 
Dg = (d16*d84)^.5
 (Kondolf, 2003)</t>
      </text>
    </comment>
    <comment ref="W38"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W39" authorId="0">
      <text>
        <t xml:space="preserve">
Geometric skewness coefficient  
sk = log(geometric mean/D50)/log(geometric sorting coefficient)
It refers to the degree the distribution is skewed from a lognormal distribution.
 (Kondolf, 2003)
</t>
      </text>
    </comment>
    <comment ref="AQ40" authorId="0">
      <text>
        <t xml:space="preserve">
The geometric mean 
Dg = (d16*d84)^.5
 (Kondolf, 2003)</t>
      </text>
    </comment>
    <comment ref="AQ41"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AQ42" authorId="0">
      <text>
        <t xml:space="preserve">
Geometric skewness coefficient  
sk = log(geometric mean/D50)/log(geometric sorting coefficient)
It refers to the degree the distribution is skewed from a lognormal distribution.
 (Kondolf, 2003)
</t>
      </text>
    </comment>
    <comment ref="N47" authorId="0">
      <text>
        <t xml:space="preserve">
The scale is a commonly used and practical modified  "half-phi scale."  The increments are half-phi (2^(n/2) through the range of fine gravel to small boulders.  Finer, harder to distinguish grains have the phi-scale (2^n).</t>
      </text>
    </comment>
    <comment ref="D54" authorId="0">
      <text>
        <t xml:space="preserve">
The geometric mean 
Dg = (d16*d84)^.5
 (Kondolf, 2003)</t>
      </text>
    </comment>
    <comment ref="D55"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D56" authorId="0">
      <text>
        <t xml:space="preserve">
Geometric skewness coefficient  
sk = log(geometric mean/D50)/log(geometric sorting coefficient)
It refers to the degree the distribution is skewed from a lognormal distribution.
 (Kondolf, 2003)
</t>
      </text>
    </comment>
    <comment ref="W74" authorId="0">
      <text>
        <t xml:space="preserve">
The geometric mean 
Dg = (d16*d84)^.5
 (Kondolf, 2003)</t>
      </text>
    </comment>
    <comment ref="W75"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W76" authorId="0">
      <text>
        <t xml:space="preserve">
Geometric skewness coefficient  
sk = log(geometric mean/D50)/log(geometric sorting coefficient)
It refers to the degree the distribution is skewed from a lognormal distribution.
 (Kondolf, 2003)
</t>
      </text>
    </comment>
    <comment ref="AQ76" authorId="0">
      <text>
        <t xml:space="preserve">
The geometric mean 
Dg = (d16*d84)^.5
 (Otto 1939)</t>
      </text>
    </comment>
    <comment ref="AQ77" authorId="0">
      <text>
        <t xml:space="preserve">
Geometric sorting coefficient (Otto 1939)
sg = (d84/d16)^0.5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AQ78" authorId="0">
      <text>
        <t xml:space="preserve">
Geometric skewness coefficient (Lnman 1952)
sk = log(geometric mean/D50)/log(geometric sorting coefficient)
It refers to the degree the distribution is skewed from a lognormal distribution.
</t>
      </text>
    </comment>
    <comment ref="AQ112" authorId="0">
      <text>
        <t xml:space="preserve">
The geometric mean 
Dg = (d16*d84)^.5
 (Kondolf, 2003)</t>
      </text>
    </comment>
    <comment ref="AQ113"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AQ114" authorId="0">
      <text>
        <t xml:space="preserve">
Geometric skewness coefficient  
sk = log(geometric mean/D50)/log(geometric sorting coefficient)
It refers to the degree the distribution is skewed from a lognormal distribution.
 (Kondolf, 2003)
</t>
      </text>
    </comment>
    <comment ref="AQ148" authorId="0">
      <text>
        <t xml:space="preserve">
The geometric mean 
Dg = (d16*d84)^.5
 (Kondolf, 2003)</t>
      </text>
    </comment>
    <comment ref="AQ149"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AQ150" authorId="0">
      <text>
        <t xml:space="preserve">
Geometric skewness coefficient  
sk = log(geometric mean/D50)/log(geometric sorting coefficient)
It refers to the degree the distribution is skewed from a lognormal distribution.
 (Kondolf, 2003)
</t>
      </text>
    </comment>
    <comment ref="AQ184" authorId="0">
      <text>
        <t xml:space="preserve">
The geometric mean 
Dg = (d16*d84)^.5
 (Kondolf, 2003)</t>
      </text>
    </comment>
    <comment ref="AQ185" authorId="0">
      <text>
        <t xml:space="preserve">
Geometric sorting coefficient  
sg = (d84/d16)^0.5
                             (Kondolf, 2003)
Sorting referees to the degree of concentration or dispersion of size among particles.  A value of 1 is uniform size (no dispersion).  Values increase as dispersion increases.
Another similar descriptor (not calculated) is the gradation coefficient
G = 1/2(d84/d50 + d50/d16)
</t>
      </text>
    </comment>
    <comment ref="AQ186" authorId="0">
      <text>
        <t xml:space="preserve">
Geometric skewness coefficient  
sk = log(geometric mean/D50)/log(geometric sorting coefficient)
It refers to the degree the distribution is skewed from a lognormal distribution.
 (Kondolf, 2003)
</t>
      </text>
    </comment>
  </commentList>
</comments>
</file>

<file path=xl/comments6.xml><?xml version="1.0" encoding="utf-8"?>
<comments xmlns="http://schemas.openxmlformats.org/spreadsheetml/2006/main">
  <authors>
    <author/>
  </authors>
  <commentList>
    <comment ref="D23" authorId="0">
      <text>
        <t xml:space="preserve">Slope from profile sheet 
Unless this value is entered on the profile sheet it is the slope between the first and last stations.  </t>
      </text>
    </comment>
    <comment ref="L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P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T26" authorId="0">
      <text>
        <t xml:space="preserve">
(This cell is linked to the Materials Worksheet.  Fill out the Materials Worksheet to get a value to appear here.)
D50 = measured particle size where 50% of the particles are this size or smaller</t>
      </text>
    </comment>
    <comment ref="AJ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AN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AR26" authorId="0">
      <text>
        <t xml:space="preserve">
(This cell is linked to the Materials Worksheet.  Fill out the Materials Worksheet to get a value to appear here.)
D50 = measured particle size where 50% of the particles are this size or smaller</t>
      </text>
    </comment>
    <comment ref="BH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BL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BP26" authorId="0">
      <text>
        <t xml:space="preserve">
(This cell is linked to the Materials Worksheet.  Fill out the Materials Worksheet to get a value to appear here.)
D50 = measured particle size where 50% of the particles are this size or smaller</t>
      </text>
    </comment>
    <comment ref="CF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CJ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CN26" authorId="0">
      <text>
        <t xml:space="preserve">
(This cell is linked to the Materials Worksheet.  Fill out the Materials Worksheet to get a value to appear here.)
D50 = measured particle size where 50% of the particles are this size or smaller</t>
      </text>
    </comment>
    <comment ref="DD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DH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DL26" authorId="0">
      <text>
        <t xml:space="preserve">
(This cell is linked to the Materials Worksheet.  Fill out the Materials Worksheet to get a value to appear here.)
D50 = measured particle size where 50% of the particles are this size or smaller</t>
      </text>
    </comment>
    <comment ref="EB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EF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EJ26" authorId="0">
      <text>
        <t xml:space="preserve">
(This cell is linked to the Materials Worksheet.  Fill out the Materials Worksheet to get a value to appear here.)
D50 = measured particle size where 50% of the particles are this size or smaller</t>
      </text>
    </comment>
    <comment ref="EZ26" authorId="0">
      <text>
        <t xml:space="preserve">
This is the area of the stream channel cross-section, at bankfull stage.  
It is the "Bankfull Cross Section Area" (Abf) only if in a riffle section.
Please Note: In this spreadsheet the entire cross section lower than the bankfull stage is used to calculate bankfull area, bankfull width, and wetted perimeter.  If a cross section includes low areas that are not part of the channel use the "Omit Bkf" column below to exclude these areas.</t>
      </text>
    </comment>
    <comment ref="FD26"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t>
      </text>
    </comment>
    <comment ref="FH26" authorId="0">
      <text>
        <t xml:space="preserve">
(This cell is linked to the Materials Worksheet.  Fill out the Materials Worksheet to get a value to appear here.)
D50 = measured particle size where 50% of the particles are this size or smaller</t>
      </text>
    </comment>
    <comment ref="L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P27" authorId="0">
      <text>
        <t xml:space="preserve">
The entrenchment ratio is the flood prone width divided by the bankfull width.
The flood prone width is the flooded width at a stage twice max depth (in a riffle section).</t>
      </text>
    </comment>
    <comment ref="AJ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AN27" authorId="0">
      <text>
        <t xml:space="preserve">
The entrenchment ratio is the flood prone width divided by the bankfull width.
The flood prone width is the flooded width at a stage twice max depth (in a riffle section).</t>
      </text>
    </comment>
    <comment ref="BH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BL27" authorId="0">
      <text>
        <t xml:space="preserve">
The entrenchment ratio is the flood prone width divided by the bankfull width.
The flood prone width is the flooded width at a stage twice max depth (in a riffle section).</t>
      </text>
    </comment>
    <comment ref="CF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CJ27" authorId="0">
      <text>
        <t xml:space="preserve">
The entrenchment ratio is the flood prone width divided by the bankfull width.
The flood prone width is the flooded width at a stage twice max depth (in a riffle section).</t>
      </text>
    </comment>
    <comment ref="DD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DH27" authorId="0">
      <text>
        <t xml:space="preserve">
The entrenchment ratio is the flood prone width divided by the bankfull width.
The flood prone width is the flooded width at a stage twice max depth (in a riffle section).</t>
      </text>
    </comment>
    <comment ref="EB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EF27" authorId="0">
      <text>
        <t xml:space="preserve">
The entrenchment ratio is the flood prone width divided by the bankfull width.
The flood prone width is the flooded width at a stage twice max depth (in a riffle section).</t>
      </text>
    </comment>
    <comment ref="EZ27" authorId="0">
      <text>
        <t xml:space="preserve">. 
This is the width of the stream channel at bankfull stage.  
It is the "Bankfull Width" (Wbf) only if in a riffle section.  
Please Note: Everything below the bankfull stage is used to calculate bankfull area, bankfull width, and wetted perimeter.  If a cross section includes low areas that are not part of the channel use the "Omit Bkf" column below to exclude these areas.</t>
      </text>
    </comment>
    <comment ref="FD27" authorId="0">
      <text>
        <t xml:space="preserve">
The entrenchment ratio is the flood prone width divided by the bankfull width.
The flood prone width is the flooded width at a stage twice max depth (in a riffle section).</t>
      </text>
    </comment>
    <comment ref="L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P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T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AJ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AN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AR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BH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BL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BP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CF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CJ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CN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DD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DH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DL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EB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EF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EJ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EZ28" authorId="0">
      <text>
        <t xml:space="preserve">
Mean Depth (ft) = A / W
A = cross section area (sq.ft.) or (sq.m.)
W = width at bankfull stage (ft) or (m)
This is the area of the stream channel cross-section, at bankfull stage.  
This is the "Bankfull Cross Section Area" (Abf) only if in a riffle section.  </t>
      </text>
    </comment>
    <comment ref="FD28" authorId="0">
      <text>
        <t xml:space="preserve">
This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FH28" authorId="0">
      <text>
        <t xml:space="preserve">
This is the size particle predicted to be at "the threshold of motion" with the calculated shear stress.  In gravel-bed streams flowing at bankfull the particle size at bankfull is often similar to the D50 of surface mobile bed material.  
It is found using Shields' equation:
   Ds=t / ((rs - r) g 0.06)(304.8)
     Ds=diameter sediment particle (mm)
     Conversion Constant 304.8 mm/ft or 1000 mm/m
     t=shear stress (lb/ft2)  (N/m2)
     rs=density of sediment (5.15 slugs/ft3) or (2560 kg/m3)
     r=density of water (1.94 slugs/ft3) (1000 kg/m3)
     g=gravitational acceleration (32.2 ft/s2) (9.81 m/s2)
     0.06 = Shield's parameter
Shields' parameter is typically assigned a value in the range of 0.04 to 0.07 or +50% to -14% of the size found using 0.06.</t>
      </text>
    </comment>
    <comment ref="L29" authorId="0">
      <text>
        <t xml:space="preserve">
This is the maximum depth of flow  at bankfull stage.  
</t>
      </text>
    </comment>
    <comment ref="P29" authorId="0">
      <text>
        <t xml:space="preserve">
The "Bank Height Ratio" is bank height divided by  "Max Depth"  of the bankfull channel. 
</t>
      </text>
    </comment>
    <comment ref="AJ29" authorId="0">
      <text>
        <t xml:space="preserve">
This is the maximum depth of flow  at bankfull stage.  
</t>
      </text>
    </comment>
    <comment ref="AN29" authorId="0">
      <text>
        <t xml:space="preserve">
The "Bank Height Ratio" is bank height divided by  "Max Depth"  of the bankfull channel. 
</t>
      </text>
    </comment>
    <comment ref="BH29" authorId="0">
      <text>
        <t xml:space="preserve">
This is the maximum depth of flow  at bankfull stage.  
</t>
      </text>
    </comment>
    <comment ref="BL29" authorId="0">
      <text>
        <t xml:space="preserve">
The "Bank Height Ratio" is bank height divided by  "Max Depth"  of the bankfull channel. 
</t>
      </text>
    </comment>
    <comment ref="CF29" authorId="0">
      <text>
        <t xml:space="preserve">
This is the maximum depth of flow  at bankfull stage.  
</t>
      </text>
    </comment>
    <comment ref="CJ29" authorId="0">
      <text>
        <t xml:space="preserve">
The "Bank Height Ratio" is bank height divided by  "Max Depth"  of the bankfull channel. 
</t>
      </text>
    </comment>
    <comment ref="DD29" authorId="0">
      <text>
        <t xml:space="preserve">
This is the maximum depth of flow  at bankfull stage.  
</t>
      </text>
    </comment>
    <comment ref="DH29" authorId="0">
      <text>
        <t xml:space="preserve">
The "Bank Height Ratio" is bank height divided by  "Max Depth"  of the bankfull channel. 
</t>
      </text>
    </comment>
    <comment ref="EB29" authorId="0">
      <text>
        <t xml:space="preserve">
This is the maximum depth of flow  at bankfull stage.  
</t>
      </text>
    </comment>
    <comment ref="EF29" authorId="0">
      <text>
        <t xml:space="preserve">
The "Bank Height Ratio" is bank height divided by  "Max Depth"  of the bankfull channel. 
</t>
      </text>
    </comment>
    <comment ref="EZ29" authorId="0">
      <text>
        <t xml:space="preserve">
This is the maximum depth of flow  at bankfull stage.  
</t>
      </text>
    </comment>
    <comment ref="FD29" authorId="0">
      <text>
        <t xml:space="preserve">
The "Bank Height Ratio" is bank height divided by  "Max Depth"  of the bankfull channel. 
</t>
      </text>
    </comment>
    <comment ref="L30" authorId="0">
      <text>
        <t xml:space="preserve">
Wetted Perimeter (ft) or (m) is the perimeter of the channel cross section formed by the bed and banks.</t>
      </text>
    </comment>
    <comment ref="AJ30" authorId="0">
      <text>
        <t xml:space="preserve">
Wetted Perimeter (ft) or (m) is the perimeter of the channel cross section formed by the bed and banks.</t>
      </text>
    </comment>
    <comment ref="BH30" authorId="0">
      <text>
        <t xml:space="preserve">
Wetted Perimeter (ft) or (m) is the perimeter of the channel cross section formed by the bed and banks.</t>
      </text>
    </comment>
    <comment ref="CF30" authorId="0">
      <text>
        <t xml:space="preserve">
Wetted Perimeter (ft) or (m) is the perimeter of the channel cross section formed by the bed and banks.</t>
      </text>
    </comment>
    <comment ref="DD30" authorId="0">
      <text>
        <t xml:space="preserve">
Wetted Perimeter (ft) or (m) is the perimeter of the channel cross section formed by the bed and banks.</t>
      </text>
    </comment>
    <comment ref="EB30" authorId="0">
      <text>
        <t xml:space="preserve">
Wetted Perimeter (ft) or (m) is the perimeter of the channel cross section formed by the bed and banks.</t>
      </text>
    </comment>
    <comment ref="EZ30" authorId="0">
      <text>
        <t xml:space="preserve">
Wetted Perimeter (ft) or (m) is the perimeter of the channel cross section formed by the bed and banks.</t>
      </text>
    </comment>
    <comment ref="L31" authorId="0">
      <text>
        <t xml:space="preserve">
Hydraulic Radius (ft) or (m) = A / P
A = cross sectional area (ft2) or (m2)
P = wetted perimeter (ft) or (m)
</t>
      </text>
    </comment>
    <comment ref="AJ31" authorId="0">
      <text>
        <t xml:space="preserve">
Hydraulic Radius (ft) or (m) = A / P
A = cross sectional area (ft2) or (m2)
P = wetted perimeter (ft) or (m)
</t>
      </text>
    </comment>
    <comment ref="BH31" authorId="0">
      <text>
        <t xml:space="preserve">
Hydraulic Radius (ft) or (m) = A / P
A = cross sectional area (ft2) or (m2)
P = wetted perimeter (ft) or (m)
</t>
      </text>
    </comment>
    <comment ref="CF31" authorId="0">
      <text>
        <t xml:space="preserve">
Hydraulic Radius (ft) or (m) = A / P
A = cross sectional area (ft2) or (m2)
P = wetted perimeter (ft) or (m)
</t>
      </text>
    </comment>
    <comment ref="DD31" authorId="0">
      <text>
        <t xml:space="preserve">
Hydraulic Radius (ft) or (m) = A / P
A = cross sectional area (ft2) or (m2)
P = wetted perimeter (ft) or (m)
</t>
      </text>
    </comment>
    <comment ref="EB31" authorId="0">
      <text>
        <t xml:space="preserve">
Hydraulic Radius (ft) or (m) = A / P
A = cross sectional area (ft2) or (m2)
P = wetted perimeter (ft) or (m)
</t>
      </text>
    </comment>
    <comment ref="EZ31" authorId="0">
      <text>
        <t xml:space="preserve">
Hydraulic Radius (ft) or (m) = A / P
A = cross sectional area (ft2) or (m2)
P = wetted perimeter (ft) or (m)
</t>
      </text>
    </comment>
    <comment ref="L32" authorId="0">
      <text>
        <t xml:space="preserve">
The width-to-depth ratio is the channel width at bankfull stage divided by the MEAN depth.
"The width-to-depth ratio" used for classification is only from a riffle or straight section.  
</t>
      </text>
    </comment>
    <comment ref="AJ32" authorId="0">
      <text>
        <t xml:space="preserve">
The width-to-depth ratio is the channel width at bankfull stage divided by the MEAN depth.
"The width-to-depth ratio" used for classification is only from a riffle or straight section.  
</t>
      </text>
    </comment>
    <comment ref="BH32" authorId="0">
      <text>
        <t xml:space="preserve">
The width-to-depth ratio is the channel width at bankfull stage divided by the MEAN depth.
"The width-to-depth ratio" used for classification is only from a riffle or straight section.  
</t>
      </text>
    </comment>
    <comment ref="CF32" authorId="0">
      <text>
        <t xml:space="preserve">
The width-to-depth ratio is the channel width at bankfull stage divided by the MEAN depth.
"The width-to-depth ratio" used for classification is only from a riffle or straight section.  
</t>
      </text>
    </comment>
    <comment ref="DD32" authorId="0">
      <text>
        <t xml:space="preserve">
The width-to-depth ratio is the channel width at bankfull stage divided by the MEAN depth.
"The width-to-depth ratio" used for classification is only from a riffle or straight section.  
</t>
      </text>
    </comment>
    <comment ref="EB32" authorId="0">
      <text>
        <t xml:space="preserve">
The width-to-depth ratio is the channel width at bankfull stage divided by the MEAN depth.
"The width-to-depth ratio" used for classification is only from a riffle or straight section.  
</t>
      </text>
    </comment>
    <comment ref="EZ32" authorId="0">
      <text>
        <t xml:space="preserve">
The width-to-depth ratio is the channel width at bankfull stage divided by the MEAN depth.
"The width-to-depth ratio" used for classification is only from a riffle or straight section.  
</t>
      </text>
    </comment>
    <comment ref="L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P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T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AJ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AN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AR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BH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BL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BP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CF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CJ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CN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DD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DH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DL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EB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EF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EJ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EZ35" authorId="0">
      <text>
        <t xml:space="preserve">Velocity is the mean channel velocity estimated with the Manning's Equation:
  Velocity (V) = 1.49 * R2/3 * (S/100) 1/2 / n
or
D'Arcy-Weisbach Equation:
  V=(8gRS/f)0.5
  Constant = 1.49 in English units or 1 in SI   
  R = hydraulic radius = area / wetted perimeter
  S = slope (%)
  n = Manning's Roughness Coefficient
  f = D'Arcy-Weisbach friction factor
where n and f are related as:
   (8/f)1/2   = R1/6/(ng1/2)
 </t>
      </text>
    </comment>
    <comment ref="FD35" authorId="0">
      <text>
        <t xml:space="preserve">
Manning's Roughness Coefficient
The Manning's  equation has a resistance variable referred to as the Manning's roughness coefficient, "n". 
V = 1.49  R 2/3 S 1/2/n
   where:
       V=velocity (ft/s) or (m/s)
       R=hydraulic radius (ft) or (m)
       S=slope (ft/ft) or (m/m)
If this value has not been entered then it has been estimated as described in the comments under "Flow Resistance" below.  Also see "resistance factor (u/u*) immediately below.</t>
      </text>
    </comment>
    <comment ref="FH35"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L36" authorId="0">
      <text>
        <t xml:space="preserve">
Discharge (Q) = V A
V = velocity (f/s) or (m/s)
A = cross section area (ft2) or (m2)</t>
      </text>
    </comment>
    <comment ref="P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T36" authorId="0">
      <text>
        <t xml:space="preserve">
Shear Stress = 62.4 * R * S  (lb/ft2) or (N/m2)
specific weight of water = 62.4 lbs/ft3 or (1000 kg/m3)(9.81 m/s2)
R = hydraulic radius (ft) or (m) = area / wetted perimeter
S = slope (ft/ft) or (m/m)</t>
      </text>
    </comment>
    <comment ref="AJ36" authorId="0">
      <text>
        <t xml:space="preserve">
Discharge (Q) = V A
V = velocity (f/s) or (m/s)
A = cross section area (ft2) or (m2)</t>
      </text>
    </comment>
    <comment ref="AN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AR36" authorId="0">
      <text>
        <t xml:space="preserve">
Shear Stress = 62.4 * R * S  (lb/ft2) or (N/m2)
specific weight of water = 62.4 lbs/ft3 or (1000 kg/m3)(9.81 m/s2)
R = hydraulic radius (ft) or (m) = area / wetted perimeter
S = slope (ft/ft) or (m/m)</t>
      </text>
    </comment>
    <comment ref="BH36" authorId="0">
      <text>
        <t xml:space="preserve">
Discharge (Q) = V A
V = velocity (f/s) or (m/s)
A = cross section area (ft2) or (m2)</t>
      </text>
    </comment>
    <comment ref="BL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BP36" authorId="0">
      <text>
        <t xml:space="preserve">
Shear Stress = 62.4 * R * S  (lb/ft2) or (N/m2)
specific weight of water = 62.4 lbs/ft3 or (1000 kg/m3)(9.81 m/s2)
R = hydraulic radius (ft) or (m) = area / wetted perimeter
S = slope (ft/ft) or (m/m)</t>
      </text>
    </comment>
    <comment ref="CF36" authorId="0">
      <text>
        <t xml:space="preserve">
Discharge (Q) = V A
V = velocity (f/s) or (m/s)
A = cross section area (ft2) or (m2)</t>
      </text>
    </comment>
    <comment ref="CJ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CN36" authorId="0">
      <text>
        <t xml:space="preserve">
Shear Stress = 62.4 * R * S  (lb/ft2) or (N/m2)
specific weight of water = 62.4 lbs/ft3 or (1000 kg/m3)(9.81 m/s2)
R = hydraulic radius (ft) or (m) = area / wetted perimeter
S = slope (ft/ft) or (m/m)</t>
      </text>
    </comment>
    <comment ref="DD36" authorId="0">
      <text>
        <t xml:space="preserve">
Discharge (Q) = V A
V = velocity (f/s) or (m/s)
A = cross section area (ft2) or (m2)</t>
      </text>
    </comment>
    <comment ref="DH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DL36" authorId="0">
      <text>
        <t xml:space="preserve">
Shear Stress = 62.4 * R * S  (lb/ft2) or (N/m2)
specific weight of water = 62.4 lbs/ft3 or (1000 kg/m3)(9.81 m/s2)
R = hydraulic radius (ft) or (m) = area / wetted perimeter
S = slope (ft/ft) or (m/m)</t>
      </text>
    </comment>
    <comment ref="EB36" authorId="0">
      <text>
        <t xml:space="preserve">
Discharge (Q) = V A
V = velocity (f/s) or (m/s)
A = cross section area (ft2) or (m2)</t>
      </text>
    </comment>
    <comment ref="EF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EJ36" authorId="0">
      <text>
        <t xml:space="preserve">
Shear Stress = 62.4 * R * S  (lb/ft2) or (N/m2)
specific weight of water = 62.4 lbs/ft3 or (1000 kg/m3)(9.81 m/s2)
R = hydraulic radius (ft) or (m) = area / wetted perimeter
S = slope (ft/ft) or (m/m)</t>
      </text>
    </comment>
    <comment ref="EZ36" authorId="0">
      <text>
        <t xml:space="preserve">
Discharge (Q) = V A
V = velocity (f/s) or (m/s)
A = cross section area (ft2) or (m2)</t>
      </text>
    </comment>
    <comment ref="FD36" authorId="0">
      <text>
        <t xml:space="preserve">
D'Arcy -Weisbach equation has a resistance variable referred to as the D'Arcy-Weisbach  friction factor, "f".  This equation is more theoretically based than Manning's equation but less commonly used.
V=(8 g R S / f)1/2
   where:
        V=velocity (ft/s) or (m/s)
       g=gravitational acceleration 32.2 ft/s2 or 9.81 m/s2
       R=hydraulic radius (ft) or (m)
       S=slope (ft/ft) or (m/m)
If this value has not been entered then it has been estimated as described in the comments under "Flow Resistance" below.  Also see "resistance factor (u/u*) immediately below.</t>
      </text>
    </comment>
    <comment ref="FH36" authorId="0">
      <text>
        <t xml:space="preserve">
Shear Stress = 62.4 * R * S  (lb/ft2) or (N/m2)
specific weight of water = 62.4 lbs/ft3 or (1000 kg/m3)(9.81 m/s2)
R = hydraulic radius (ft) or (m) = area / wetted perimeter
S = slope (ft/ft) or (m/m)</t>
      </text>
    </comment>
    <comment ref="L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P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T37" authorId="0">
      <text>
        <t xml:space="preserve">
Shear Velocity = (32.2 * R * S)1/2 
gravitational acceleration 32.2 ft/s2 or 9.81 m/s2
R = hydraulic radius (ft)  (m) = area / wetted perimeter
S = slope (ft/ft) or (m/m)
</t>
      </text>
    </comment>
    <comment ref="AJ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AN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AR37" authorId="0">
      <text>
        <t xml:space="preserve">
Shear Velocity = (32.2 * R * S)1/2 
gravitational acceleration 32.2 ft/s2 or 9.81 m/s2
R = hydraulic radius (ft)  (m) = area / wetted perimeter
S = slope (ft/ft) or (m/m)
</t>
      </text>
    </comment>
    <comment ref="BH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BL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BP37" authorId="0">
      <text>
        <t xml:space="preserve">
Shear Velocity = (32.2 * R * S)1/2 
gravitational acceleration 32.2 ft/s2 or 9.81 m/s2
R = hydraulic radius (ft)  (m) = area / wetted perimeter
S = slope (ft/ft) or (m/m)
</t>
      </text>
    </comment>
    <comment ref="CF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CJ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CN37" authorId="0">
      <text>
        <t xml:space="preserve">
Shear Velocity = (32.2 * R * S)1/2 
gravitational acceleration 32.2 ft/s2 or 9.81 m/s2
R = hydraulic radius (ft)  (m) = area / wetted perimeter
S = slope (ft/ft) or (m/m)
</t>
      </text>
    </comment>
    <comment ref="DD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DH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DL37" authorId="0">
      <text>
        <t xml:space="preserve">
Shear Velocity = (32.2 * R * S)1/2 
gravitational acceleration 32.2 ft/s2 or 9.81 m/s2
R = hydraulic radius (ft)  (m) = area / wetted perimeter
S = slope (ft/ft) or (m/m)
</t>
      </text>
    </comment>
    <comment ref="EB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EF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EJ37" authorId="0">
      <text>
        <t xml:space="preserve">
Shear Velocity = (32.2 * R * S)1/2 
gravitational acceleration 32.2 ft/s2 or 9.81 m/s2
R = hydraulic radius (ft)  (m) = area / wetted perimeter
S = slope (ft/ft) or (m/m)
</t>
      </text>
    </comment>
    <comment ref="EZ37"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FD37"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FH37" authorId="0">
      <text>
        <t xml:space="preserve">
Shear Velocity = (32.2 * R * S)1/2 
gravitational acceleration 32.2 ft/s2 or 9.81 m/s2
R = hydraulic radius (ft)  (m) = area / wetted perimeter
S = slope (ft/ft) or (m/m)
</t>
      </text>
    </comment>
    <comment ref="P38" authorId="0">
      <text>
        <t xml:space="preserve">
Relative Roughness =  d / D84
d = mean depth, (ft) or (m)
D84 = measured particle size where 84% of the particles are this size or smaller, (ft) or (m)</t>
      </text>
    </comment>
    <comment ref="T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AN38" authorId="0">
      <text>
        <t xml:space="preserve">
Relative Roughness =  d / D84
d = mean depth, (ft) or (m)
D84 = measured particle size where 84% of the particles are this size or smaller, (ft) or (m)</t>
      </text>
    </comment>
    <comment ref="AR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BL38" authorId="0">
      <text>
        <t xml:space="preserve">
Relative Roughness =  d / D84
d = mean depth, (ft) or (m)
D84 = measured particle size where 84% of the particles are this size or smaller, (ft) or (m)</t>
      </text>
    </comment>
    <comment ref="BP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CJ38" authorId="0">
      <text>
        <t xml:space="preserve">
Relative Roughness =  d / D84
d = mean depth, (ft) or (m)
D84 = measured particle size where 84% of the particles are this size or smaller, (ft) or (m)</t>
      </text>
    </comment>
    <comment ref="CN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DH38" authorId="0">
      <text>
        <t xml:space="preserve">
Relative Roughness =  d / D84
d = mean depth, (ft) or (m)
D84 = measured particle size where 84% of the particles are this size or smaller, (ft) or (m)</t>
      </text>
    </comment>
    <comment ref="DL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EF38" authorId="0">
      <text>
        <t xml:space="preserve">
Relative Roughness =  d / D84
d = mean depth, (ft) or (m)
D84 = measured particle size where 84% of the particles are this size or smaller, (ft) or (m)</t>
      </text>
    </comment>
    <comment ref="EJ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FD38" authorId="0">
      <text>
        <t xml:space="preserve">
Relative Roughness =  d / D84
d = mean depth, (ft) or (m)
D84 = measured particle size where 84% of the particles are this size or smaller, (ft) or (m)</t>
      </text>
    </comment>
    <comment ref="FH38" authorId="0">
      <text>
        <t xml:space="preserve">
Unit Stream Power = power / unit area
                    = 62.4 * Q * S / W 
specific weight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E40" authorId="0">
      <text>
        <t xml:space="preserve">
All ratios having width bankfull as the denominator use this most representative bankfull width, not the max and min to the right of this cell.</t>
      </text>
    </comment>
    <comment ref="Q44" authorId="0">
      <text>
        <t xml:space="preserve">
This is the distance laid out across the stream channel.  
By convention,  distance is measured from left to right when facing down stream.
</t>
      </text>
    </comment>
    <comment ref="R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S44" authorId="0">
      <text>
        <t xml:space="preserve">
Height of Instrument (HI) is the elevation of the level.  
It is found by adding the backsight rod reading to the elevation of a benchmark or turning point.</t>
      </text>
    </comment>
    <comment ref="T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V44" authorId="0">
      <text>
        <t xml:space="preserve">
Cross sections may include isolated low areas that are not part of the bankfull channel.  This column allows points below bankfull stage to be omitted from cross section calculations.  </t>
      </text>
    </comment>
    <comment ref="AO44" authorId="0">
      <text>
        <t xml:space="preserve">
This is the distance laid out across the stream channel.  
By convention,  distance is measured from left to right when facing down stream.
</t>
      </text>
    </comment>
    <comment ref="AP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AQ44" authorId="0">
      <text>
        <t xml:space="preserve">
Height of Instrument (HI) is the elevation of the level.  
It is found by adding the backsight rod reading to the elevation of a benchmark or turning point.</t>
      </text>
    </comment>
    <comment ref="AR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AT44" authorId="0">
      <text>
        <t xml:space="preserve">
Cross sections may include isolated low areas that are not part of the bankfull channel.  This column allows points below bankfull stage to be omitted from cross section calculations.  </t>
      </text>
    </comment>
    <comment ref="BM44" authorId="0">
      <text>
        <t xml:space="preserve">
This is the distance laid out across the stream channel.  
By convention,  distance is measured from left to right when facing down stream.
</t>
      </text>
    </comment>
    <comment ref="BN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BO44" authorId="0">
      <text>
        <t xml:space="preserve">
Height of Instrument (HI) is the elevation of the level.  
It is found by adding the backsight rod reading to the elevation of a benchmark or turning point.</t>
      </text>
    </comment>
    <comment ref="BP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BR44" authorId="0">
      <text>
        <t xml:space="preserve">
Cross sections may include isolated low areas that are not part of the bankfull channel.  This column allows points below bankfull stage to be omitted from cross section calculations.  </t>
      </text>
    </comment>
    <comment ref="CK44" authorId="0">
      <text>
        <t xml:space="preserve">
This is the distance laid out across the stream channel.  
By convention,  distance is measured from left to right when facing down stream.
</t>
      </text>
    </comment>
    <comment ref="CL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CM44" authorId="0">
      <text>
        <t xml:space="preserve">
Height of Instrument (HI) is the elevation of the level.  
It is found by adding the backsight rod reading to the elevation of a benchmark or turning point.</t>
      </text>
    </comment>
    <comment ref="CN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CP44" authorId="0">
      <text>
        <t xml:space="preserve">
Cross sections may include isolated low areas that are not part of the bankfull channel.  This column allows points below bankfull stage to be omitted from cross section calculations.  </t>
      </text>
    </comment>
    <comment ref="DI44" authorId="0">
      <text>
        <t xml:space="preserve">
This is the distance laid out across the stream channel.  
By convention,  distance is measured from left to right when facing down stream.
</t>
      </text>
    </comment>
    <comment ref="DJ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DK44" authorId="0">
      <text>
        <t xml:space="preserve">
Height of Instrument (HI) is the elevation of the level.  
It is found by adding the backsight rod reading to the elevation of a benchmark or turning point.</t>
      </text>
    </comment>
    <comment ref="DL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DN44" authorId="0">
      <text>
        <t xml:space="preserve">
Cross sections may include isolated low areas that are not part of the bankfull channel.  This column allows points below bankfull stage to be omitted from cross section calculations.  </t>
      </text>
    </comment>
    <comment ref="EG44" authorId="0">
      <text>
        <t xml:space="preserve">
This is the distance laid out across the stream channel.  
By convention,  distance is measured from left to right when facing down stream.
</t>
      </text>
    </comment>
    <comment ref="EH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EI44" authorId="0">
      <text>
        <t xml:space="preserve">
Height of Instrument (HI) is the elevation of the level.  
It is found by adding the backsight rod reading to the elevation of a benchmark or turning point.</t>
      </text>
    </comment>
    <comment ref="EJ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EL44" authorId="0">
      <text>
        <t xml:space="preserve">
Cross sections may include isolated low areas that are not part of the bankfull channel.  This column allows points below bankfull stage to be omitted from cross section calculations.  </t>
      </text>
    </comment>
    <comment ref="FE44" authorId="0">
      <text>
        <t xml:space="preserve">
This is the distance laid out across the stream channel.  
By convention,  distance is measured from left to right when facing down stream.
</t>
      </text>
    </comment>
    <comment ref="FF44" authorId="0">
      <text>
        <t xml:space="preserve"> 
Backsight (BS) is taken to track the instrument height if the instrument is moved in the midst of surveying the cross section.  If the instrument is not moved no BS is needed.
Moving the instrument starts with taking a fore sight (FS) of a arbitrary stationary object, then moving the instrument, then taking a back sight to the same object. 
The instrument height is found by adding the backsight to the benchmark or turning point.</t>
      </text>
    </comment>
    <comment ref="FG44" authorId="0">
      <text>
        <t xml:space="preserve">
Height of Instrument (HI) is the elevation of the level.  
It is found by adding the backsight rod reading to the elevation of a benchmark or turning point.</t>
      </text>
    </comment>
    <comment ref="FH44" authorId="0">
      <text>
        <t xml:space="preserve">
Foresight (FS) rod readings are vertical distances measured from the level to the ground.   
Elevations are found by subtracting the foresight rod readings from the height of the instrument. 
If the instrument is moved, a turning point is created by reading a FS to a solid object, moving the instrument, then reading a BS to the exact same object.  The difference between the FS and the BS is the amount the instrument has changed elevation.
No distance measurement is associated with turning points so if a BS is entered the preceding FS is assumed to be a turning point and the distance cell cross hatched out.
</t>
      </text>
    </comment>
    <comment ref="FJ44" authorId="0">
      <text>
        <t xml:space="preserve">
Cross sections may include isolated low areas that are not part of the bankfull channel.  This column allows points below bankfull stage to be omitted from cross section calculations.  </t>
      </text>
    </comment>
    <comment ref="M47" authorId="0">
      <text>
        <t xml:space="preserve">
This cell will link to the Profile sheet if the same value is entered in &lt;Cross Section ID&gt; column of the profile.  
</t>
      </text>
    </comment>
    <comment ref="AK47" authorId="0">
      <text>
        <t xml:space="preserve">
This cell will link to the Profile sheet if the same value is entered in &lt;Cross Section ID&gt; column of the profile.  
</t>
      </text>
    </comment>
    <comment ref="BI47" authorId="0">
      <text>
        <t xml:space="preserve">
This cell will link to the Profile sheet if the same value is entered in &lt;Cross Section ID&gt; column of the profile.  
</t>
      </text>
    </comment>
    <comment ref="CG47" authorId="0">
      <text>
        <t xml:space="preserve">
This cell will link to the Profile sheet if the same value is entered in &lt;Cross Section ID&gt; column of the profile.  
</t>
      </text>
    </comment>
    <comment ref="DE47" authorId="0">
      <text>
        <t xml:space="preserve">
This cell will link to the Profile sheet if the same value is entered in &lt;Cross Section ID&gt; column of the profile.  
</t>
      </text>
    </comment>
    <comment ref="EC47" authorId="0">
      <text>
        <t xml:space="preserve">
This cell will link to the Profile sheet if the same value is entered in &lt;Cross Section ID&gt; column of the profile.  
</t>
      </text>
    </comment>
    <comment ref="FA47" authorId="0">
      <text>
        <t xml:space="preserve">
This cell will link to the Profile sheet if the same value is entered in &lt;Cross Section ID&gt; column of the profile.  
</t>
      </text>
    </comment>
    <comment ref="M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AK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BI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CG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DE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EC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FA48" authorId="0">
      <text>
        <t xml:space="preserve">
Height of Instrument (HI) is the elevation of the survey level.  
It is found by adding the backsight rod reading to the elevation of a benchmark or turning point.  
See "Pattern &amp; Profile" worksheet for HI if cross section data were collected while profile data were being collected.
If the relative elevation is unknown, an arbitrary elevation such as 100 ft can be entered.</t>
      </text>
    </comment>
    <comment ref="D52" authorId="0">
      <text>
        <t xml:space="preserve">
The ratio of bankfull width divided by bankfull mean depth, in a riffle section.
</t>
      </text>
    </comment>
    <comment ref="M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AK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BI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CG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DE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EC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FA52" authorId="0">
      <text>
        <t xml:space="preserve">
Bankfull stage is defined as follows:
If neither a FS nor elevation are entered and if bankfull has been identified on the profile along with cross section reference IDs then a profile trend line is created and its value at the intersection with this cross section used.  This can be a quick starting point but should be refined.
Bankfull stage at this cross section can be entered either as a fore sight (rod reading) or as an elevation.  If both a FS and elevation are entered the spreadsheet uses the elevation.  
</t>
      </text>
    </comment>
    <comment ref="M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AK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BI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CG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DE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EC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FA56" authorId="0">
      <text>
        <t xml:space="preserve">
Enter the stage of the lowest bank either as a fore sight value or it's elevation.  This value along with the max depth of this cross section are used to determine the "low bank height." 
The "low bank height" is the height of the lowest bank measured from the channel bed to the top of the bank.    
Bank height helps describe entrenchment.   Overbank flow begins at the stage defined by bank height.  
The "Bank Height Ratio" is bank height divided by  max depth  of the bankfull channel. 
</t>
      </text>
    </comment>
    <comment ref="M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AK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BI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CG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DE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EC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FA60" authorId="0">
      <text>
        <t xml:space="preserve">
The width of the flood prone area (flood prone width) is the flooded width at a stage twice max depth as measured in a riffle or straight section.
The flood prone width is used to describe channel  entrenchment.  A dimensionless number used to quantify entrenchment is:
entrenchment ratio = flood prone width  / bankfull width.
If this is identified as a pool cross section then the stage of the flood prone width taken to be the average dmax of the riffle and run cross sections  above the bankfull stage of this cross section.
If the cross section survey extends up to the flood prone stage on both sides the spreadsheet calculates the floodprone width.  If the survey does not extend up to that stage then the calculated value is shown to the right in red but not used.
</t>
      </text>
    </comment>
    <comment ref="M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AK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BI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CG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DE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EC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FA63"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M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AK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BI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CG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DE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EC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FA66" authorId="0">
      <text>
        <t xml:space="preserve">
Manning's Roughness Coefficient can be estimated using many different methods including but certainly not limited to those listed below.  Excellent resources are available from USGS including WSP 2339 and WSP 1849.
1.  Published tables of various channel descriptions 
2. Published and online photo references
3. Methods accounting for various sources of resistance from bends to vegetation
4. Estimated from bed material and channel shape.  This method is used  in this spreadsheet if no other value is entered here and if bed material has been entered. 
5. By Rosgen channel type. Listed values are from medium to large rivers flowing near bankfull (Rosgen,1998). 
   A2           .15                 E3, E4    .032
   A3           .3                  E5, E6     .033
   B1           .032              F2            .076
   B2           .062             F3            .035
   B3           .048             F4            .033
   B3c         .04               F5            .037
   B4           .036             F6            .038
   B5,B6    .044             G3           .029
   C1           .028              G4           .037
   C3           .027             G5           .038
   C4           .019              G6           .066
   C5           .034   
6.  If no value is entered but a value for The D'Arcy Weisback friction factor is entered then the following equation is solved for Manning's roughness coefficient:   
    (8/f)^0.5 = R^(1/6)/(ng^.5)
7.If no value is entered for Flow Resistance but values for bed materials have been entered then this value is calculated based on relative roughness.
     n = 1.49*R1/6/((U/U*)32.20.5)  
These equations are discussed further in the comment for U/U*.
(Thorne, 1997)
 </t>
      </text>
    </comment>
    <comment ref="M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AK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BI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CG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DE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EC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FA67" authorId="0">
      <text>
        <t xml:space="preserve">
D'Arcy -Weisbach equation has a resistance variable referred to as the D'Arcy-Weisbach  friction factor, "f".  This equation is more theoretically based than Manning's equation but less commonly used.
V=(8gRS/f)0.5
   where:
        V=velocity (ft/s)
       g=gravitational acceleration (32.2 ft/s2)
       R=hydraulic radius (ft)
       S=slope (ft/ft) 
Values for "f" can be obtained from published tables.   
If a value for Manning's roughness coefficient has been entered then the following relationship is solved for The D'Arcy Weisbach friction factor:     
    (8/f)^0.5 = R^(1/6)/(ng^.5)
If no value is enter and no Manning's roughness coefficient is entered and if bed material has been entered then  D'Arcy-Weisbach friction factor will be estimated based on relative roughness (see note on friction factor above):
     f = 8/(U/U*)2 
</t>
      </text>
    </comment>
    <comment ref="H72" authorId="0">
      <text>
        <t xml:space="preserve">
Channel Dimension:
This worksheet consists of a summary and utilities for up to 7 cross sections.  Enter the cross sections first then select representative values for the summary.  If more than 7 cross section utilities are needed, make a copy of the entire Dimension worksheet.
A commonly recommended method of determining bankfull starts with plotting bankfull features on the profile then reading the elevation of a trend line drawn through those points where the profile intersects each of the cross sections.
The Profile &amp; Pattern worksheet can also be used to determine the "height of instrument" and "station" of each cross section.</t>
      </text>
    </comment>
    <comment ref="E100" authorId="0">
      <text>
        <t xml:space="preserve">
The ratio of bankfull width divided by bankfull mean depth, in a riffle section.
The typical w-d ratio is calculated from the typical width and the typical area (mean depth = typical area/typical width).  The min and max values are simply from the riffle or run cross sections with the min and max w-d ratios.</t>
      </text>
    </comment>
    <comment ref="E101" authorId="0">
      <text>
        <t xml:space="preserve">
The ratio of the width of the flood-prone area divided by the width bankfull.
The typical bankfull width is the denominator in each of the three ratios: typical, min and max.</t>
      </text>
    </comment>
    <comment ref="E102" authorId="0">
      <text>
        <t xml:space="preserve">
The ratio of bank height divided by max bankfull depth (from a riffle section.)    
The bank height is the lowest of those entered above for riffle, pool and run.</t>
      </text>
    </comment>
    <comment ref="E103" authorId="0">
      <text>
        <t xml:space="preserve">
The ratio of riffle max depth divided by the bankfull mean depth (from a riffle section).</t>
      </text>
    </comment>
    <comment ref="E104" authorId="0">
      <text>
        <t xml:space="preserve">
The ratio of the cross-sectional area of a pool divided by bankfull cross-sectional area (from riffle section).
</t>
      </text>
    </comment>
    <comment ref="E105" authorId="0">
      <text>
        <t xml:space="preserve">
The ratio of the width of a pool divided by the width bankfull (from a riffle section). </t>
      </text>
    </comment>
    <comment ref="E106" authorId="0">
      <text>
        <t xml:space="preserve">
The ratio of the max depth of a pool divided by the bankfull mean depth (from a riffle section).</t>
      </text>
    </comment>
    <comment ref="E108" authorId="0">
      <text>
        <t xml:space="preserve">
Discharge (Q) = V A  (ft3/s) or (m3/s)
V = velocity (ft/s) or (m/s)
A = cross section area (ft2) or (m2)</t>
      </text>
    </comment>
    <comment ref="E109" authorId="0">
      <text>
        <t xml:space="preserve">
Channel slope is the "rise over run" for a reach approximately 20 - 30 bankfull channel widths in length, with the "riffle-to-riffle" water surface slope representing the gradient at bankfull stage.
If you have profile data, determine slope from the profile worksheet.
</t>
      </text>
    </comment>
    <comment ref="E111" authorId="0">
      <text>
        <t xml:space="preserve">Velocity is the mean channel velocity estimated with the Manning's Equation:
  Velocity (V) = 1.49 * R2/3 * (S/100) 1/2 / n
  Conversion Constant = 1.49 in English or 1 in SI
  R = hydraulic radius (ft) or (m) = area / wetted perimeter
  S = slope (%)
  n = Manning's Roughness Coefficient</t>
      </text>
    </comment>
    <comment ref="E112" authorId="0">
      <text>
        <t xml:space="preserve">
Froude number  is a dimensionless number expressing the ratio of inertial to gravitational forces. 
Fn = V/(gd)1/2
where:
   V = velocity (ft/s) or (m/s)
   g = gravitational acceleration = 32.2 (ft/s2) or 9.81 (m/s2)
   d = depth (ft) or (m)
Values less than 1 are termed subcritical, and are characteristic of relatively deep , slow stream flow.  Values of 1 denote "critical flow."  Values greater than 1 are termed supercritical, and are characteristic of shallow, fast streams.</t>
      </text>
    </comment>
    <comment ref="E113" authorId="0">
      <text>
        <t xml:space="preserve">
Shear Stress = 62.4 * R * S  (lb/ft2) or (N/m2)
specific weight of water = 62.4 lbs/ft3 or (1000 kg/m3)(9.91 m/s2)
R = hydraulic radius (ft) or (m) = area / wetted perimeter
S = slope (ft/ft) or (m/m)</t>
      </text>
    </comment>
    <comment ref="E114" authorId="0">
      <text>
        <t xml:space="preserve">
Shear Velocity = (32.2 * R * S)1/2 
gravitational acceleration 32.2 ft/s2 or 9.81 m/s2
R = hydraulic radius (ft) or (m) 
     = area / wetted perimeter
S = slope (ft/ft) or (m/m)
</t>
      </text>
    </comment>
    <comment ref="E115" authorId="0">
      <text>
        <t xml:space="preserve">
Stream Power = power / unit stream length
                    = 62.4 * Q * S 
specific weight of water = 62.4 lbs/ft3 or (1000 kg/m3)(9.81 m/s2) 
Q  = discharge rate (ft3/s) or (m3/s)
S = slope (ft/ft) or (m/m)
      power = energy / time
      stream power = power / unit stream length
      unit stream power = stream power / unit width
      unit stream power = shear stress * velocity 
</t>
      </text>
    </comment>
    <comment ref="E116" authorId="0">
      <text>
        <t xml:space="preserve">
Unit Stream Power = power / unit area
                    = 62.4 * Q * S / W 
specific weigh of water 62.4 lbs/ft3 or (1000 kg/m3)(9.81 m/s2)
Q  = discharge rate (ft3/s) or (m3/s)
S = slope (ft/ft) or (m/m)
W = width of flow (ft) or (m)
      power = energy / time
      stream power = power / unit stream length
      unit stream power = stream power / unit width
      unit stream power = shear stress * velocity 
Unit stream power is often expressed in watts/sq. meter.
The conversion is: 1 lbs/ft/sec = 14.6 watts/sq. meter.  
</t>
      </text>
    </comment>
    <comment ref="E117" authorId="0">
      <text>
        <t xml:space="preserve">
Relative Roughness =  d / D84
d = mean depth, (ft) or (m)
D84 = measured particle size where 84% of the particles are this size or smaller, (ft) or (m)</t>
      </text>
    </comment>
    <comment ref="E118" authorId="0">
      <text>
        <t xml:space="preserve">
Resistance Factor  = velocity / shear velocity = U/U*
  where:
      U =  velocity
      U* = shear velocity
Value varies from about 2 for rough streambeds to 16 for smooth.
U/U* is related to common resistance equations as follows: 
D'Arcy-Weisbach friction factor (f):
     U/U* =  (8/f)^0.5
Manning's roughness coefficient (n):
    U/U* = R^(1/6)/(ng^.5)
Colebrook-White equation of which a number of variations exist with the form:
    U/U* = A log(B*relative roughness)
One proposed by Hey 1979 and used here includes a shape variable:
    U/U* =  5.75 log(aR/3.5D84) 
    where a = 11.1/(R/dmax)^3.14
The Colebrook-White equation is a function of measurable values; depth and particle size.  Thus "n" and "f" can be made functions of depth and particle size in generally straight uniform gravel-bed streams where resistance is dominated by boundary roughness.
(Thorne, 1997)</t>
      </text>
    </comment>
    <comment ref="E119" authorId="0">
      <text>
        <t xml:space="preserve">
This is the size particle predicted to be at "the threshold of motion" with the calculated shear stress.  In gravel-bed streams flowing at bankfull the particle size at bankfull is often in the range of D50 - D84).  
It is found by assuming a value for Shield's parameter and solving Shields' equation for particle size:
   Ds=t / ((rs - r) g 0.06)(304.8)
     Ds=diameter sediment particle (mm)
     Conversion Const. 304.8 mm/ft or 1000 mm/m
     t=shear stress (lb/ft2) or (N/m2)
     rs=density of sediment (5.15 slugs/ft3) or (2650 kg/m3)
     r=density of water (1.94 slugs/ft3) or (1000 kg/m3)
     g=gravitational acceleration (32.2 ft/s2) or (9.81 m/s2)
     0.06 = Shield's parameter
Shields' parameter is commonly assigned a value of 0.06 but often is in the range of 0.04 to 0.07.  Various channel types were found with the following field determined values.
A2 =.14
B4 = .067
E4 = .063
B3 = .061
C3 = .04
C4 = .037
F3 = .03
D4 = .024
Values are approximately plotted values (Rosgen 1998).</t>
      </text>
    </comment>
    <comment ref="E120" authorId="0">
      <text>
        <t xml:space="preserve">
The Shield's parameter is a ratio of forces on a particle, shear stress acting in the down stream direction over the vertical effect of gravity.    It  is commonly assigned a value of 0.06 but often is in the range of 0.04 to 0.07.  
   t*=t / [(rs - r) g (D50/304.8)]
    t* = Shield's parameter, dimensionless
     t  = shear stress =r g  R S  (lb/ft2) or (N/m2)
     D50 =diameter sediment particle (mm)
     Conversion Const 304.8 mm/ft or 1000 mm/m
     rs = density of sediment (5.15 slugs/cu.ft) or (2650 kg/m3)
     r = density of water (1.94 slugs/cu.ft) or (1000 kg/m3)
     g = gravitational acceleration (32.2 ft/s2) or (9.81 m/s2)
If the Shield's parameter is assumed to be constant in stream reaches of similar character it can be useful for comparing streams of similar character but of slightly different size, slope and particle size.
For example in design a the Shield's parameter computed in the reference reach can be used to solve for slope in the design reach.
</t>
      </text>
    </comment>
  </commentList>
</comments>
</file>

<file path=xl/comments7.xml><?xml version="1.0" encoding="utf-8"?>
<comments xmlns="http://schemas.openxmlformats.org/spreadsheetml/2006/main">
  <authors>
    <author/>
  </authors>
  <commentList>
    <comment ref="J3" authorId="0">
      <text>
        <t xml:space="preserve">From all riffle and run cross sections</t>
      </text>
    </comment>
    <comment ref="K3" authorId="0">
      <text>
        <t xml:space="preserve">From all cross sections.  Max depth for w-fpa, bk-ht etc is water surface at low flow (max depth of riffle measured from bkf)</t>
      </text>
    </comment>
    <comment ref="L3" authorId="0">
      <text>
        <t xml:space="preserve">From all cross sections.  Max depth for w-fpa, bk-ht etc is water surface at low flow (max depth of riffle measured from bkf)</t>
      </text>
    </comment>
    <comment ref="M3" authorId="0">
      <text>
        <t xml:space="preserve">From all cross sections.  Max depth for w-fpa, bk-ht etc is water surface at low flow (max depth of riffle measured from bkf)</t>
      </text>
    </comment>
    <comment ref="N3" authorId="0">
      <text>
        <t xml:space="preserve">Average of channel slope specified for all cross sections.</t>
      </text>
    </comment>
    <comment ref="Q3" authorId="0">
      <text>
        <t xml:space="preserve">From all riffle and run cross sections</t>
      </text>
    </comment>
    <comment ref="S3" authorId="0">
      <text>
        <t xml:space="preserve">From all riffle and run cross sections</t>
      </text>
    </comment>
  </commentList>
</comments>
</file>

<file path=xl/sharedStrings.xml><?xml version="1.0" encoding="utf-8"?>
<sst xmlns="http://schemas.openxmlformats.org/spreadsheetml/2006/main" count="1851" uniqueCount="650">
  <si>
    <t>Quick Instructions</t>
  </si>
  <si>
    <t>Introduction</t>
  </si>
  <si>
    <t> </t>
  </si>
  <si>
    <t>Contact Info</t>
  </si>
  <si>
    <t>References</t>
  </si>
  <si>
    <t>Disclaimer</t>
  </si>
  <si>
    <t>Copyright Ó  1999, 2002, 2006  Dan Mecklenburg</t>
  </si>
  <si>
    <t>&amp; Ohio Department of Natural Resources.</t>
  </si>
  <si>
    <t>All rights reserved. </t>
  </si>
  <si>
    <t>Summary</t>
  </si>
  <si>
    <t>Data Base Format</t>
  </si>
  <si>
    <t>All values of this reach are in one column for the purpose of creating data bases.</t>
  </si>
  <si>
    <t>Instructions</t>
  </si>
  <si>
    <t>Stream:</t>
  </si>
  <si>
    <t>stream:</t>
  </si>
  <si>
    <t>Watershed:</t>
  </si>
  <si>
    <t>watershed:</t>
  </si>
  <si>
    <t>Start by filling in all the general information you can here in the blue cells.     </t>
  </si>
  <si>
    <t>Location:</t>
  </si>
  <si>
    <t>location:</t>
  </si>
  <si>
    <t>latitude:</t>
  </si>
  <si>
    <t>The sheets are linked so information entered here will be used by </t>
  </si>
  <si>
    <t>longitude:</t>
  </si>
  <si>
    <t>in the following worksheets.   </t>
  </si>
  <si>
    <t>Latitude:</t>
  </si>
  <si>
    <t>county:</t>
  </si>
  <si>
    <t>Longitude:</t>
  </si>
  <si>
    <t>date:</t>
  </si>
  <si>
    <t>There is no required order to filling out the other worksheets although they</t>
  </si>
  <si>
    <t>State:</t>
  </si>
  <si>
    <t>observers:</t>
  </si>
  <si>
    <t>generally build and you will probably want to skip around.</t>
  </si>
  <si>
    <t>County:</t>
  </si>
  <si>
    <t>channel type:</t>
  </si>
  <si>
    <t>Date:</t>
  </si>
  <si>
    <t>drainage area:</t>
  </si>
  <si>
    <t>Units:</t>
  </si>
  <si>
    <t>Observers:</t>
  </si>
  <si>
    <t>units:</t>
  </si>
  <si>
    <t>notes:</t>
  </si>
  <si>
    <t>Channel Materials</t>
  </si>
  <si>
    <t>Largest Mobile</t>
  </si>
  <si>
    <t>Reach</t>
  </si>
  <si>
    <t>Channel type:</t>
  </si>
  <si>
    <t>Shape Factor</t>
  </si>
  <si>
    <t>stream name:</t>
  </si>
  <si>
    <t>Bed Surface D16</t>
  </si>
  <si>
    <t>Bed Surface D35</t>
  </si>
  <si>
    <t>Bed Surface D50</t>
  </si>
  <si>
    <t>Bed Surface D65</t>
  </si>
  <si>
    <t>Bed Surface D84</t>
  </si>
  <si>
    <t>Bed Surface D95</t>
  </si>
  <si>
    <t>Location</t>
  </si>
  <si>
    <t>Bed Surface mean</t>
  </si>
  <si>
    <t>Dimension</t>
  </si>
  <si>
    <t>Bed Surface dispersion</t>
  </si>
  <si>
    <t>Bed Surface skewness</t>
  </si>
  <si>
    <t>floodplain:</t>
  </si>
  <si>
    <t>Bed Surface % Silt/Clay</t>
  </si>
  <si>
    <t>Bed Surface % Sand</t>
  </si>
  <si>
    <t>riffle-run:</t>
  </si>
  <si>
    <t>Bed Surface % Gravel</t>
  </si>
  <si>
    <t>Bed Surface % Cobble</t>
  </si>
  <si>
    <t>state:</t>
  </si>
  <si>
    <t>Bed Surface % Boulder</t>
  </si>
  <si>
    <t>Bed Surface % Bedrock</t>
  </si>
  <si>
    <t>Bed Surface % Clay Hardpan</t>
  </si>
  <si>
    <t>pool:</t>
  </si>
  <si>
    <t>Bed Surface % Detritus/Wood</t>
  </si>
  <si>
    <t>degrees</t>
  </si>
  <si>
    <t>minutes</t>
  </si>
  <si>
    <t>seconds</t>
  </si>
  <si>
    <t>Bed Surface % Artificial</t>
  </si>
  <si>
    <t>Bank D16</t>
  </si>
  <si>
    <t>Bank D35</t>
  </si>
  <si>
    <t>typical</t>
  </si>
  <si>
    <t>min</t>
  </si>
  <si>
    <t>max</t>
  </si>
  <si>
    <t>Bank D50</t>
  </si>
  <si>
    <t>width depth ratio</t>
  </si>
  <si>
    <t>Bank D65</t>
  </si>
  <si>
    <t>Survey</t>
  </si>
  <si>
    <t>entrenchment ratio</t>
  </si>
  <si>
    <t>Bank D84</t>
  </si>
  <si>
    <t>riffle max depth ratio</t>
  </si>
  <si>
    <t>Bank D95</t>
  </si>
  <si>
    <t>bank height ratio</t>
  </si>
  <si>
    <t>Bank % Silt/Clay</t>
  </si>
  <si>
    <t>pool area ratio</t>
  </si>
  <si>
    <t>Bank % Sand</t>
  </si>
  <si>
    <t>pool width ratio</t>
  </si>
  <si>
    <t>Bank % Gravel</t>
  </si>
  <si>
    <t>pool max depth ratio</t>
  </si>
  <si>
    <t>Bank % Cobble</t>
  </si>
  <si>
    <t>Bank % Boulder</t>
  </si>
  <si>
    <t>Bank % Bedrock</t>
  </si>
  <si>
    <t>channel slope (%)</t>
  </si>
  <si>
    <t>Bank % Clay Hardpan</t>
  </si>
  <si>
    <t>riffle-run</t>
  </si>
  <si>
    <t>Bank % Detritus/Wood</t>
  </si>
  <si>
    <t>Bank % Artificial</t>
  </si>
  <si>
    <t>Froude number</t>
  </si>
  <si>
    <t>Sub-pavement D16</t>
  </si>
  <si>
    <t>Sub-pavement D35</t>
  </si>
  <si>
    <t>Sub-pavement D50</t>
  </si>
  <si>
    <t>Sub-pavement D65</t>
  </si>
  <si>
    <t>Sub-pavement D84</t>
  </si>
  <si>
    <t>relative roughness</t>
  </si>
  <si>
    <t>Sub-pavement D95</t>
  </si>
  <si>
    <t>friction factor u/u*</t>
  </si>
  <si>
    <t>Sub-pavement % Silt/Clay</t>
  </si>
  <si>
    <t>threshold grain size (t*=0.06) (mm)</t>
  </si>
  <si>
    <t>Sub-pavement % Sand</t>
  </si>
  <si>
    <t>Sub-pavement % Gravel</t>
  </si>
  <si>
    <t>Pattern</t>
  </si>
  <si>
    <t>Sub-pavement % Cobble</t>
  </si>
  <si>
    <t>Sub-pavement % Boulder</t>
  </si>
  <si>
    <t>Channel D16</t>
  </si>
  <si>
    <t>Channel D35</t>
  </si>
  <si>
    <t>Channel D50</t>
  </si>
  <si>
    <t>Channel D65</t>
  </si>
  <si>
    <t>arc angle (degrees)</t>
  </si>
  <si>
    <t>Channel D84</t>
  </si>
  <si>
    <t>Channel D95</t>
  </si>
  <si>
    <t>Channel mean</t>
  </si>
  <si>
    <t>Sinuosity</t>
  </si>
  <si>
    <t>Channel dispersion</t>
  </si>
  <si>
    <t>Meander Length Ratio</t>
  </si>
  <si>
    <t>Channel skewness</t>
  </si>
  <si>
    <t>Meander Width Ratio</t>
  </si>
  <si>
    <t>Channel % Silt/Clay</t>
  </si>
  <si>
    <t>Radius Ratio</t>
  </si>
  <si>
    <t>Channel % Sand</t>
  </si>
  <si>
    <t>Profile</t>
  </si>
  <si>
    <t>Channel % Gravel</t>
  </si>
  <si>
    <t>Channel % Cobble</t>
  </si>
  <si>
    <t>Channel % Boulder</t>
  </si>
  <si>
    <t>Channel % Bedrock</t>
  </si>
  <si>
    <t>Channel % Clay Hardpan</t>
  </si>
  <si>
    <t>Channel % Detritus/Wood</t>
  </si>
  <si>
    <t>Channel % Artificial</t>
  </si>
  <si>
    <t>riffle slope (%)</t>
  </si>
  <si>
    <t>pool-pool spacing</t>
  </si>
  <si>
    <t>pool slope (%)</t>
  </si>
  <si>
    <t>pool-pool spacing min</t>
  </si>
  <si>
    <t>run slope (%)</t>
  </si>
  <si>
    <t>pool-pool spacing max</t>
  </si>
  <si>
    <t>glide slope (%)</t>
  </si>
  <si>
    <t>riffle length</t>
  </si>
  <si>
    <t>measured valley slope (%)</t>
  </si>
  <si>
    <t>riffle length min</t>
  </si>
  <si>
    <t>valley slope from sinuosity (%)</t>
  </si>
  <si>
    <t>riffle length max</t>
  </si>
  <si>
    <t>Riffle Length Ratio</t>
  </si>
  <si>
    <t>pool length</t>
  </si>
  <si>
    <t>Pool Length Ratio</t>
  </si>
  <si>
    <t>pool length min</t>
  </si>
  <si>
    <t>Run Length Ratio</t>
  </si>
  <si>
    <t>pool length max</t>
  </si>
  <si>
    <t>Glide Length Ratio</t>
  </si>
  <si>
    <t>run length</t>
  </si>
  <si>
    <t>Riffle Slope Ratio</t>
  </si>
  <si>
    <t>run length min</t>
  </si>
  <si>
    <t>Pool Slope Ratio</t>
  </si>
  <si>
    <t>run length max</t>
  </si>
  <si>
    <t>Run Slope Ratio</t>
  </si>
  <si>
    <t>glide length</t>
  </si>
  <si>
    <t>Glide Slope Ratio</t>
  </si>
  <si>
    <t>glide length min</t>
  </si>
  <si>
    <t>Pool Spacing Ratio</t>
  </si>
  <si>
    <t>glide length max</t>
  </si>
  <si>
    <t>D16 (mm)</t>
  </si>
  <si>
    <t>riffle slope (%) min</t>
  </si>
  <si>
    <t>D35 (mm)</t>
  </si>
  <si>
    <t>riffle slope (%) max</t>
  </si>
  <si>
    <t>D50 (mm)</t>
  </si>
  <si>
    <t>D65 (mm)</t>
  </si>
  <si>
    <t>pool slope (%) min</t>
  </si>
  <si>
    <t>D84 (mm)</t>
  </si>
  <si>
    <t>pool slope (%) max</t>
  </si>
  <si>
    <t>D95 (mm)</t>
  </si>
  <si>
    <t>mean (mm)</t>
  </si>
  <si>
    <t>run slope (%) min</t>
  </si>
  <si>
    <t>dispersion</t>
  </si>
  <si>
    <t>run slope (%) max</t>
  </si>
  <si>
    <t>skewness</t>
  </si>
  <si>
    <t>glide slope (%) min</t>
  </si>
  <si>
    <t>% Silt/Clay</t>
  </si>
  <si>
    <t>glide slope (%) max</t>
  </si>
  <si>
    <t>% Sand</t>
  </si>
  <si>
    <t>% Gravel</t>
  </si>
  <si>
    <t>% Cobble</t>
  </si>
  <si>
    <t>% Boulder</t>
  </si>
  <si>
    <t>Riffle Length Ratio min</t>
  </si>
  <si>
    <t>% Bedrock</t>
  </si>
  <si>
    <t>Riffle Length Ratio max</t>
  </si>
  <si>
    <t>% Clay Hardpan</t>
  </si>
  <si>
    <t>% Detritus/Wood</t>
  </si>
  <si>
    <t>Pool Length Ratio min</t>
  </si>
  <si>
    <t>% Artificial</t>
  </si>
  <si>
    <t>Pool Length Ratio max</t>
  </si>
  <si>
    <t>Largest Mobile (mm)</t>
  </si>
  <si>
    <t>Run Length Ratio min</t>
  </si>
  <si>
    <t>Run Length Ratio max</t>
  </si>
  <si>
    <t>Glide Length Ratio min</t>
  </si>
  <si>
    <t>Glide Length Ratio max</t>
  </si>
  <si>
    <t>Riffle Slope Ratio min</t>
  </si>
  <si>
    <t>Riffle Slope Ratio max</t>
  </si>
  <si>
    <t>Pool Slope Ratio min</t>
  </si>
  <si>
    <t>Pool Slope Ratio max</t>
  </si>
  <si>
    <t>Run Slope Ratio min</t>
  </si>
  <si>
    <t>Run Slope Ratio max</t>
  </si>
  <si>
    <t>Glide Slope Ratio min</t>
  </si>
  <si>
    <t>Glide Slope Ratio max</t>
  </si>
  <si>
    <t>Pool Spacing Ratio min</t>
  </si>
  <si>
    <t>Pool Spacing Ratio max</t>
  </si>
  <si>
    <t>meander length</t>
  </si>
  <si>
    <t>meander length min</t>
  </si>
  <si>
    <t>meander length max</t>
  </si>
  <si>
    <t>belt width</t>
  </si>
  <si>
    <t>belt width min</t>
  </si>
  <si>
    <t>belt width max</t>
  </si>
  <si>
    <t>amplitude</t>
  </si>
  <si>
    <t>amplitude min</t>
  </si>
  <si>
    <t>amplitude max</t>
  </si>
  <si>
    <t>radius</t>
  </si>
  <si>
    <t>radius min</t>
  </si>
  <si>
    <t>radius max</t>
  </si>
  <si>
    <t>arc angle (degrees) min</t>
  </si>
  <si>
    <t>arc angle (degrees) max</t>
  </si>
  <si>
    <t>stream length</t>
  </si>
  <si>
    <t>valley length</t>
  </si>
  <si>
    <t>Meander Width Ratio min</t>
  </si>
  <si>
    <t>Meander Width Ratio max</t>
  </si>
  <si>
    <t>Meander Length Ratio min</t>
  </si>
  <si>
    <t>Meander Length Ratio max</t>
  </si>
  <si>
    <t>Radius Ratio min</t>
  </si>
  <si>
    <t>Radius Ratio max</t>
  </si>
  <si>
    <t>Floodplain</t>
  </si>
  <si>
    <t>width flood prone area</t>
  </si>
  <si>
    <t>width flood prone area min</t>
  </si>
  <si>
    <t>width flood prone area max</t>
  </si>
  <si>
    <t>low bank height</t>
  </si>
  <si>
    <t>low bank height min</t>
  </si>
  <si>
    <t>low bank height max</t>
  </si>
  <si>
    <t>entrenchment ratio min</t>
  </si>
  <si>
    <t>entrenchment ratio max</t>
  </si>
  <si>
    <t>bank height ratio min</t>
  </si>
  <si>
    <t>bank height ratio max</t>
  </si>
  <si>
    <t>Bankfull Channel Dimensions</t>
  </si>
  <si>
    <t>x-area bankfull</t>
  </si>
  <si>
    <t>x-area bankfull min</t>
  </si>
  <si>
    <t>x-area bankfull max</t>
  </si>
  <si>
    <t>width bankfull</t>
  </si>
  <si>
    <t>width bankfull min</t>
  </si>
  <si>
    <t>width bankfull max</t>
  </si>
  <si>
    <t>mean depth</t>
  </si>
  <si>
    <t>mean depth min</t>
  </si>
  <si>
    <t>mean depth max</t>
  </si>
  <si>
    <t>max depth </t>
  </si>
  <si>
    <t>max depth  min</t>
  </si>
  <si>
    <t>max depth  max</t>
  </si>
  <si>
    <t>hydraulic radius</t>
  </si>
  <si>
    <t>x-area pool</t>
  </si>
  <si>
    <t>x-area pool min</t>
  </si>
  <si>
    <t>x-area pool max</t>
  </si>
  <si>
    <t>width pool</t>
  </si>
  <si>
    <t>width pool min</t>
  </si>
  <si>
    <t>width pool max</t>
  </si>
  <si>
    <t>max depth pool</t>
  </si>
  <si>
    <t>max depth pool min</t>
  </si>
  <si>
    <t>max depth pool max</t>
  </si>
  <si>
    <t>hydraulic radius pool</t>
  </si>
  <si>
    <t>Width/Depth Ratio</t>
  </si>
  <si>
    <t>Width/Depth Ratio min</t>
  </si>
  <si>
    <t>Width/Depth Ratio max</t>
  </si>
  <si>
    <t>Riffle Max Depth Ratio</t>
  </si>
  <si>
    <t>Riffle Max Depth Ratio min</t>
  </si>
  <si>
    <t>Riffle Max Depth Ratio max</t>
  </si>
  <si>
    <t>Pool Area Ratio</t>
  </si>
  <si>
    <t>Pool Area Ratio min</t>
  </si>
  <si>
    <t>Pool Area Ratio max</t>
  </si>
  <si>
    <t>Pool Width Ratio</t>
  </si>
  <si>
    <t>Pool Width Ratio min</t>
  </si>
  <si>
    <t>Pool Width Ratio max</t>
  </si>
  <si>
    <t>Pool Max Depth Ratio</t>
  </si>
  <si>
    <t>Pool Max Depth Ratio min</t>
  </si>
  <si>
    <t>Pool Max Depth Ratio max</t>
  </si>
  <si>
    <t>Bankfull Channel Hydraulics:</t>
  </si>
  <si>
    <t>discharge rate, Q</t>
  </si>
  <si>
    <t>velocity</t>
  </si>
  <si>
    <t>velocity (ft/sec) pool</t>
  </si>
  <si>
    <t>Froude number pool</t>
  </si>
  <si>
    <t>shear stress</t>
  </si>
  <si>
    <t>shear stress (lbs/ft sq) pool</t>
  </si>
  <si>
    <t>shear velocity</t>
  </si>
  <si>
    <t>shear velocity pool</t>
  </si>
  <si>
    <t>stream power</t>
  </si>
  <si>
    <t>unit stream power</t>
  </si>
  <si>
    <t>relative roughness pool</t>
  </si>
  <si>
    <t>friction factor u/u* pool</t>
  </si>
  <si>
    <t>threshold grain size</t>
  </si>
  <si>
    <t>Longitudinal Slope Profile</t>
  </si>
  <si>
    <t>p</t>
  </si>
  <si>
    <t>;</t>
  </si>
  <si>
    <t>Lengths of Individual Channel Features</t>
  </si>
  <si>
    <t>feature length and slope</t>
  </si>
  <si>
    <t>riffle</t>
  </si>
  <si>
    <t>pool</t>
  </si>
  <si>
    <t>run</t>
  </si>
  <si>
    <t>glide</t>
  </si>
  <si>
    <t>pool-pool</t>
  </si>
  <si>
    <t>This Worksheet</t>
  </si>
  <si>
    <t>L riffle</t>
  </si>
  <si>
    <t>L pool</t>
  </si>
  <si>
    <t>L run</t>
  </si>
  <si>
    <t>L glide</t>
  </si>
  <si>
    <t>S riffle</t>
  </si>
  <si>
    <t>S pool</t>
  </si>
  <si>
    <t>S run</t>
  </si>
  <si>
    <t>S glide</t>
  </si>
  <si>
    <t>p-p spacing</t>
  </si>
  <si>
    <t>% of reach</t>
  </si>
  <si>
    <t>spacing</t>
  </si>
  <si>
    <t>1) Enter survey profile data in the table to the right.  If azimuth data </t>
  </si>
  <si>
    <t>ave</t>
  </si>
  <si>
    <t>mean length</t>
  </si>
  <si>
    <t>are entered then pattern will be plotted on the Pattern worksheet.</t>
  </si>
  <si>
    <t>min length</t>
  </si>
  <si>
    <t>max length</t>
  </si>
  <si>
    <t>2) Above the columns for distance and water depth, chose data types.</t>
  </si>
  <si>
    <t>slope calc from</t>
  </si>
  <si>
    <t>1st &amp; last ws or bed</t>
  </si>
  <si>
    <t>3) Enter benchmark elevation. (100 if unknown)</t>
  </si>
  <si>
    <t>significant digits</t>
  </si>
  <si>
    <t>4) The first row of data will be the backsight to the benchmark. (0 if no</t>
  </si>
  <si>
    <t>entered or calculated</t>
  </si>
  <si>
    <t>benchmark was used)</t>
  </si>
  <si>
    <t>5) The table's second row will be the first point of the profile.  Note that</t>
  </si>
  <si>
    <t>the first point of the profile should have a distance of 0 and no azimuth.</t>
  </si>
  <si>
    <t>water surface data format</t>
  </si>
  <si>
    <t>6) Identify only the upstream end of bed features in the "bed feature" column.</t>
  </si>
  <si>
    <t>depth</t>
  </si>
  <si>
    <t>This will allow average lengths and slopes to be calculated. Slopes</t>
  </si>
  <si>
    <t>surface</t>
  </si>
  <si>
    <t>Slopes of Individual Channel Features</t>
  </si>
  <si>
    <t>are found from the start of one feature to the start of the next.</t>
  </si>
  <si>
    <t>mean slope</t>
  </si>
  <si>
    <t>7) After entering all survey data fill in the values below.</t>
  </si>
  <si>
    <t>min slope</t>
  </si>
  <si>
    <t>distance data format</t>
  </si>
  <si>
    <t>max slope</t>
  </si>
  <si>
    <t>Bankfull width</t>
  </si>
  <si>
    <t>incremental data</t>
  </si>
  <si>
    <t>continuous data</t>
  </si>
  <si>
    <t>Lengths</t>
  </si>
  <si>
    <t>Units</t>
  </si>
  <si>
    <t>slope (%)</t>
  </si>
  <si>
    <t>slope ratio</t>
  </si>
  <si>
    <t>length ratio</t>
  </si>
  <si>
    <t>p-p ratio</t>
  </si>
  <si>
    <t>reach</t>
  </si>
  <si>
    <t>Slopes</t>
  </si>
  <si>
    <t>Slope Calculator</t>
  </si>
  <si>
    <t>Hints</t>
  </si>
  <si>
    <t>bed feature</t>
  </si>
  <si>
    <t>Benchmark Elevation</t>
  </si>
  <si>
    <t>station</t>
  </si>
  <si>
    <t>elevation</t>
  </si>
  <si>
    <t>% slope</t>
  </si>
  <si>
    <t>note</t>
  </si>
  <si>
    <t>cross</t>
  </si>
  <si>
    <t>user defined </t>
  </si>
  <si>
    <t>bkf trendline</t>
  </si>
  <si>
    <t>point 1</t>
  </si>
  <si>
    <t>section</t>
  </si>
  <si>
    <t>Turning Points</t>
  </si>
  <si>
    <t>FS</t>
  </si>
  <si>
    <t>azimuth</t>
  </si>
  <si>
    <t>ELEV</t>
  </si>
  <si>
    <t>bed</t>
  </si>
  <si>
    <t>slope</t>
  </si>
  <si>
    <t>point 2</t>
  </si>
  <si>
    <t>notes</t>
  </si>
  <si>
    <t>ID</t>
  </si>
  <si>
    <t>BS</t>
  </si>
  <si>
    <t>HI</t>
  </si>
  <si>
    <t>water</t>
  </si>
  <si>
    <t>bankfull</t>
  </si>
  <si>
    <t>AZ</t>
  </si>
  <si>
    <t>water srf</t>
  </si>
  <si>
    <t>w/ blanks</t>
  </si>
  <si>
    <t>plot</t>
  </si>
  <si>
    <t>intercept</t>
  </si>
  <si>
    <t>graph feature starting pt</t>
  </si>
  <si>
    <t>count</t>
  </si>
  <si>
    <t>back sight to benchmark</t>
  </si>
  <si>
    <t>x-sect</t>
  </si>
  <si>
    <t>bkf</t>
  </si>
  <si>
    <t>fpa</t>
  </si>
  <si>
    <t>dist</t>
  </si>
  <si>
    <t>pools</t>
  </si>
  <si>
    <t>Reference Reach</t>
  </si>
  <si>
    <t>Channel Type:</t>
  </si>
  <si>
    <t>Profile Summary</t>
  </si>
  <si>
    <t>Meander Pattern - Channel Plan Form</t>
  </si>
  <si>
    <t>y</t>
  </si>
  <si>
    <t>x</t>
  </si>
  <si>
    <t>1) This sheet will graph the distance and azimuth entered </t>
  </si>
  <si>
    <t>in the profile worksheet.</t>
  </si>
  <si>
    <t>2) Fill in the values below using the graphed pattern, aerial</t>
  </si>
  <si>
    <t>photos, topo maps, etc.</t>
  </si>
  <si>
    <t>spread</t>
  </si>
  <si>
    <t>mid pt</t>
  </si>
  <si>
    <t>3) Before printing the graph, its width or height may need</t>
  </si>
  <si>
    <t>adjusting.  "Square" the graph by clicking and dragging.</t>
  </si>
  <si>
    <t>x rt</t>
  </si>
  <si>
    <t>y rt</t>
  </si>
  <si>
    <t>x lf</t>
  </si>
  <si>
    <t>y lf</t>
  </si>
  <si>
    <t>section ID</t>
  </si>
  <si>
    <t>X</t>
  </si>
  <si>
    <t>Y</t>
  </si>
  <si>
    <t>4) </t>
  </si>
  <si>
    <t>more info</t>
  </si>
  <si>
    <t>Meander Length</t>
  </si>
  <si>
    <t>Meander Width</t>
  </si>
  <si>
    <t>Bends</t>
  </si>
  <si>
    <t>Ratios</t>
  </si>
  <si>
    <t>Bankfull Width:</t>
  </si>
  <si>
    <t>Sinuosity:</t>
  </si>
  <si>
    <t>Graph Format</t>
  </si>
  <si>
    <t>Meander Length:</t>
  </si>
  <si>
    <t>Meander Length Ratio:</t>
  </si>
  <si>
    <t>Z scale:</t>
  </si>
  <si>
    <t>Belt Width:</t>
  </si>
  <si>
    <t>Meander Width Ratio:</t>
  </si>
  <si>
    <t>Radius  of Curvature:</t>
  </si>
  <si>
    <t>Radius / BkF Width:</t>
  </si>
  <si>
    <t>show banks</t>
  </si>
  <si>
    <t>show centerline</t>
  </si>
  <si>
    <t>Channel Material</t>
  </si>
  <si>
    <t>1) Individual Pebble Count</t>
  </si>
  <si>
    <t>2) Weighted Pebble Count</t>
  </si>
  <si>
    <t>3) Bulk Sample Sieve Analysis</t>
  </si>
  <si>
    <t>Largest Particle</t>
  </si>
  <si>
    <t>Particle Shape Factor</t>
  </si>
  <si>
    <t>Enter individual particle size to get tally by size class</t>
  </si>
  <si>
    <t>Two individual samples may be entered below. Select sample type for each.</t>
  </si>
  <si>
    <t>Two samples may be entered below. Select sample type for each.</t>
  </si>
  <si>
    <t>axis (mm)</t>
  </si>
  <si>
    <t>Copy and &lt;Paste Values&gt; where needed.  This calculator is not linked to anything and can be copied as needed.</t>
  </si>
  <si>
    <t>Feature Percent of Reach</t>
  </si>
  <si>
    <t>a</t>
  </si>
  <si>
    <t>b</t>
  </si>
  <si>
    <t>c</t>
  </si>
  <si>
    <t>Sp</t>
  </si>
  <si>
    <t>Three types of data can be accommodated to the right on this sheet:</t>
  </si>
  <si>
    <t>%</t>
  </si>
  <si>
    <t>.</t>
  </si>
  <si>
    <t>Range</t>
  </si>
  <si>
    <t>1. Individual stand alone pebble count for:</t>
  </si>
  <si>
    <t>Values</t>
  </si>
  <si>
    <t>&gt; riffle surface,</t>
  </si>
  <si>
    <t>Material</t>
  </si>
  <si>
    <t>Size Range (mm)</t>
  </si>
  <si>
    <t>Count</t>
  </si>
  <si>
    <t>very fine gravel</t>
  </si>
  <si>
    <t>&gt; channel bed or</t>
  </si>
  <si>
    <t>silt/clay</t>
  </si>
  <si>
    <t>Sieve &amp;</t>
  </si>
  <si>
    <t>fine gravel</t>
  </si>
  <si>
    <t>&gt; bankfull channel.</t>
  </si>
  <si>
    <t>very fine sand</t>
  </si>
  <si>
    <t>Pebble Count, </t>
  </si>
  <si>
    <t>Sieve</t>
  </si>
  <si>
    <t>Sample</t>
  </si>
  <si>
    <t>Retained</t>
  </si>
  <si>
    <t>Passing</t>
  </si>
  <si>
    <t>fine sand</t>
  </si>
  <si>
    <t>weighted</t>
  </si>
  <si>
    <t>Size</t>
  </si>
  <si>
    <t>Weight</t>
  </si>
  <si>
    <t>on Sieve</t>
  </si>
  <si>
    <t>Point Bar</t>
  </si>
  <si>
    <t>medium gravel</t>
  </si>
  <si>
    <t>2. Weighted pebble counts representing the channel surface with samples</t>
  </si>
  <si>
    <t>medium sand</t>
  </si>
  <si>
    <t>(mm)</t>
  </si>
  <si>
    <t>(g)</t>
  </si>
  <si>
    <t>Bed Sub-pavement</t>
  </si>
  <si>
    <t>taken separately from distinct features or depositional areas.</t>
  </si>
  <si>
    <t>coarse sand</t>
  </si>
  <si>
    <t>Channel Bank</t>
  </si>
  <si>
    <t>coarse gravel</t>
  </si>
  <si>
    <t>&gt; bed features (riffle, pool, etc),</t>
  </si>
  <si>
    <t>very coarse sand</t>
  </si>
  <si>
    <t>&gt; bed surface and bank surface,</t>
  </si>
  <si>
    <t>Riffle Surface</t>
  </si>
  <si>
    <t>mean shape factor:</t>
  </si>
  <si>
    <t>very coarse gravel</t>
  </si>
  <si>
    <t>&gt; facies or patches of distinct grain size.</t>
  </si>
  <si>
    <t>Bed Surface</t>
  </si>
  <si>
    <t>d 16-84</t>
  </si>
  <si>
    <t>Bankfull Channel</t>
  </si>
  <si>
    <t>small cobble</t>
  </si>
  <si>
    <t>3. Bulk sieve analysis for:</t>
  </si>
  <si>
    <t>medium cobble</t>
  </si>
  <si>
    <t>&gt;point bar samples,</t>
  </si>
  <si>
    <t>Riffle, Pool, Run, Glide</t>
  </si>
  <si>
    <t>large cobble</t>
  </si>
  <si>
    <t>&gt;bed sub-pavement or</t>
  </si>
  <si>
    <t>Bed and Bank</t>
  </si>
  <si>
    <t>very large cobble</t>
  </si>
  <si>
    <t>&gt;bank material.</t>
  </si>
  <si>
    <t>Facies #1,#2, #3 and #4</t>
  </si>
  <si>
    <t>small boulder</t>
  </si>
  <si>
    <t>Surface material from this worksheet is linked to the Dimension worksheet where</t>
  </si>
  <si>
    <t>medium boulder</t>
  </si>
  <si>
    <t>it is used to estimate roughness.  Individual or weighted samples will link.</t>
  </si>
  <si>
    <t>large boulder</t>
  </si>
  <si>
    <t>If no bed surface is entered, riffle surface is used and then the bankfull channel.</t>
  </si>
  <si>
    <t>very large boulder</t>
  </si>
  <si>
    <t>Shape factor and Largest Particle may be entered far to the right of this worksheet.</t>
  </si>
  <si>
    <t>total wt retained in sieves:</t>
  </si>
  <si>
    <t>Size (mm)</t>
  </si>
  <si>
    <t>D16</t>
  </si>
  <si>
    <t>D65</t>
  </si>
  <si>
    <t>sand</t>
  </si>
  <si>
    <t>Note:</t>
  </si>
  <si>
    <t>D35</t>
  </si>
  <si>
    <t>D84</t>
  </si>
  <si>
    <t>total particle count:</t>
  </si>
  <si>
    <t>D50</t>
  </si>
  <si>
    <t>D95</t>
  </si>
  <si>
    <t>Size Distribution</t>
  </si>
  <si>
    <t>Type</t>
  </si>
  <si>
    <t>bedrock</t>
  </si>
  <si>
    <t>mean</t>
  </si>
  <si>
    <t>clay hardpan</t>
  </si>
  <si>
    <t>total particle weighted count:</t>
  </si>
  <si>
    <t>detritus/wood</t>
  </si>
  <si>
    <t>gravel</t>
  </si>
  <si>
    <t>artificial</t>
  </si>
  <si>
    <t>cobble</t>
  </si>
  <si>
    <t>total count:</t>
  </si>
  <si>
    <t>boulder</t>
  </si>
  <si>
    <t>total weighted count:</t>
  </si>
  <si>
    <t>total:</t>
  </si>
  <si>
    <t>Cross Sectional Dimension</t>
  </si>
  <si>
    <t>More Cross Sections</t>
  </si>
  <si>
    <t>This Worksheet:</t>
  </si>
  <si>
    <t>1) For more cross sections copy this entire sheet </t>
  </si>
  <si>
    <t>1) Start by entering the sections "Reference ID" used on the profile sheet.</t>
  </si>
  <si>
    <t>   by right clicking on the Dimension Tab.</t>
  </si>
  <si>
    <t>2) Note that the new sheet will not have automatic links back to other sheets</t>
  </si>
  <si>
    <t>  so you'll have to enter average, max and min values on the summary page.</t>
  </si>
  <si>
    <t>2) Entering surveyed values for "Distance" and "FS" in the worksheets to the right.</t>
  </si>
  <si>
    <t>3) The "BS" column can be ignored unless the instrument was moved in the midst of surveying a cross section, in which case a turning point FS and BS are entered.</t>
  </si>
  <si>
    <t>4) The spreadsheet provides values inferred from the data entered however these should be checked.  Values entered take precedence.</t>
  </si>
  <si>
    <t>Reach:</t>
  </si>
  <si>
    <t>Bankfull Dimensions</t>
  </si>
  <si>
    <t>Flood Dimensions</t>
  </si>
  <si>
    <t>Materials</t>
  </si>
  <si>
    <t>discharge rate</t>
  </si>
  <si>
    <t>threshold grain size (mm):</t>
  </si>
  <si>
    <t>low bank height ratio</t>
  </si>
  <si>
    <t>width-depth ratio</t>
  </si>
  <si>
    <t>Bankfull Flow</t>
  </si>
  <si>
    <t>Flow Resistance</t>
  </si>
  <si>
    <t>Forces &amp; Power</t>
  </si>
  <si>
    <t>Manning's roughness</t>
  </si>
  <si>
    <t>Riffle - Run:</t>
  </si>
  <si>
    <t>D'Arcy-Weisbach fric.</t>
  </si>
  <si>
    <t>resistance factor u/u*</t>
  </si>
  <si>
    <t>Distance</t>
  </si>
  <si>
    <t>Elevation</t>
  </si>
  <si>
    <t>Omit</t>
  </si>
  <si>
    <t>Notes</t>
  </si>
  <si>
    <t>to find</t>
  </si>
  <si>
    <t>bkht</t>
  </si>
  <si>
    <t>Cross Section </t>
  </si>
  <si>
    <t>Bkf</t>
  </si>
  <si>
    <t>elev</t>
  </si>
  <si>
    <t>d max</t>
  </si>
  <si>
    <t>w</t>
  </si>
  <si>
    <t>close fpa</t>
  </si>
  <si>
    <t>reference ID</t>
  </si>
  <si>
    <t>instrument height</t>
  </si>
  <si>
    <t>longitudinal station</t>
  </si>
  <si>
    <t>Bankfull Stage</t>
  </si>
  <si>
    <t>Low Bank Height</t>
  </si>
  <si>
    <t>Pool:</t>
  </si>
  <si>
    <t>Flood Prone Area</t>
  </si>
  <si>
    <t>width fpa</t>
  </si>
  <si>
    <t>Channel Slope</t>
  </si>
  <si>
    <t>percent slope</t>
  </si>
  <si>
    <t>Manning's "n"</t>
  </si>
  <si>
    <t>D'Arcy - Weisbach "f"</t>
  </si>
  <si>
    <t>hints</t>
  </si>
  <si>
    <t>Dimension  </t>
  </si>
  <si>
    <t>bankfull channel</t>
  </si>
  <si>
    <t>riffle - run</t>
  </si>
  <si>
    <t>dimensionless ratios:</t>
  </si>
  <si>
    <t>hydraulics:</t>
  </si>
  <si>
    <t>riffle-run &amp; (range)</t>
  </si>
  <si>
    <t>Shield's parameter</t>
  </si>
  <si>
    <t>FPA</t>
  </si>
  <si>
    <t>BKHT</t>
  </si>
  <si>
    <t>D MAX</t>
  </si>
  <si>
    <t>POWER</t>
  </si>
  <si>
    <t>UNIT</t>
  </si>
  <si>
    <t>FEATURE</t>
  </si>
  <si>
    <t>Riffle</t>
  </si>
  <si>
    <t>x lf bk</t>
  </si>
  <si>
    <t>y lf bk</t>
  </si>
  <si>
    <t>x rt bk</t>
  </si>
  <si>
    <t>y rt bk</t>
  </si>
  <si>
    <t>Pool</t>
  </si>
  <si>
    <t>Run</t>
  </si>
  <si>
    <t>Glide</t>
  </si>
  <si>
    <t>feature</t>
  </si>
  <si>
    <t>area</t>
  </si>
  <si>
    <t>width</t>
  </si>
  <si>
    <t>d max </t>
  </si>
  <si>
    <t>d mean</t>
  </si>
  <si>
    <t>P</t>
  </si>
  <si>
    <t>R</t>
  </si>
  <si>
    <t>w-d ratio</t>
  </si>
  <si>
    <t>w fpa</t>
  </si>
  <si>
    <t>ent ratio</t>
  </si>
  <si>
    <t>low bk ht</t>
  </si>
  <si>
    <t>S channel</t>
  </si>
  <si>
    <t>rel. roughness</t>
  </si>
  <si>
    <t>D-W f</t>
  </si>
  <si>
    <t>manning's n</t>
  </si>
  <si>
    <t>v </t>
  </si>
  <si>
    <t>Q</t>
  </si>
  <si>
    <t>T</t>
  </si>
  <si>
    <t>Tv</t>
  </si>
  <si>
    <t>Power</t>
  </si>
  <si>
    <t>Fr</t>
  </si>
  <si>
    <t>u/u*</t>
  </si>
  <si>
    <t>D moble</t>
  </si>
  <si>
    <t>mean riffle-run</t>
  </si>
  <si>
    <t>min riffle-run</t>
  </si>
  <si>
    <t>max riffle-run</t>
  </si>
  <si>
    <t>mean pool</t>
  </si>
  <si>
    <t>min pool</t>
  </si>
  <si>
    <t>max pool</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</si>
</sst>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
    <numFmt numFmtId="165" formatCode="0.000"/>
    <numFmt numFmtId="166" formatCode="0.00000"/>
    <numFmt numFmtId="167" formatCode="0.0000"/>
    <numFmt numFmtId="168" formatCode="0.00000000000000"/>
    <numFmt numFmtId="169" formatCode="0.000000000"/>
    <numFmt numFmtId="170" formatCode="mmmm d, yyyy;@"/>
  </numFmts>
  <fonts count="915">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8282AA"/>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FFFFFF"/>
      <name val="Arial"/>
    </font>
    <font>
      <b val="0"/>
      <i val="0"/>
      <strike val="0"/>
      <u val="none"/>
      <sz val="10.0"/>
      <color rgb="FFFFFFFF"/>
      <name val="Arial"/>
    </font>
    <font>
      <b val="0"/>
      <i val="0"/>
      <strike val="0"/>
      <u val="none"/>
      <sz val="11.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1.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800000"/>
      <name val="Arial"/>
    </font>
    <font>
      <b val="0"/>
      <i val="0"/>
      <strike val="0"/>
      <u val="none"/>
      <sz val="11.0"/>
      <color rgb="FF80808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28.0"/>
      <color rgb="FF000000"/>
      <name val="Algerian"/>
    </font>
    <font>
      <b val="0"/>
      <i val="0"/>
      <strike val="0"/>
      <u val="none"/>
      <sz val="10.0"/>
      <color rgb="FF000000"/>
      <name val="Arial"/>
    </font>
    <font>
      <b val="0"/>
      <i val="0"/>
      <strike val="0"/>
      <u val="none"/>
      <sz val="11.0"/>
      <color rgb="FF000000"/>
      <name val="Arial"/>
    </font>
    <font>
      <b val="0"/>
      <i val="0"/>
      <strike val="0"/>
      <u val="none"/>
      <sz val="9.0"/>
      <color rgb="FFFFFFFF"/>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FFFFFF"/>
      <name val="Arial"/>
    </font>
    <font>
      <b/>
      <i val="0"/>
      <strike val="0"/>
      <u/>
      <sz val="11.0"/>
      <color rgb="FF000000"/>
      <name val="Arial"/>
    </font>
    <font>
      <b val="0"/>
      <i val="0"/>
      <strike val="0"/>
      <u val="none"/>
      <sz val="10.0"/>
      <color rgb="FF000000"/>
      <name val="Arial"/>
    </font>
    <font>
      <b val="0"/>
      <i val="0"/>
      <strike val="0"/>
      <u val="none"/>
      <sz val="10.0"/>
      <color rgb="FF80808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969696"/>
      <name val="Arial"/>
    </font>
    <font>
      <b val="0"/>
      <i val="0"/>
      <strike val="0"/>
      <u val="none"/>
      <sz val="10.0"/>
      <color rgb="FF000000"/>
      <name val="Arial"/>
    </font>
    <font>
      <b val="0"/>
      <i val="0"/>
      <strike val="0"/>
      <u/>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808080"/>
      <name val="Arial"/>
    </font>
    <font>
      <b val="0"/>
      <i val="0"/>
      <strike val="0"/>
      <u val="none"/>
      <sz val="10.0"/>
      <color rgb="FF969696"/>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9.0"/>
      <color rgb="FF000000"/>
      <name val="Arial"/>
    </font>
    <font>
      <b val="0"/>
      <i val="0"/>
      <strike val="0"/>
      <u val="none"/>
      <sz val="10.0"/>
      <color rgb="FF808080"/>
      <name val="Arial"/>
    </font>
    <font>
      <b val="0"/>
      <i val="0"/>
      <strike val="0"/>
      <u val="none"/>
      <sz val="10.0"/>
      <color rgb="FF000000"/>
      <name val="Arial"/>
    </font>
    <font>
      <b val="0"/>
      <i val="0"/>
      <strike val="0"/>
      <u val="none"/>
      <sz val="10.0"/>
      <color rgb="FF808080"/>
      <name val="Arial"/>
    </font>
    <font>
      <b/>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1.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i val="0"/>
      <strike val="0"/>
      <u val="none"/>
      <sz val="10.0"/>
      <color rgb="FF000000"/>
      <name val="Arial"/>
    </font>
    <font>
      <b val="0"/>
      <i val="0"/>
      <strike val="0"/>
      <u val="none"/>
      <sz val="10.0"/>
      <color rgb="FF0000FF"/>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1.0"/>
      <color rgb="FF000000"/>
      <name val="Arial"/>
    </font>
    <font>
      <b val="0"/>
      <i val="0"/>
      <strike val="0"/>
      <u val="none"/>
      <sz val="10.0"/>
      <color rgb="FF000000"/>
      <name val="Arial"/>
    </font>
    <font>
      <b val="0"/>
      <i val="0"/>
      <strike val="0"/>
      <u val="none"/>
      <sz val="11.0"/>
      <color rgb="FF808080"/>
      <name val="Arial"/>
    </font>
    <font>
      <b val="0"/>
      <i val="0"/>
      <strike val="0"/>
      <u val="none"/>
      <sz val="10.0"/>
      <color rgb="FF8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C0C0C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2.0"/>
      <color rgb="FF666699"/>
      <name val="Times"/>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0000"/>
      <name val="Arial"/>
    </font>
    <font>
      <b val="0"/>
      <i val="0"/>
      <strike val="0"/>
      <u val="none"/>
      <sz val="10.0"/>
      <color rgb="FF000000"/>
      <name val="Arial"/>
    </font>
    <font>
      <b val="0"/>
      <i val="0"/>
      <strike val="0"/>
      <u val="none"/>
      <sz val="10.0"/>
      <color rgb="FFFF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2.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8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FFFFFF"/>
      <name val="Arial"/>
    </font>
    <font>
      <b/>
      <i val="0"/>
      <strike val="0"/>
      <u val="none"/>
      <sz val="10.0"/>
      <color rgb="FFFFFFFF"/>
      <name val="Arial"/>
    </font>
    <font>
      <b val="0"/>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lgerian"/>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9.0"/>
      <color rgb="FFFFFFFF"/>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0000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i val="0"/>
      <strike val="0"/>
      <u val="none"/>
      <sz val="10.0"/>
      <color rgb="FFFFFFFF"/>
      <name val="Arial"/>
    </font>
    <font>
      <b val="0"/>
      <i val="0"/>
      <strike val="0"/>
      <u val="none"/>
      <sz val="9.0"/>
      <color rgb="FF000000"/>
      <name val="Arial"/>
    </font>
    <font>
      <b val="0"/>
      <i val="0"/>
      <strike val="0"/>
      <u val="none"/>
      <sz val="10.0"/>
      <color rgb="FF8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1.0"/>
      <color rgb="FF80808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FF"/>
      <name val="Arial"/>
    </font>
    <font>
      <b val="0"/>
      <i val="0"/>
      <strike val="0"/>
      <u val="none"/>
      <sz val="10.0"/>
      <color rgb="FF000000"/>
      <name val="Arial"/>
    </font>
    <font>
      <b val="0"/>
      <i val="0"/>
      <strike val="0"/>
      <u val="none"/>
      <sz val="10.0"/>
      <color rgb="FF0000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FFFFFF"/>
      <name val="Arial"/>
    </font>
    <font>
      <b/>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80808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800000"/>
      <name val="Arial"/>
    </font>
    <font>
      <b val="0"/>
      <i val="0"/>
      <strike val="0"/>
      <u val="none"/>
      <sz val="10.0"/>
      <color rgb="FFFFFFFF"/>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9.0"/>
      <color rgb="FF000000"/>
      <name val="Arial"/>
    </font>
    <font>
      <b val="0"/>
      <i val="0"/>
      <strike val="0"/>
      <u val="none"/>
      <sz val="10.0"/>
      <color rgb="FF000000"/>
      <name val="Arial"/>
    </font>
    <font>
      <b val="0"/>
      <i val="0"/>
      <strike val="0"/>
      <u val="none"/>
      <sz val="9.0"/>
      <color rgb="FF000000"/>
      <name val="Arial"/>
    </font>
    <font>
      <b val="0"/>
      <i val="0"/>
      <strike val="0"/>
      <u val="none"/>
      <sz val="10.0"/>
      <color rgb="FF000000"/>
      <name val="Arial"/>
    </font>
    <font>
      <b val="0"/>
      <i val="0"/>
      <strike val="0"/>
      <u val="none"/>
      <sz val="8.0"/>
      <color rgb="FFC0C0C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808080"/>
      <name val="Arial"/>
    </font>
    <font>
      <b val="0"/>
      <i val="0"/>
      <strike val="0"/>
      <u val="none"/>
      <sz val="10.0"/>
      <color rgb="FF80808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i val="0"/>
      <strike val="0"/>
      <u val="none"/>
      <sz val="9.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EEEEEE"/>
      <name val="Arial"/>
    </font>
    <font>
      <b val="0"/>
      <i val="0"/>
      <strike val="0"/>
      <u val="none"/>
      <sz val="11.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1.0"/>
      <color rgb="FF808080"/>
      <name val="Arial"/>
    </font>
    <font>
      <b val="0"/>
      <i val="0"/>
      <strike val="0"/>
      <u val="none"/>
      <sz val="10.0"/>
      <color rgb="FF000000"/>
      <name val="Arial"/>
    </font>
    <font>
      <b val="0"/>
      <i val="0"/>
      <strike val="0"/>
      <u val="none"/>
      <sz val="10.0"/>
      <color rgb="FF000000"/>
      <name val="Arial"/>
    </font>
    <font>
      <b val="0"/>
      <i val="0"/>
      <strike val="0"/>
      <u val="none"/>
      <sz val="10.0"/>
      <color rgb="FFC0C0C0"/>
      <name val="Arial"/>
    </font>
    <font>
      <b val="0"/>
      <i val="0"/>
      <strike val="0"/>
      <u val="none"/>
      <sz val="10.0"/>
      <color rgb="FF000000"/>
      <name val="Arial"/>
    </font>
    <font>
      <b val="0"/>
      <i val="0"/>
      <strike val="0"/>
      <u val="none"/>
      <sz val="9.0"/>
      <color rgb="FF000000"/>
      <name val="Arial"/>
    </font>
    <font>
      <b val="0"/>
      <i val="0"/>
      <strike val="0"/>
      <u val="none"/>
      <sz val="10.0"/>
      <color rgb="FFFFFFFF"/>
      <name val="Arial"/>
    </font>
    <font>
      <b val="0"/>
      <i val="0"/>
      <strike val="0"/>
      <u val="none"/>
      <sz val="10.0"/>
      <color rgb="FF000000"/>
      <name val="Arial"/>
    </font>
    <font>
      <b val="0"/>
      <i val="0"/>
      <strike val="0"/>
      <u val="none"/>
      <sz val="8.0"/>
      <color rgb="FF969696"/>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FFFFFF"/>
      <name val="Arial"/>
    </font>
    <font>
      <b val="0"/>
      <i val="0"/>
      <strike val="0"/>
      <u val="none"/>
      <sz val="8.0"/>
      <color rgb="FF000000"/>
      <name val="Arial"/>
    </font>
    <font>
      <b val="0"/>
      <i val="0"/>
      <strike val="0"/>
      <u val="none"/>
      <sz val="10.0"/>
      <color rgb="FF000000"/>
      <name val="Arial"/>
    </font>
    <font>
      <b/>
      <i val="0"/>
      <strike val="0"/>
      <u val="none"/>
      <sz val="10.0"/>
      <color rgb="FFFFFFFF"/>
      <name val="Arial"/>
    </font>
    <font>
      <b/>
      <i val="0"/>
      <strike val="0"/>
      <u val="none"/>
      <sz val="10.0"/>
      <color rgb="FFFFFFFF"/>
      <name val="Arial"/>
    </font>
    <font>
      <b/>
      <i val="0"/>
      <strike val="0"/>
      <u val="none"/>
      <sz val="10.0"/>
      <color rgb="FFFFFFFF"/>
      <name val="Arial"/>
    </font>
    <font>
      <b val="0"/>
      <i val="0"/>
      <strike val="0"/>
      <u val="none"/>
      <sz val="10.0"/>
      <color rgb="FF000000"/>
      <name val="Arial"/>
    </font>
    <font>
      <b val="0"/>
      <i val="0"/>
      <strike val="0"/>
      <u val="none"/>
      <sz val="10.0"/>
      <color rgb="FFFFFFFF"/>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i val="0"/>
      <strike val="0"/>
      <u val="none"/>
      <sz val="10.0"/>
      <color rgb="FFFF0000"/>
      <name val="Arial"/>
    </font>
    <font>
      <b/>
      <i val="0"/>
      <strike val="0"/>
      <u val="none"/>
      <sz val="10.0"/>
      <color rgb="FFFFFFFF"/>
      <name val="Arial"/>
    </font>
    <font>
      <b val="0"/>
      <i val="0"/>
      <strike val="0"/>
      <u val="none"/>
      <sz val="10.0"/>
      <color rgb="FF808080"/>
      <name val="Arial"/>
    </font>
    <font>
      <b val="0"/>
      <i val="0"/>
      <strike val="0"/>
      <u val="none"/>
      <sz val="10.0"/>
      <color rgb="FF000000"/>
      <name val="Arial"/>
    </font>
    <font>
      <b/>
      <i val="0"/>
      <strike val="0"/>
      <u val="none"/>
      <sz val="10.0"/>
      <color rgb="FFFFFFFF"/>
      <name val="Arial"/>
    </font>
    <font>
      <b/>
      <i val="0"/>
      <strike val="0"/>
      <u val="none"/>
      <sz val="10.0"/>
      <color rgb="FF000000"/>
      <name val="Arial"/>
    </font>
    <font>
      <b val="0"/>
      <i val="0"/>
      <strike val="0"/>
      <u val="none"/>
      <sz val="10.0"/>
      <color rgb="FF000000"/>
      <name val="Arial"/>
    </font>
    <font>
      <b val="0"/>
      <i val="0"/>
      <strike val="0"/>
      <u val="none"/>
      <sz val="11.0"/>
      <color rgb="FF000000"/>
      <name val="Arial"/>
    </font>
    <font>
      <b val="0"/>
      <i val="0"/>
      <strike val="0"/>
      <u val="none"/>
      <sz val="11.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0.0"/>
      <color rgb="FFFFFFFF"/>
      <name val="Arial"/>
    </font>
    <font>
      <b/>
      <i val="0"/>
      <strike val="0"/>
      <u val="none"/>
      <sz val="8.0"/>
      <color rgb="FF000000"/>
      <name val="Arial"/>
    </font>
    <font>
      <b val="0"/>
      <i val="0"/>
      <strike val="0"/>
      <u val="none"/>
      <sz val="10.0"/>
      <color rgb="FF000000"/>
      <name val="Arial"/>
    </font>
    <font>
      <b val="0"/>
      <i val="0"/>
      <strike val="0"/>
      <u val="none"/>
      <sz val="9.0"/>
      <color rgb="FF000000"/>
      <name val="Arial"/>
    </font>
    <font>
      <b val="0"/>
      <i val="0"/>
      <strike val="0"/>
      <u val="none"/>
      <sz val="10.0"/>
      <color rgb="FF000000"/>
      <name val="Arial"/>
    </font>
    <font>
      <b val="0"/>
      <i val="0"/>
      <strike val="0"/>
      <u val="none"/>
      <sz val="11.0"/>
      <color rgb="FF80808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666699"/>
      <name val="Times"/>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8.0"/>
      <color rgb="FF000000"/>
      <name val="Arial"/>
    </font>
    <font>
      <b/>
      <i val="0"/>
      <strike val="0"/>
      <u val="none"/>
      <sz val="14.0"/>
      <color rgb="FF666699"/>
      <name val="Lucida handwriting"/>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i val="0"/>
      <strike val="0"/>
      <u val="none"/>
      <sz val="8.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i val="0"/>
      <strike val="0"/>
      <u val="none"/>
      <sz val="10.0"/>
      <color rgb="FF000000"/>
      <name val="Arial"/>
    </font>
    <font>
      <b val="0"/>
      <i val="0"/>
      <strike val="0"/>
      <u val="none"/>
      <sz val="8.0"/>
      <color rgb="FF969696"/>
      <name val="Arial"/>
    </font>
    <font>
      <b/>
      <i val="0"/>
      <strike val="0"/>
      <u val="none"/>
      <sz val="10.0"/>
      <color rgb="FFFFFFFF"/>
      <name val="Arial"/>
    </font>
    <font>
      <b val="0"/>
      <i val="0"/>
      <strike val="0"/>
      <u val="none"/>
      <sz val="10.0"/>
      <color rgb="FF000000"/>
      <name val="Arial"/>
    </font>
    <font>
      <b/>
      <i val="0"/>
      <strike val="0"/>
      <u val="none"/>
      <sz val="10.0"/>
      <color rgb="FF808080"/>
      <name val="Arial"/>
    </font>
    <font>
      <b/>
      <i val="0"/>
      <strike val="0"/>
      <u val="none"/>
      <sz val="10.0"/>
      <color rgb="FF000000"/>
      <name val="Arial"/>
    </font>
    <font>
      <b/>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i val="0"/>
      <strike val="0"/>
      <u val="none"/>
      <sz val="10.0"/>
      <color rgb="FFFFFFFF"/>
      <name val="Arial"/>
    </font>
    <font>
      <b val="0"/>
      <i val="0"/>
      <strike val="0"/>
      <u val="none"/>
      <sz val="8.0"/>
      <color rgb="FF000000"/>
      <name val="Arial"/>
    </font>
    <font>
      <b val="0"/>
      <i val="0"/>
      <strike val="0"/>
      <u val="none"/>
      <sz val="11.0"/>
      <color rgb="FF808080"/>
      <name val="Arial"/>
    </font>
    <font>
      <b val="0"/>
      <i val="0"/>
      <strike val="0"/>
      <u val="none"/>
      <sz val="10.0"/>
      <color rgb="FF000000"/>
      <name val="Arial"/>
    </font>
    <font>
      <b/>
      <i val="0"/>
      <strike val="0"/>
      <u val="none"/>
      <sz val="10.0"/>
      <color rgb="FF808080"/>
      <name val="Arial"/>
    </font>
    <font>
      <b val="0"/>
      <i val="0"/>
      <strike val="0"/>
      <u val="none"/>
      <sz val="10.0"/>
      <color rgb="FF969696"/>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9.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8.0"/>
      <color rgb="FF000000"/>
      <name val="Arial"/>
    </font>
    <font>
      <b val="0"/>
      <i val="0"/>
      <strike val="0"/>
      <u val="none"/>
      <sz val="10.0"/>
      <color rgb="FF80808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4.0"/>
      <color rgb="FF000000"/>
      <name val="Arial"/>
    </font>
    <font>
      <b val="0"/>
      <i val="0"/>
      <strike val="0"/>
      <u val="none"/>
      <sz val="10.0"/>
      <color rgb="FFFFFFFF"/>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9.0"/>
      <color rgb="FFFFFFFF"/>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80808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8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i val="0"/>
      <strike val="0"/>
      <u val="none"/>
      <sz val="8.0"/>
      <color rgb="FF000000"/>
      <name val="Arial"/>
    </font>
    <font>
      <b val="0"/>
      <i val="0"/>
      <strike val="0"/>
      <u val="none"/>
      <sz val="10.0"/>
      <color rgb="FF666699"/>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800000"/>
      <name val="Arial"/>
    </font>
    <font>
      <b val="0"/>
      <i val="0"/>
      <strike val="0"/>
      <u val="none"/>
      <sz val="10.0"/>
      <color rgb="FF000000"/>
      <name val="Arial"/>
    </font>
    <font>
      <b/>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i val="0"/>
      <strike val="0"/>
      <u val="none"/>
      <sz val="10.0"/>
      <color rgb="FF800000"/>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4.0"/>
      <color rgb="FF8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FF"/>
      <name val="Arial"/>
    </font>
    <font>
      <b/>
      <i val="0"/>
      <strike val="0"/>
      <u val="none"/>
      <sz val="10.0"/>
      <color rgb="FFFFFFFF"/>
      <name val="Arial"/>
    </font>
    <font>
      <b val="0"/>
      <i val="0"/>
      <strike val="0"/>
      <u val="none"/>
      <sz val="10.0"/>
      <color rgb="FFFFFFFF"/>
      <name val="Arial"/>
    </font>
    <font>
      <b val="0"/>
      <i val="0"/>
      <strike val="0"/>
      <u val="none"/>
      <sz val="10.0"/>
      <color rgb="FFFFFFFF"/>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8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0000"/>
      <name val="Arial"/>
    </font>
    <font>
      <b val="0"/>
      <i val="0"/>
      <strike val="0"/>
      <u val="none"/>
      <sz val="8.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FFFF99"/>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FFFFFF"/>
      <name val="Arial"/>
    </font>
    <font>
      <b val="0"/>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8.0"/>
      <color rgb="FF000000"/>
      <name val="Arial"/>
    </font>
    <font>
      <b val="0"/>
      <i val="0"/>
      <strike val="0"/>
      <u val="none"/>
      <sz val="10.0"/>
      <color rgb="FFFFFFFF"/>
      <name val="Arial"/>
    </font>
    <font>
      <b val="0"/>
      <i val="0"/>
      <strike val="0"/>
      <u val="none"/>
      <sz val="10.0"/>
      <color rgb="FF000000"/>
      <name val="Arial"/>
    </font>
    <font>
      <b val="0"/>
      <i val="0"/>
      <strike val="0"/>
      <u val="none"/>
      <sz val="8.0"/>
      <color rgb="FF000000"/>
      <name val="Arial"/>
    </font>
    <font>
      <b val="0"/>
      <i val="0"/>
      <strike val="0"/>
      <u val="none"/>
      <sz val="10.0"/>
      <color rgb="FF000000"/>
      <name val="Arial"/>
    </font>
    <font>
      <b val="0"/>
      <i val="0"/>
      <strike val="0"/>
      <u val="none"/>
      <sz val="10.0"/>
      <color rgb="FFC0C0C0"/>
      <name val="Arial"/>
    </font>
    <font>
      <b/>
      <i val="0"/>
      <strike val="0"/>
      <u val="none"/>
      <sz val="10.0"/>
      <color rgb="FF80808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8.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808080"/>
      <name val="Arial"/>
    </font>
    <font>
      <b val="0"/>
      <i val="0"/>
      <strike val="0"/>
      <u val="none"/>
      <sz val="8.0"/>
      <color rgb="FFC0C0C0"/>
      <name val="Arial"/>
    </font>
    <font>
      <b/>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9.0"/>
      <color rgb="FF000000"/>
      <name val="Arial"/>
    </font>
    <font>
      <b val="0"/>
      <i val="0"/>
      <strike val="0"/>
      <u val="none"/>
      <sz val="10.0"/>
      <color rgb="FF000000"/>
      <name val="Arial"/>
    </font>
    <font>
      <b val="0"/>
      <i val="0"/>
      <strike val="0"/>
      <u val="none"/>
      <sz val="22.0"/>
      <color rgb="FF000000"/>
      <name val="Times New Roman"/>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i val="0"/>
      <strike val="0"/>
      <u val="none"/>
      <sz val="10.0"/>
      <color rgb="FFFFFFFF"/>
      <name val="Arial"/>
    </font>
    <font>
      <b/>
      <i val="0"/>
      <strike val="0"/>
      <u val="none"/>
      <sz val="10.0"/>
      <color rgb="FFFFFFFF"/>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8.0"/>
      <color rgb="FF969696"/>
      <name val="Arial"/>
    </font>
    <font>
      <b val="0"/>
      <i val="0"/>
      <strike val="0"/>
      <u val="none"/>
      <sz val="10.0"/>
      <color rgb="FFFFFFFF"/>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val="0"/>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808080"/>
      <name val="Arial"/>
    </font>
    <font>
      <b val="0"/>
      <i val="0"/>
      <strike val="0"/>
      <u val="none"/>
      <sz val="8.0"/>
      <color rgb="FF000000"/>
      <name val="Arial"/>
    </font>
    <font>
      <b val="0"/>
      <i val="0"/>
      <strike val="0"/>
      <u val="none"/>
      <sz val="10.0"/>
      <color rgb="FF000000"/>
      <name val="Arial"/>
    </font>
    <font>
      <b val="0"/>
      <i val="0"/>
      <strike val="0"/>
      <u val="none"/>
      <sz val="10.0"/>
      <color rgb="FF000000"/>
      <name val="Arial"/>
    </font>
    <font>
      <b/>
      <i val="0"/>
      <strike val="0"/>
      <u val="none"/>
      <sz val="10.0"/>
      <color rgb="FFFFFFFF"/>
      <name val="Arial"/>
    </font>
    <font>
      <b val="0"/>
      <i val="0"/>
      <strike val="0"/>
      <u val="none"/>
      <sz val="10.0"/>
      <color rgb="FF8282AA"/>
      <name val="Arial"/>
    </font>
    <font>
      <b val="0"/>
      <i val="0"/>
      <strike val="0"/>
      <u val="none"/>
      <sz val="10.0"/>
      <color rgb="FFFFFFFF"/>
      <name val="Arial"/>
    </font>
    <font>
      <b val="0"/>
      <i val="0"/>
      <strike val="0"/>
      <u val="none"/>
      <sz val="11.0"/>
      <color rgb="FF000000"/>
      <name val="Arial"/>
    </font>
    <font>
      <b val="0"/>
      <i val="0"/>
      <strike val="0"/>
      <u val="none"/>
      <sz val="10.0"/>
      <color rgb="FFFFFFFF"/>
      <name val="Arial"/>
    </font>
    <font>
      <b val="0"/>
      <i val="0"/>
      <strike val="0"/>
      <u val="none"/>
      <sz val="10.0"/>
      <color rgb="FF969696"/>
      <name val="Arial"/>
    </font>
    <font>
      <b val="0"/>
      <i val="0"/>
      <strike val="0"/>
      <u val="none"/>
      <sz val="10.0"/>
      <color rgb="FF000000"/>
      <name val="Arial"/>
    </font>
    <font>
      <b val="0"/>
      <i val="0"/>
      <strike val="0"/>
      <u val="none"/>
      <sz val="10.0"/>
      <color rgb="FF969696"/>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val="0"/>
      <i val="0"/>
      <strike val="0"/>
      <u val="none"/>
      <sz val="10.0"/>
      <color rgb="FFFFFFFF"/>
      <name val="Arial"/>
    </font>
    <font>
      <b val="0"/>
      <i val="0"/>
      <strike val="0"/>
      <u val="none"/>
      <sz val="10.0"/>
      <color rgb="FF000000"/>
      <name val="Arial"/>
    </font>
    <font>
      <b/>
      <i val="0"/>
      <strike val="0"/>
      <u val="none"/>
      <sz val="10.0"/>
      <color rgb="FF80808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s>
  <fills count="10">
    <fill>
      <patternFill patternType="none"/>
    </fill>
    <fill>
      <patternFill patternType="gray125">
        <bgColor rgb="FFFFFFFF"/>
      </patternFill>
    </fill>
    <fill>
      <patternFill patternType="solid">
        <fgColor rgb="FFEEEEEE"/>
        <bgColor indexed="64"/>
      </patternFill>
    </fill>
    <fill>
      <patternFill patternType="solid">
        <fgColor rgb="FFFFFFFF"/>
        <bgColor indexed="64"/>
      </patternFill>
    </fill>
    <fill>
      <patternFill patternType="solid">
        <fgColor rgb="FFC0C0C0"/>
        <bgColor indexed="64"/>
      </patternFill>
    </fill>
    <fill>
      <patternFill patternType="solid">
        <fgColor rgb="FF808080"/>
        <bgColor indexed="64"/>
      </patternFill>
    </fill>
    <fill>
      <patternFill patternType="solid">
        <fgColor rgb="FF969696"/>
        <bgColor indexed="64"/>
      </patternFill>
    </fill>
    <fill>
      <patternFill patternType="lightUp">
        <bgColor rgb="FFFFFFFF"/>
      </patternFill>
    </fill>
    <fill>
      <patternFill patternType="solid">
        <fgColor rgb="FF8282AA"/>
        <bgColor indexed="64"/>
      </patternFill>
    </fill>
    <fill>
      <patternFill patternType="solid">
        <fgColor rgb="FF666699"/>
        <bgColor indexed="64"/>
      </patternFill>
    </fill>
  </fills>
  <borders count="115">
    <border>
      <left/>
      <right/>
      <top/>
      <bottom/>
      <diagonal/>
    </border>
    <border>
      <left/>
      <right style="thin">
        <color indexed="64"/>
      </right>
      <top/>
      <bottom style="thin">
        <color rgb="FF969696"/>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rgb="FF808080"/>
      </left>
      <right style="medium">
        <color rgb="FF808080"/>
      </right>
      <top style="thin">
        <color rgb="FF808080"/>
      </top>
      <bottom style="medium">
        <color rgb="FF808080"/>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rgb="FF808080"/>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rgb="FFEEEEEE"/>
      </bottom>
      <diagonal/>
    </border>
    <border>
      <left/>
      <right/>
      <top style="thin">
        <color rgb="FF969696"/>
      </top>
      <bottom style="thin">
        <color indexed="64"/>
      </bottom>
      <diagonal/>
    </border>
    <border>
      <left style="thin">
        <color rgb="FFFF0000"/>
      </left>
      <right/>
      <top style="medium">
        <color indexed="64"/>
      </top>
      <bottom style="thin">
        <color indexed="64"/>
      </bottom>
      <diagonal/>
    </border>
    <border>
      <left/>
      <right/>
      <top style="thin">
        <color rgb="FF808080"/>
      </top>
      <bottom style="medium">
        <color indexed="64"/>
      </bottom>
      <diagonal/>
    </border>
    <border>
      <left style="thin">
        <color indexed="64"/>
      </left>
      <right/>
      <top/>
      <bottom/>
      <diagonal/>
    </border>
    <border>
      <left/>
      <right/>
      <top style="medium">
        <color indexed="64"/>
      </top>
      <bottom style="thin">
        <color rgb="FF808080"/>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top style="thin">
        <color rgb="FF808080"/>
      </top>
      <bottom/>
      <diagonal/>
    </border>
    <border>
      <left style="thin">
        <color indexed="64"/>
      </left>
      <right style="thin">
        <color indexed="64"/>
      </right>
      <top/>
      <bottom style="thin">
        <color indexed="64"/>
      </bottom>
      <diagonal/>
    </border>
    <border>
      <left/>
      <right/>
      <top style="thin">
        <color rgb="FF808080"/>
      </top>
      <bottom style="thin">
        <color rgb="FFEEEEEE"/>
      </bottom>
      <diagonal/>
    </border>
    <border>
      <left/>
      <right style="thin">
        <color indexed="64"/>
      </right>
      <top style="thin">
        <color rgb="FFEEEEEE"/>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rgb="FF969696"/>
      </bottom>
      <diagonal/>
    </border>
    <border>
      <left style="medium">
        <color rgb="FF808080"/>
      </left>
      <right/>
      <top/>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rgb="FF969696"/>
      </bottom>
      <diagonal/>
    </border>
    <border>
      <left/>
      <right style="thin">
        <color indexed="64"/>
      </right>
      <top style="thin">
        <color indexed="64"/>
      </top>
      <bottom style="medium">
        <color indexed="64"/>
      </bottom>
      <diagonal/>
    </border>
    <border>
      <left/>
      <right style="thin">
        <color indexed="64"/>
      </right>
      <top style="thin">
        <color rgb="FF808080"/>
      </top>
      <bottom style="thin">
        <color rgb="FFEEEEEE"/>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rgb="FFEEEEEE"/>
      </top>
      <bottom style="thin">
        <color rgb="FF808080"/>
      </bottom>
      <diagonal/>
    </border>
    <border>
      <left/>
      <right/>
      <top style="thin">
        <color rgb="FF808080"/>
      </top>
      <bottom/>
      <diagonal/>
    </border>
    <border>
      <left/>
      <right style="thin">
        <color indexed="64"/>
      </right>
      <top style="thin">
        <color rgb="FF969696"/>
      </top>
      <bottom/>
      <diagonal/>
    </border>
    <border>
      <left/>
      <right style="thin">
        <color indexed="64"/>
      </right>
      <top style="medium">
        <color indexed="64"/>
      </top>
      <bottom style="medium">
        <color indexed="64"/>
      </bottom>
      <diagonal/>
    </border>
    <border>
      <left/>
      <right/>
      <top style="thin">
        <color rgb="FFEEEEEE"/>
      </top>
      <bottom style="thin">
        <color rgb="FF808080"/>
      </bottom>
      <diagonal/>
    </border>
    <border>
      <left style="thin">
        <color indexed="64"/>
      </left>
      <right style="thin">
        <color rgb="FFFF0000"/>
      </right>
      <top/>
      <bottom/>
      <diagonal/>
    </border>
    <border>
      <left/>
      <right style="thin">
        <color indexed="64"/>
      </right>
      <top style="thin">
        <color rgb="FFEEEEEE"/>
      </top>
      <bottom style="thin">
        <color rgb="FFEEEEEE"/>
      </bottom>
      <diagonal/>
    </border>
    <border>
      <left style="thin">
        <color rgb="FFFF0000"/>
      </left>
      <right style="thin">
        <color rgb="FFFF0000"/>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FF0000"/>
      </left>
      <right style="thin">
        <color rgb="FFFF0000"/>
      </right>
      <top/>
      <bottom style="thin">
        <color rgb="FFFF0000"/>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rgb="FF808080"/>
      </right>
      <top/>
      <bottom/>
      <diagonal/>
    </border>
    <border>
      <left/>
      <right/>
      <top/>
      <bottom style="thin">
        <color rgb="FFEEEEEE"/>
      </bottom>
      <diagonal/>
    </border>
    <border>
      <left style="thin">
        <color indexed="64"/>
      </left>
      <right style="thin">
        <color indexed="64"/>
      </right>
      <top style="thin">
        <color rgb="FFFFFFFF"/>
      </top>
      <bottom style="medium">
        <color indexed="64"/>
      </bottom>
      <diagonal/>
    </border>
    <border>
      <left/>
      <right/>
      <top style="thin">
        <color rgb="FF969696"/>
      </top>
      <bottom/>
      <diagonal/>
    </border>
    <border>
      <left/>
      <right style="medium">
        <color indexed="64"/>
      </right>
      <top style="thin">
        <color indexed="64"/>
      </top>
      <bottom style="medium">
        <color indexed="64"/>
      </bottom>
      <diagonal/>
    </border>
    <border>
      <left/>
      <right style="thin">
        <color indexed="64"/>
      </right>
      <top/>
      <bottom style="thin">
        <color rgb="FF808080"/>
      </bottom>
      <diagonal/>
    </border>
    <border>
      <left/>
      <right/>
      <top style="thin">
        <color rgb="FFEEEEEE"/>
      </top>
      <bottom style="thin">
        <color indexed="64"/>
      </bottom>
      <diagonal/>
    </border>
    <border>
      <left style="thin">
        <color rgb="FFFF0000"/>
      </left>
      <right style="thin">
        <color rgb="FFFF0000"/>
      </right>
      <top style="thin">
        <color indexed="64"/>
      </top>
      <bottom style="thin">
        <color indexed="64"/>
      </bottom>
      <diagonal/>
    </border>
    <border>
      <left/>
      <right style="thin">
        <color indexed="64"/>
      </right>
      <top style="thin">
        <color rgb="FF808080"/>
      </top>
      <bottom/>
      <diagonal/>
    </border>
    <border>
      <left style="thin">
        <color indexed="64"/>
      </left>
      <right style="thin">
        <color rgb="FFFF0000"/>
      </right>
      <top style="thin">
        <color rgb="FFFF0000"/>
      </top>
      <bottom style="thin">
        <color indexed="64"/>
      </bottom>
      <diagonal/>
    </border>
    <border>
      <left style="thin">
        <color indexed="64"/>
      </left>
      <right/>
      <top style="thin">
        <color rgb="FF969696"/>
      </top>
      <bottom/>
      <diagonal/>
    </border>
    <border>
      <left style="medium">
        <color indexed="64"/>
      </left>
      <right style="medium">
        <color indexed="64"/>
      </right>
      <top style="medium">
        <color indexed="64"/>
      </top>
      <bottom style="medium">
        <color indexed="64"/>
      </bottom>
      <diagonal/>
    </border>
    <border>
      <left style="thin">
        <color rgb="FFFF0000"/>
      </left>
      <right style="thin">
        <color indexed="64"/>
      </right>
      <top/>
      <bottom/>
      <diagonal/>
    </border>
    <border>
      <left/>
      <right style="medium">
        <color indexed="64"/>
      </right>
      <top style="thin">
        <color rgb="FFEEEEEE"/>
      </top>
      <bottom style="thin">
        <color rgb="FFEEEEEE"/>
      </bottom>
      <diagonal/>
    </border>
    <border>
      <left style="thin">
        <color indexed="64"/>
      </left>
      <right/>
      <top style="medium">
        <color indexed="64"/>
      </top>
      <bottom style="medium">
        <color indexed="64"/>
      </bottom>
      <diagonal/>
    </border>
    <border>
      <left/>
      <right/>
      <top style="thin">
        <color rgb="FF808080"/>
      </top>
      <bottom style="thin">
        <color indexed="64"/>
      </bottom>
      <diagonal/>
    </border>
    <border>
      <left/>
      <right/>
      <top style="thin">
        <color rgb="FFEEEEEE"/>
      </top>
      <bottom style="thin">
        <color rgb="FFEEEEEE"/>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rgb="FF808080"/>
      </top>
      <bottom style="medium">
        <color indexed="64"/>
      </bottom>
      <diagonal/>
    </border>
    <border>
      <left/>
      <right style="thin">
        <color indexed="64"/>
      </right>
      <top style="medium">
        <color indexed="64"/>
      </top>
      <bottom style="thin">
        <color rgb="FF808080"/>
      </bottom>
      <diagonal/>
    </border>
    <border>
      <left/>
      <right/>
      <top style="medium">
        <color rgb="FF808080"/>
      </top>
      <bottom/>
      <diagonal/>
    </border>
    <border>
      <left/>
      <right style="thin">
        <color rgb="FFFF0000"/>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rgb="FF808080"/>
      </bottom>
      <diagonal/>
    </border>
    <border>
      <left/>
      <right style="thin">
        <color indexed="64"/>
      </right>
      <top style="thin">
        <color rgb="FF969696"/>
      </top>
      <bottom style="thin">
        <color indexed="64"/>
      </bottom>
      <diagonal/>
    </border>
    <border>
      <left style="thin">
        <color indexed="64"/>
      </left>
      <right style="thin">
        <color indexed="64"/>
      </right>
      <top style="thin">
        <color indexed="64"/>
      </top>
      <bottom/>
      <diagonal/>
    </border>
    <border>
      <left style="thin">
        <color rgb="FFFF0000"/>
      </left>
      <right style="thin">
        <color indexed="64"/>
      </right>
      <top style="thin">
        <color indexed="64"/>
      </top>
      <bottom/>
      <diagonal/>
    </border>
    <border>
      <left/>
      <right style="thin">
        <color indexed="64"/>
      </right>
      <top style="thin">
        <color rgb="FF808080"/>
      </top>
      <bottom style="thin">
        <color indexed="64"/>
      </bottom>
      <diagonal/>
    </border>
    <border>
      <left/>
      <right/>
      <top style="thin">
        <color rgb="FF969696"/>
      </top>
      <bottom style="thin">
        <color rgb="FFEEEEEE"/>
      </bottom>
      <diagonal/>
    </border>
    <border>
      <left/>
      <right style="thin">
        <color rgb="FFFF0000"/>
      </right>
      <top style="medium">
        <color indexed="64"/>
      </top>
      <bottom style="thin">
        <color indexed="64"/>
      </bottom>
      <diagonal/>
    </border>
    <border>
      <left style="thin">
        <color rgb="FFFF0000"/>
      </left>
      <right style="thin">
        <color rgb="FFFF0000"/>
      </right>
      <top style="thin">
        <color indexed="64"/>
      </top>
      <bottom style="medium">
        <color indexed="64"/>
      </bottom>
      <diagonal/>
    </border>
    <border>
      <left/>
      <right style="medium">
        <color indexed="64"/>
      </right>
      <top style="thin">
        <color rgb="FFEEEEEE"/>
      </top>
      <bottom/>
      <diagonal/>
    </border>
    <border>
      <left style="medium">
        <color indexed="64"/>
      </left>
      <right/>
      <top/>
      <bottom/>
      <diagonal/>
    </border>
    <border>
      <left style="thin">
        <color rgb="FFFF0000"/>
      </left>
      <right style="thin">
        <color rgb="FFFF0000"/>
      </right>
      <top style="thin">
        <color rgb="FFFF0000"/>
      </top>
      <bottom style="thin">
        <color rgb="FFFF0000"/>
      </bottom>
      <diagonal/>
    </border>
    <border>
      <left/>
      <right style="thin">
        <color indexed="64"/>
      </right>
      <top style="thin">
        <color rgb="FF969696"/>
      </top>
      <bottom style="thin">
        <color rgb="FFEEEEEE"/>
      </bottom>
      <diagonal/>
    </border>
    <border>
      <left style="thin">
        <color indexed="64"/>
      </left>
      <right style="thin">
        <color rgb="FFFF0000"/>
      </right>
      <top/>
      <bottom style="medium">
        <color indexed="64"/>
      </bottom>
      <diagonal/>
    </border>
    <border>
      <left style="thin">
        <color indexed="64"/>
      </left>
      <right style="thin">
        <color rgb="FFFF0000"/>
      </right>
      <top style="thin">
        <color indexed="64"/>
      </top>
      <bottom style="thin">
        <color indexed="64"/>
      </bottom>
      <diagonal/>
    </border>
    <border>
      <left style="thin">
        <color indexed="64"/>
      </left>
      <right/>
      <top style="thin">
        <color rgb="FF969696"/>
      </top>
      <bottom style="thin">
        <color indexed="64"/>
      </bottom>
      <diagonal/>
    </border>
    <border>
      <left style="thin">
        <color rgb="FFFF0000"/>
      </left>
      <right style="thin">
        <color indexed="64"/>
      </right>
      <top style="thin">
        <color indexed="64"/>
      </top>
      <bottom style="thin">
        <color indexed="64"/>
      </bottom>
      <diagonal/>
    </border>
    <border>
      <left/>
      <right/>
      <top style="thin">
        <color rgb="FFEEEEEE"/>
      </top>
      <bottom/>
      <diagonal/>
    </border>
    <border>
      <left/>
      <right style="thin">
        <color indexed="64"/>
      </right>
      <top/>
      <bottom style="thin">
        <color rgb="FFEEEEEE"/>
      </bottom>
      <diagonal/>
    </border>
    <border>
      <left/>
      <right style="thin">
        <color indexed="64"/>
      </right>
      <top style="thin">
        <color rgb="FFEEEEEE"/>
      </top>
      <bottom style="thin">
        <color rgb="FF808080"/>
      </bottom>
      <diagonal/>
    </border>
    <border>
      <left style="thin">
        <color indexed="64"/>
      </left>
      <right style="medium">
        <color indexed="64"/>
      </right>
      <top style="medium">
        <color indexed="64"/>
      </top>
      <bottom style="medium">
        <color indexed="64"/>
      </bottom>
      <diagonal/>
    </border>
    <border>
      <left style="thin">
        <color rgb="FFFF0000"/>
      </left>
      <right style="thin">
        <color indexed="64"/>
      </right>
      <top style="thin">
        <color rgb="FFFF0000"/>
      </top>
      <bottom style="thin">
        <color indexed="64"/>
      </bottom>
      <diagonal/>
    </border>
    <border>
      <left style="medium">
        <color indexed="64"/>
      </left>
      <right style="thin">
        <color indexed="64"/>
      </right>
      <top style="medium">
        <color indexed="64"/>
      </top>
      <bottom/>
      <diagonal/>
    </border>
    <border>
      <left/>
      <right style="thin">
        <color indexed="64"/>
      </right>
      <top style="thin">
        <color rgb="FFEEEEEE"/>
      </top>
      <bottom style="thin">
        <color rgb="FF969696"/>
      </bottom>
      <diagonal/>
    </border>
    <border>
      <left/>
      <right/>
      <top style="thin">
        <color indexed="64"/>
      </top>
      <bottom style="thin">
        <color rgb="FFFF0000"/>
      </bottom>
      <diagonal/>
    </border>
    <border>
      <left style="thin">
        <color rgb="FFFF0000"/>
      </left>
      <right style="thin">
        <color indexed="64"/>
      </right>
      <top/>
      <bottom style="medium">
        <color indexed="64"/>
      </bottom>
      <diagonal/>
    </border>
    <border>
      <left style="thin">
        <color indexed="64"/>
      </left>
      <right style="thin">
        <color indexed="64"/>
      </right>
      <top style="thin">
        <color indexed="64"/>
      </top>
      <bottom style="thin">
        <color rgb="FFFFFFFF"/>
      </bottom>
      <diagonal/>
    </border>
    <border>
      <left/>
      <right/>
      <top style="medium">
        <color indexed="64"/>
      </top>
      <bottom style="thin">
        <color rgb="FF969696"/>
      </bottom>
      <diagonal/>
    </border>
    <border>
      <left/>
      <right style="medium">
        <color indexed="64"/>
      </right>
      <top style="thin">
        <color rgb="FF808080"/>
      </top>
      <bottom style="thin">
        <color rgb="FFEEEEEE"/>
      </bottom>
      <diagonal/>
    </border>
    <border>
      <left style="thin">
        <color indexed="64"/>
      </left>
      <right/>
      <top style="medium">
        <color indexed="64"/>
      </top>
      <bottom style="thin">
        <color rgb="FF80808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thin">
        <color rgb="FFFF0000"/>
      </left>
      <right/>
      <top style="thin">
        <color indexed="64"/>
      </top>
      <bottom/>
      <diagonal/>
    </border>
  </borders>
  <cellStyleXfs count="1">
    <xf fillId="0" numFmtId="0" borderId="0" fontId="0"/>
  </cellStyleXfs>
  <cellXfs count="915">
    <xf applyAlignment="1" fillId="0" xfId="0" numFmtId="0" borderId="0" fontId="0">
      <alignment vertical="bottom" horizontal="general" wrapText="1"/>
    </xf>
    <xf applyBorder="1" fillId="2" xfId="0" numFmtId="0" borderId="1" applyFont="1" fontId="1" applyFill="1"/>
    <xf applyBorder="1" applyAlignment="1" fillId="3" xfId="0" numFmtId="2" borderId="2" applyFont="1" fontId="2" applyNumberFormat="1" applyFill="1">
      <alignment vertical="bottom" horizontal="center"/>
    </xf>
    <xf applyBorder="1" fillId="3" xfId="0" numFmtId="0" borderId="3" applyFont="1" fontId="3" applyFill="1"/>
    <xf applyAlignment="1" fillId="3" xfId="0" numFmtId="2" borderId="0" applyFont="1" fontId="4" applyNumberFormat="1" applyFill="1">
      <alignment vertical="center" horizontal="center"/>
    </xf>
    <xf applyBorder="1" applyAlignment="1" fillId="3" xfId="0" numFmtId="0" borderId="4" applyFont="1" fontId="5" applyFill="1">
      <alignment vertical="bottom" horizontal="center"/>
    </xf>
    <xf applyBorder="1" applyAlignment="1" fillId="3" xfId="0" numFmtId="0" borderId="5" applyFont="1" fontId="6" applyFill="1">
      <alignment vertical="bottom" horizontal="center"/>
    </xf>
    <xf applyBorder="1" applyAlignment="1" fillId="2" xfId="0" numFmtId="0" borderId="6" applyFont="1" fontId="7" applyFill="1">
      <alignment vertical="bottom" horizontal="right"/>
    </xf>
    <xf applyAlignment="1" fillId="3" xfId="0" numFmtId="0" borderId="0" applyFont="1" fontId="8" applyFill="1">
      <alignment vertical="bottom" horizontal="right"/>
    </xf>
    <xf applyBorder="1" applyAlignment="1" fillId="4" xfId="0" numFmtId="0" borderId="7" applyFont="1" fontId="9" applyFill="1">
      <alignment vertical="bottom" horizontal="center"/>
    </xf>
    <xf applyBorder="1" applyAlignment="1" fillId="3" xfId="0" numFmtId="0" borderId="8" applyFont="1" fontId="10" applyFill="1">
      <alignment vertical="bottom" horizontal="left"/>
    </xf>
    <xf applyAlignment="1" fillId="4" xfId="0" numFmtId="164" borderId="0" applyFont="1" fontId="11" applyNumberFormat="1" applyFill="1">
      <alignment vertical="bottom" horizontal="center"/>
    </xf>
    <xf applyBorder="1" applyAlignment="1" fillId="3" xfId="0" numFmtId="0" borderId="9" applyFont="1" fontId="12" applyFill="1">
      <alignment vertical="top" horizontal="left" wrapText="1"/>
    </xf>
    <xf applyBorder="1" applyAlignment="1" fillId="3" xfId="0" numFmtId="164" borderId="10" applyFont="1" fontId="13" applyNumberFormat="1" applyFill="1">
      <alignment vertical="center" horizontal="center"/>
    </xf>
    <xf applyBorder="1" applyAlignment="1" fillId="4" xfId="0" numFmtId="0" borderId="11" applyFont="1" fontId="14" applyFill="1">
      <alignment vertical="bottom" horizontal="center"/>
    </xf>
    <xf applyBorder="1" applyAlignment="1" fillId="3" xfId="0" numFmtId="1" borderId="6" applyFont="1" fontId="15" applyNumberFormat="1" applyFill="1">
      <alignment vertical="bottom" horizontal="center"/>
    </xf>
    <xf applyBorder="1" applyAlignment="1" fillId="3" xfId="0" numFmtId="0" borderId="12" applyFont="1" fontId="16" applyFill="1">
      <alignment vertical="bottom" horizontal="center"/>
    </xf>
    <xf applyBorder="1" fillId="4" xfId="0" numFmtId="0" borderId="8" applyFont="1" fontId="17" applyFill="1"/>
    <xf applyBorder="1" applyAlignment="1" fillId="3" xfId="0" numFmtId="0" borderId="13" applyFont="1" fontId="18" applyFill="1">
      <alignment vertical="bottom" horizontal="right"/>
    </xf>
    <xf applyBorder="1" applyAlignment="1" fillId="4" xfId="0" numFmtId="164" borderId="3" applyFont="1" fontId="19" applyNumberFormat="1" applyFill="1">
      <alignment vertical="bottom" horizontal="center"/>
    </xf>
    <xf applyBorder="1" fillId="3" xfId="0" numFmtId="0" borderId="14" applyFont="1" fontId="20" applyFill="1"/>
    <xf applyBorder="1" applyAlignment="1" fillId="2" xfId="0" numFmtId="0" borderId="15" applyFont="1" fontId="21" applyFill="1">
      <alignment vertical="bottom" horizontal="right"/>
    </xf>
    <xf applyBorder="1" applyAlignment="1" fillId="3" xfId="0" numFmtId="2" borderId="9" applyFont="1" fontId="22" applyNumberFormat="1" applyFill="1">
      <alignment vertical="bottom" horizontal="center"/>
    </xf>
    <xf applyBorder="1" applyAlignment="1" fillId="3" xfId="0" numFmtId="0" borderId="3" applyFont="1" fontId="23" applyFill="1">
      <alignment vertical="top" horizontal="left"/>
    </xf>
    <xf applyBorder="1" applyAlignment="1" fillId="3" xfId="0" numFmtId="1" borderId="3" applyFont="1" fontId="24" applyNumberFormat="1" applyFill="1">
      <alignment vertical="bottom" horizontal="left"/>
    </xf>
    <xf applyAlignment="1" fillId="3" xfId="0" numFmtId="0" borderId="0" applyFont="1" fontId="25" applyFill="1">
      <alignment vertical="bottom" horizontal="right"/>
    </xf>
    <xf applyBorder="1" applyAlignment="1" fillId="3" xfId="0" numFmtId="9" borderId="9" applyFont="1" fontId="26" applyNumberFormat="1" applyFill="1">
      <alignment vertical="center" horizontal="center"/>
    </xf>
    <xf applyBorder="1" fillId="5" xfId="0" numFmtId="0" borderId="16" applyFont="1" fontId="27" applyFill="1"/>
    <xf applyBorder="1" applyAlignment="1" fillId="2" xfId="0" numFmtId="1" borderId="17" applyFont="1" fontId="28" applyNumberFormat="1" applyFill="1">
      <alignment vertical="bottom" horizontal="left"/>
    </xf>
    <xf applyBorder="1" applyAlignment="1" fillId="4" xfId="0" numFmtId="0" borderId="18" applyFont="1" fontId="29" applyFill="1">
      <alignment vertical="bottom" horizontal="center"/>
    </xf>
    <xf applyAlignment="1" fillId="6" xfId="0" numFmtId="0" borderId="0" applyFont="1" fontId="30" applyFill="1">
      <alignment vertical="top" horizontal="general"/>
    </xf>
    <xf applyBorder="1" applyAlignment="1" fillId="2" xfId="0" numFmtId="2" borderId="9" applyFont="1" fontId="31" applyNumberFormat="1" applyFill="1">
      <alignment vertical="bottom" horizontal="center"/>
    </xf>
    <xf applyBorder="1" fillId="7" xfId="0" numFmtId="0" borderId="19" applyFont="1" fontId="32" applyFill="1"/>
    <xf applyBorder="1" fillId="6" xfId="0" numFmtId="1" borderId="9" applyFont="1" fontId="33" applyNumberFormat="1" applyFill="1"/>
    <xf applyBorder="1" fillId="3" xfId="0" numFmtId="0" borderId="16" applyFont="1" fontId="34" applyFill="1"/>
    <xf applyBorder="1" applyAlignment="1" fillId="3" xfId="0" numFmtId="0" borderId="20" applyFont="1" fontId="35" applyFill="1">
      <alignment vertical="bottom" horizontal="right"/>
    </xf>
    <xf applyBorder="1" fillId="3" xfId="0" numFmtId="0" borderId="21" applyFont="1" fontId="36" applyFill="1"/>
    <xf applyAlignment="1" fillId="3" xfId="0" numFmtId="0" borderId="0" applyFont="1" fontId="37" applyFill="1">
      <alignment vertical="top" horizontal="right"/>
    </xf>
    <xf applyBorder="1" applyAlignment="1" fillId="3" xfId="0" numFmtId="1" borderId="22" applyFont="1" fontId="38" applyNumberFormat="1" applyFill="1">
      <alignment vertical="bottom" horizontal="right"/>
    </xf>
    <xf applyBorder="1" fillId="3" xfId="0" numFmtId="0" borderId="9" applyFont="1" fontId="39" applyFill="1"/>
    <xf applyBorder="1" applyAlignment="1" fillId="3" xfId="0" numFmtId="0" borderId="14" applyFont="1" fontId="40" applyFill="1">
      <alignment vertical="bottom" horizontal="center"/>
    </xf>
    <xf applyBorder="1" applyAlignment="1" fillId="2" xfId="0" numFmtId="0" borderId="23" applyFont="1" fontId="41" applyFill="1">
      <alignment vertical="bottom" horizontal="left"/>
    </xf>
    <xf applyBorder="1" applyAlignment="1" fillId="6" xfId="0" numFmtId="9" borderId="21" applyFont="1" fontId="42" applyNumberFormat="1" applyFill="1">
      <alignment vertical="bottom" horizontal="center"/>
    </xf>
    <xf applyBorder="1" applyAlignment="1" fillId="4" xfId="0" numFmtId="0" borderId="24" applyFont="1" fontId="43" applyFill="1">
      <alignment vertical="bottom" horizontal="right"/>
    </xf>
    <xf applyAlignment="1" fillId="3" xfId="0" numFmtId="0" borderId="0" applyFont="1" fontId="44" applyFill="1">
      <alignment vertical="center" textRotation="90" horizontal="left"/>
    </xf>
    <xf applyBorder="1" applyAlignment="1" fillId="3" xfId="0" numFmtId="9" borderId="25" applyFont="1" fontId="45" applyNumberFormat="1" applyFill="1">
      <alignment vertical="bottom" horizontal="center"/>
    </xf>
    <xf applyBorder="1" applyAlignment="1" fillId="4" xfId="0" numFmtId="0" borderId="26" applyFont="1" fontId="46" applyFill="1">
      <alignment vertical="bottom" horizontal="center"/>
    </xf>
    <xf applyBorder="1" applyAlignment="1" fillId="6" xfId="0" numFmtId="10" borderId="9" applyFont="1" fontId="47" applyNumberFormat="1" applyFill="1">
      <alignment vertical="bottom" horizontal="center"/>
    </xf>
    <xf applyAlignment="1" fillId="3" xfId="0" numFmtId="0" borderId="0" applyFont="1" fontId="48" applyFill="1">
      <alignment vertical="center" horizontal="left"/>
    </xf>
    <xf applyBorder="1" fillId="8" xfId="0" numFmtId="0" borderId="15" applyFont="1" fontId="49" applyFill="1"/>
    <xf applyAlignment="1" fillId="3" xfId="0" numFmtId="0" borderId="0" applyFont="1" fontId="50" applyFill="1">
      <alignment vertical="center" horizontal="center"/>
    </xf>
    <xf applyBorder="1" fillId="6" xfId="0" numFmtId="0" borderId="21" applyFont="1" fontId="51" applyFill="1"/>
    <xf applyAlignment="1" fillId="3" xfId="0" numFmtId="0" borderId="0" applyFont="1" fontId="52" applyFill="1">
      <alignment vertical="bottom" horizontal="center"/>
    </xf>
    <xf applyBorder="1" applyAlignment="1" fillId="4" xfId="0" numFmtId="0" borderId="27" applyFont="1" fontId="53" applyFill="1">
      <alignment vertical="bottom" horizontal="right"/>
    </xf>
    <xf applyBorder="1" applyAlignment="1" fillId="3" xfId="0" numFmtId="165" borderId="2" applyFont="1" fontId="54" applyNumberFormat="1" applyFill="1">
      <alignment vertical="bottom" horizontal="center"/>
    </xf>
    <xf applyBorder="1" applyAlignment="1" fillId="3" xfId="0" numFmtId="164" borderId="10" applyFont="1" fontId="55" applyNumberFormat="1" applyFill="1">
      <alignment vertical="bottom" horizontal="right"/>
    </xf>
    <xf applyBorder="1" fillId="3" xfId="0" numFmtId="0" borderId="28" applyFont="1" fontId="56" applyFill="1"/>
    <xf applyBorder="1" fillId="3" xfId="0" numFmtId="0" borderId="21" applyFont="1" fontId="57" applyFill="1"/>
    <xf applyBorder="1" applyAlignment="1" fillId="3" xfId="0" numFmtId="9" borderId="9" applyFont="1" fontId="58" applyNumberFormat="1" applyFill="1">
      <alignment vertical="bottom" horizontal="center"/>
    </xf>
    <xf applyBorder="1" applyAlignment="1" fillId="8" xfId="0" numFmtId="0" borderId="29" applyFont="1" fontId="59" applyFill="1">
      <alignment vertical="top" horizontal="center"/>
    </xf>
    <xf applyBorder="1" applyAlignment="1" fillId="3" xfId="0" numFmtId="164" borderId="6" applyFont="1" fontId="60" applyNumberFormat="1" applyFill="1">
      <alignment vertical="bottom" horizontal="center"/>
    </xf>
    <xf applyBorder="1" fillId="3" xfId="0" numFmtId="0" borderId="30" applyFont="1" fontId="61" applyFill="1"/>
    <xf applyAlignment="1" fillId="6" xfId="0" numFmtId="0" borderId="0" applyFont="1" fontId="62" applyFill="1">
      <alignment vertical="bottom" horizontal="center"/>
    </xf>
    <xf applyBorder="1" applyAlignment="1" fillId="3" xfId="0" numFmtId="0" borderId="14" applyFont="1" fontId="63" applyFill="1">
      <alignment vertical="top" horizontal="right"/>
    </xf>
    <xf applyBorder="1" applyAlignment="1" fillId="4" xfId="0" numFmtId="0" borderId="16" applyFont="1" fontId="64" applyFill="1">
      <alignment vertical="bottom" horizontal="center"/>
    </xf>
    <xf applyBorder="1" applyAlignment="1" fillId="3" xfId="0" numFmtId="0" borderId="10" applyFont="1" fontId="65" applyFill="1">
      <alignment vertical="center" horizontal="right"/>
    </xf>
    <xf applyBorder="1" applyAlignment="1" fillId="3" xfId="0" numFmtId="0" borderId="11" applyFont="1" fontId="66" applyFill="1">
      <alignment vertical="bottom" horizontal="center"/>
    </xf>
    <xf applyAlignment="1" fillId="3" xfId="0" numFmtId="0" borderId="0" applyFont="1" fontId="67" applyFill="1">
      <alignment vertical="top" horizontal="left"/>
    </xf>
    <xf applyBorder="1" fillId="6" xfId="0" numFmtId="0" borderId="31" applyFont="1" fontId="68" applyFill="1"/>
    <xf fillId="3" xfId="0" numFmtId="0" borderId="0" applyFont="1" fontId="69" applyFill="1"/>
    <xf applyBorder="1" applyAlignment="1" fillId="4" xfId="0" numFmtId="0" borderId="10" applyFont="1" fontId="70" applyFill="1">
      <alignment vertical="bottom" horizontal="right"/>
    </xf>
    <xf applyBorder="1" applyAlignment="1" fillId="2" xfId="0" numFmtId="0" borderId="3" applyFont="1" fontId="71" applyFill="1">
      <alignment vertical="bottom" horizontal="left"/>
    </xf>
    <xf applyBorder="1" applyAlignment="1" fillId="6" xfId="0" numFmtId="9" borderId="9" applyFont="1" fontId="72" applyNumberFormat="1" applyFill="1">
      <alignment vertical="bottom" horizontal="right"/>
    </xf>
    <xf applyBorder="1" applyAlignment="1" fillId="3" xfId="0" numFmtId="1" borderId="32" applyFont="1" fontId="73" applyNumberFormat="1" applyFill="1">
      <alignment vertical="bottom" horizontal="right"/>
    </xf>
    <xf applyBorder="1" applyAlignment="1" fillId="4" xfId="0" numFmtId="0" borderId="27" applyFont="1" fontId="74" applyFill="1">
      <alignment vertical="bottom" horizontal="left"/>
    </xf>
    <xf applyBorder="1" applyAlignment="1" fillId="3" xfId="0" numFmtId="164" borderId="33" applyFont="1" fontId="75" applyNumberFormat="1" applyFill="1">
      <alignment vertical="bottom" horizontal="center"/>
    </xf>
    <xf applyBorder="1" applyAlignment="1" fillId="3" xfId="0" numFmtId="165" borderId="21" applyFont="1" fontId="76" applyNumberFormat="1" applyFill="1">
      <alignment vertical="bottom" horizontal="center"/>
    </xf>
    <xf applyBorder="1" applyAlignment="1" fillId="2" xfId="0" numFmtId="0" borderId="23" applyFont="1" fontId="77" applyFill="1">
      <alignment vertical="bottom" horizontal="center"/>
    </xf>
    <xf applyAlignment="1" fillId="3" xfId="0" numFmtId="2" borderId="0" applyFont="1" fontId="78" applyNumberFormat="1" applyFill="1">
      <alignment vertical="bottom" horizontal="right"/>
    </xf>
    <xf applyBorder="1" fillId="3" xfId="0" numFmtId="0" borderId="34" applyFont="1" fontId="79" applyFill="1"/>
    <xf applyAlignment="1" fillId="5" xfId="0" numFmtId="0" borderId="0" applyFont="1" fontId="80" applyFill="1">
      <alignment vertical="bottom" horizontal="right"/>
    </xf>
    <xf applyBorder="1" applyAlignment="1" fillId="3" xfId="0" numFmtId="2" borderId="35" applyFont="1" fontId="81" applyNumberFormat="1" applyFill="1">
      <alignment vertical="bottom" horizontal="center"/>
    </xf>
    <xf applyBorder="1" applyAlignment="1" fillId="3" xfId="0" numFmtId="0" borderId="15" applyFont="1" fontId="82" applyFill="1">
      <alignment vertical="bottom" horizontal="left"/>
    </xf>
    <xf applyBorder="1" applyAlignment="1" fillId="3" xfId="0" numFmtId="165" borderId="3" applyFont="1" fontId="83" applyNumberFormat="1" applyFill="1">
      <alignment vertical="bottom" horizontal="center"/>
    </xf>
    <xf applyBorder="1" applyAlignment="1" fillId="3" xfId="0" numFmtId="0" borderId="36" applyFont="1" fontId="84" applyFill="1">
      <alignment vertical="bottom" horizontal="center"/>
    </xf>
    <xf applyBorder="1" applyAlignment="1" fillId="2" xfId="0" numFmtId="164" borderId="10" applyFont="1" fontId="85" applyNumberFormat="1" applyFill="1">
      <alignment vertical="bottom" horizontal="center"/>
    </xf>
    <xf applyBorder="1" applyAlignment="1" fillId="2" xfId="0" numFmtId="164" borderId="24" applyFont="1" fontId="86" applyNumberFormat="1" applyFill="1">
      <alignment vertical="bottom" horizontal="center"/>
    </xf>
    <xf applyBorder="1" applyAlignment="1" fillId="3" xfId="0" numFmtId="164" borderId="37" applyFont="1" fontId="87" applyNumberFormat="1" applyFill="1">
      <alignment vertical="bottom" horizontal="center"/>
    </xf>
    <xf applyBorder="1" fillId="2" xfId="0" numFmtId="0" borderId="13" applyFont="1" fontId="88" applyFill="1"/>
    <xf applyBorder="1" applyAlignment="1" fillId="3" xfId="0" numFmtId="164" borderId="29" applyFont="1" fontId="89" applyNumberFormat="1" applyFill="1">
      <alignment vertical="bottom" horizontal="center"/>
    </xf>
    <xf applyBorder="1" fillId="2" xfId="0" numFmtId="0" borderId="38" applyFont="1" fontId="90" applyFill="1"/>
    <xf applyBorder="1" applyAlignment="1" fillId="3" xfId="0" numFmtId="0" borderId="39" applyFont="1" fontId="91" applyFill="1">
      <alignment vertical="bottom" horizontal="center"/>
    </xf>
    <xf applyBorder="1" fillId="3" xfId="0" numFmtId="0" borderId="40" applyFont="1" fontId="92" applyFill="1"/>
    <xf applyBorder="1" applyAlignment="1" fillId="3" xfId="0" numFmtId="49" borderId="27" applyFont="1" fontId="93" applyNumberFormat="1" applyFill="1">
      <alignment vertical="bottom" horizontal="left"/>
    </xf>
    <xf applyBorder="1" applyAlignment="1" fillId="3" xfId="0" numFmtId="0" borderId="25" applyFont="1" fontId="94" applyFill="1">
      <alignment vertical="bottom" horizontal="right"/>
    </xf>
    <xf applyAlignment="1" fillId="6" xfId="0" numFmtId="165" borderId="0" applyFont="1" fontId="95" applyNumberFormat="1" applyFill="1">
      <alignment vertical="bottom" horizontal="center"/>
    </xf>
    <xf applyBorder="1" applyAlignment="1" fillId="3" xfId="0" numFmtId="2" borderId="25" applyFont="1" fontId="96" applyNumberFormat="1" applyFill="1">
      <alignment vertical="bottom" horizontal="center"/>
    </xf>
    <xf applyBorder="1" applyAlignment="1" fillId="3" xfId="0" numFmtId="9" borderId="41" applyFont="1" fontId="97" applyNumberFormat="1" applyFill="1">
      <alignment vertical="bottom" horizontal="center"/>
    </xf>
    <xf applyBorder="1" fillId="5" xfId="0" numFmtId="0" borderId="42" applyFont="1" fontId="98" applyFill="1"/>
    <xf fillId="3" xfId="0" numFmtId="0" borderId="0" applyFont="1" fontId="99" applyFill="1"/>
    <xf applyBorder="1" applyAlignment="1" fillId="2" xfId="0" numFmtId="1" borderId="10" applyFont="1" fontId="100" applyNumberFormat="1" applyFill="1">
      <alignment vertical="bottom" horizontal="right"/>
    </xf>
    <xf applyBorder="1" applyAlignment="1" fillId="3" xfId="0" numFmtId="0" borderId="2" applyFont="1" fontId="101" applyFill="1">
      <alignment vertical="bottom" horizontal="left"/>
    </xf>
    <xf applyBorder="1" applyAlignment="1" fillId="9" xfId="0" numFmtId="0" borderId="26" applyFont="1" fontId="102" applyFill="1">
      <alignment vertical="top" horizontal="left" wrapText="1"/>
    </xf>
    <xf applyBorder="1" fillId="3" xfId="0" numFmtId="0" borderId="35" applyFont="1" fontId="103" applyFill="1"/>
    <xf applyBorder="1" applyAlignment="1" fillId="3" xfId="0" numFmtId="0" borderId="29" applyFont="1" fontId="104" applyFill="1">
      <alignment vertical="bottom" horizontal="center"/>
    </xf>
    <xf applyAlignment="1" fillId="3" xfId="0" numFmtId="165" borderId="0" applyFont="1" fontId="105" applyNumberFormat="1" applyFill="1">
      <alignment vertical="bottom" horizontal="right"/>
    </xf>
    <xf applyBorder="1" applyAlignment="1" fillId="9" xfId="0" numFmtId="0" borderId="26" applyFont="1" fontId="106" applyFill="1">
      <alignment vertical="top" horizontal="left" wrapText="1"/>
    </xf>
    <xf fillId="3" xfId="0" numFmtId="0" borderId="0" applyFont="1" fontId="107" applyFill="1"/>
    <xf applyBorder="1" applyAlignment="1" fillId="2" xfId="0" numFmtId="165" borderId="21" applyFont="1" fontId="108" applyNumberFormat="1" applyFill="1">
      <alignment vertical="bottom" horizontal="left"/>
    </xf>
    <xf applyBorder="1" fillId="6" xfId="0" numFmtId="0" borderId="3" applyFont="1" fontId="109" applyFill="1"/>
    <xf applyBorder="1" fillId="3" xfId="0" numFmtId="0" borderId="10" applyFont="1" fontId="110" applyFill="1"/>
    <xf applyAlignment="1" fillId="3" xfId="0" numFmtId="166" borderId="0" applyFont="1" fontId="111" applyNumberFormat="1" applyFill="1">
      <alignment vertical="bottom" horizontal="left"/>
    </xf>
    <xf applyBorder="1" fillId="6" xfId="0" numFmtId="0" borderId="16" applyFont="1" fontId="112" applyFill="1"/>
    <xf applyBorder="1" applyAlignment="1" fillId="6" xfId="0" numFmtId="0" borderId="21" applyFont="1" fontId="113" applyFill="1">
      <alignment vertical="bottom" horizontal="right"/>
    </xf>
    <xf applyBorder="1" applyAlignment="1" fillId="3" xfId="0" numFmtId="165" borderId="43" applyFont="1" fontId="114" applyNumberFormat="1" applyFill="1">
      <alignment vertical="bottom" horizontal="left"/>
    </xf>
    <xf applyBorder="1" applyAlignment="1" fillId="2" xfId="0" numFmtId="1" borderId="44" applyFont="1" fontId="115" applyNumberFormat="1" applyFill="1">
      <alignment vertical="bottom" horizontal="left"/>
    </xf>
    <xf applyBorder="1" applyAlignment="1" fillId="3" xfId="0" numFmtId="0" borderId="21" applyFont="1" fontId="116" applyFill="1">
      <alignment vertical="center" horizontal="general"/>
    </xf>
    <xf applyBorder="1" fillId="2" xfId="0" numFmtId="0" borderId="41" applyFont="1" fontId="117" applyFill="1"/>
    <xf applyAlignment="1" fillId="6" xfId="0" numFmtId="0" borderId="0" applyFont="1" fontId="118" applyFill="1">
      <alignment vertical="bottom" horizontal="left"/>
    </xf>
    <xf applyBorder="1" fillId="6" xfId="0" numFmtId="0" borderId="21" applyFont="1" fontId="119" applyFill="1"/>
    <xf applyBorder="1" applyAlignment="1" fillId="5" xfId="0" numFmtId="0" borderId="45" applyFont="1" fontId="120" applyFill="1">
      <alignment vertical="bottom" horizontal="center"/>
    </xf>
    <xf applyAlignment="1" fillId="3" xfId="0" numFmtId="49" borderId="0" applyFont="1" fontId="121" applyNumberFormat="1" applyFill="1">
      <alignment vertical="bottom" horizontal="right"/>
    </xf>
    <xf applyBorder="1" applyAlignment="1" fillId="2" xfId="0" numFmtId="1" borderId="46" applyFont="1" fontId="122" applyNumberFormat="1" applyFill="1">
      <alignment vertical="bottom" horizontal="left"/>
    </xf>
    <xf applyBorder="1" applyAlignment="1" fillId="3" xfId="0" numFmtId="164" borderId="47" applyFont="1" fontId="123" applyNumberFormat="1" applyFill="1">
      <alignment vertical="bottom" horizontal="center"/>
    </xf>
    <xf fillId="3" xfId="0" numFmtId="0" borderId="0" applyFont="1" fontId="124" applyFill="1"/>
    <xf fillId="6" xfId="0" numFmtId="0" borderId="0" applyFont="1" fontId="125" applyFill="1"/>
    <xf applyBorder="1" applyAlignment="1" fillId="3" xfId="0" numFmtId="164" borderId="16" applyFont="1" fontId="126" applyNumberFormat="1" applyFill="1">
      <alignment vertical="bottom" horizontal="center"/>
    </xf>
    <xf applyBorder="1" fillId="2" xfId="0" numFmtId="0" borderId="34" applyFont="1" fontId="127" applyFill="1"/>
    <xf applyBorder="1" applyAlignment="1" fillId="3" xfId="0" numFmtId="2" borderId="21" applyFont="1" fontId="128" applyNumberFormat="1" applyFill="1">
      <alignment vertical="bottom" horizontal="center"/>
    </xf>
    <xf applyBorder="1" applyAlignment="1" fillId="3" xfId="0" numFmtId="0" borderId="48" applyFont="1" fontId="129" applyFill="1">
      <alignment vertical="bottom" horizontal="right"/>
    </xf>
    <xf applyBorder="1" applyAlignment="1" fillId="6" xfId="0" numFmtId="0" borderId="10" applyFont="1" fontId="130" applyFill="1">
      <alignment vertical="bottom" horizontal="center"/>
    </xf>
    <xf applyBorder="1" applyAlignment="1" fillId="3" xfId="0" numFmtId="0" borderId="30" applyFont="1" fontId="131" applyFill="1">
      <alignment vertical="bottom" horizontal="center"/>
    </xf>
    <xf applyBorder="1" applyAlignment="1" fillId="3" xfId="0" numFmtId="0" borderId="49" applyFont="1" fontId="132" applyFill="1">
      <alignment vertical="bottom" horizontal="center"/>
    </xf>
    <xf applyBorder="1" fillId="7" xfId="0" numFmtId="0" borderId="36" applyFont="1" fontId="133" applyFill="1"/>
    <xf applyBorder="1" applyAlignment="1" fillId="2" xfId="0" numFmtId="164" borderId="10" applyFont="1" fontId="134" applyNumberFormat="1" applyFill="1">
      <alignment vertical="bottom" horizontal="center"/>
    </xf>
    <xf applyBorder="1" fillId="3" xfId="0" numFmtId="0" borderId="45" applyFont="1" fontId="135" applyFill="1"/>
    <xf applyBorder="1" applyAlignment="1" fillId="6" xfId="0" numFmtId="164" borderId="40" applyFont="1" fontId="136" applyNumberFormat="1" applyFill="1">
      <alignment vertical="bottom" horizontal="center"/>
    </xf>
    <xf applyBorder="1" applyAlignment="1" fillId="2" xfId="0" numFmtId="0" borderId="24" applyFont="1" fontId="137" applyFill="1">
      <alignment vertical="bottom" horizontal="right"/>
    </xf>
    <xf applyBorder="1" fillId="5" xfId="0" numFmtId="0" borderId="42" applyFont="1" fontId="138" applyFill="1"/>
    <xf applyBorder="1" applyAlignment="1" fillId="6" xfId="0" numFmtId="0" borderId="21" applyFont="1" fontId="139" applyFill="1">
      <alignment vertical="bottom" horizontal="center"/>
    </xf>
    <xf applyBorder="1" applyAlignment="1" fillId="6" xfId="0" numFmtId="0" borderId="9" applyFont="1" fontId="140" applyFill="1">
      <alignment vertical="bottom" horizontal="right"/>
    </xf>
    <xf applyBorder="1" applyAlignment="1" fillId="3" xfId="0" numFmtId="165" borderId="32" applyFont="1" fontId="141" applyNumberFormat="1" applyFill="1">
      <alignment vertical="bottom" horizontal="right"/>
    </xf>
    <xf applyAlignment="1" fillId="5" xfId="0" numFmtId="0" borderId="0" applyFont="1" fontId="142" applyFill="1">
      <alignment vertical="bottom" horizontal="center"/>
    </xf>
    <xf applyBorder="1" applyAlignment="1" fillId="3" xfId="0" numFmtId="1" borderId="50" applyFont="1" fontId="143" applyNumberFormat="1" applyFill="1">
      <alignment vertical="bottom" horizontal="left"/>
    </xf>
    <xf applyBorder="1" applyAlignment="1" fillId="4" xfId="0" numFmtId="0" borderId="16" applyFont="1" fontId="144" applyFill="1">
      <alignment vertical="bottom" horizontal="center"/>
    </xf>
    <xf applyBorder="1" applyAlignment="1" fillId="2" xfId="0" numFmtId="0" borderId="31" applyFont="1" fontId="145" applyFill="1">
      <alignment vertical="bottom" horizontal="center"/>
    </xf>
    <xf applyBorder="1" fillId="4" xfId="0" numFmtId="0" borderId="51" applyFont="1" fontId="146" applyFill="1"/>
    <xf applyBorder="1" applyAlignment="1" fillId="2" xfId="0" numFmtId="167" borderId="24" applyFont="1" fontId="147" applyNumberFormat="1" applyFill="1">
      <alignment vertical="bottom" horizontal="right"/>
    </xf>
    <xf applyBorder="1" applyAlignment="1" fillId="3" xfId="0" numFmtId="164" borderId="2" applyFont="1" fontId="148" applyNumberFormat="1" applyFill="1">
      <alignment vertical="bottom" horizontal="right"/>
    </xf>
    <xf applyBorder="1" fillId="2" xfId="0" numFmtId="0" borderId="2" applyFont="1" fontId="149" applyFill="1"/>
    <xf applyBorder="1" applyAlignment="1" fillId="6" xfId="0" numFmtId="0" borderId="40" applyFont="1" fontId="150" applyFill="1">
      <alignment vertical="bottom" horizontal="left"/>
    </xf>
    <xf applyBorder="1" applyAlignment="1" fillId="2" xfId="0" numFmtId="167" borderId="21" applyFont="1" fontId="151" applyNumberFormat="1" applyFill="1">
      <alignment vertical="bottom" horizontal="center"/>
    </xf>
    <xf applyBorder="1" applyAlignment="1" fillId="3" xfId="0" numFmtId="0" borderId="27" applyFont="1" fontId="152" applyFill="1">
      <alignment vertical="bottom" horizontal="right"/>
    </xf>
    <xf applyBorder="1" applyAlignment="1" fillId="2" xfId="0" numFmtId="9" borderId="21" applyFont="1" fontId="153" applyNumberFormat="1" applyFill="1">
      <alignment vertical="bottom" horizontal="center"/>
    </xf>
    <xf applyBorder="1" applyAlignment="1" fillId="3" xfId="0" numFmtId="164" borderId="52" applyFont="1" fontId="154" applyNumberFormat="1" applyFill="1">
      <alignment vertical="center" horizontal="center"/>
    </xf>
    <xf applyBorder="1" applyAlignment="1" fillId="3" xfId="0" numFmtId="1" borderId="10" applyFont="1" fontId="155" applyNumberFormat="1" applyFill="1">
      <alignment vertical="center" horizontal="right"/>
    </xf>
    <xf applyBorder="1" fillId="5" xfId="0" numFmtId="0" borderId="45" applyFont="1" fontId="156" applyFill="1"/>
    <xf applyBorder="1" fillId="2" xfId="0" numFmtId="0" borderId="7" applyFont="1" fontId="157" applyFill="1"/>
    <xf applyBorder="1" applyAlignment="1" fillId="3" xfId="0" numFmtId="0" borderId="53" applyFont="1" fontId="158" applyFill="1">
      <alignment vertical="bottom" horizontal="center"/>
    </xf>
    <xf applyBorder="1" applyAlignment="1" fillId="2" xfId="0" numFmtId="164" borderId="3" applyFont="1" fontId="159" applyNumberFormat="1" applyFill="1">
      <alignment vertical="bottom" horizontal="center"/>
    </xf>
    <xf applyBorder="1" applyAlignment="1" fillId="9" xfId="0" numFmtId="0" borderId="34" applyFont="1" fontId="160" applyFill="1">
      <alignment vertical="top" horizontal="left" wrapText="1"/>
    </xf>
    <xf applyBorder="1" fillId="5" xfId="0" numFmtId="0" borderId="14" applyFont="1" fontId="161" applyFill="1"/>
    <xf applyBorder="1" applyAlignment="1" fillId="6" xfId="0" numFmtId="0" borderId="54" applyFont="1" fontId="162" applyFill="1">
      <alignment vertical="bottom" horizontal="center"/>
    </xf>
    <xf applyAlignment="1" fillId="2" xfId="0" numFmtId="9" borderId="0" applyFont="1" fontId="163" applyNumberFormat="1" applyFill="1">
      <alignment vertical="bottom" horizontal="center"/>
    </xf>
    <xf applyBorder="1" applyAlignment="1" fillId="4" xfId="0" numFmtId="0" borderId="55" applyFont="1" fontId="164" applyFill="1">
      <alignment vertical="bottom" horizontal="right"/>
    </xf>
    <xf applyBorder="1" applyAlignment="1" fillId="4" xfId="0" numFmtId="0" borderId="56" applyFont="1" fontId="165" applyFill="1">
      <alignment vertical="bottom" textRotation="90" horizontal="center" wrapText="1"/>
    </xf>
    <xf applyBorder="1" applyAlignment="1" fillId="2" xfId="0" numFmtId="0" borderId="29" applyFont="1" fontId="166" applyFill="1">
      <alignment vertical="bottom" horizontal="right"/>
    </xf>
    <xf applyBorder="1" applyAlignment="1" fillId="3" xfId="0" numFmtId="0" borderId="24" applyFont="1" fontId="167" applyFill="1">
      <alignment vertical="bottom" horizontal="left"/>
    </xf>
    <xf applyBorder="1" applyAlignment="1" fillId="3" xfId="0" numFmtId="1" borderId="10" applyFont="1" fontId="168" applyNumberFormat="1" applyFill="1">
      <alignment vertical="center" horizontal="center"/>
    </xf>
    <xf applyBorder="1" applyAlignment="1" fillId="3" xfId="0" numFmtId="164" borderId="3" applyFont="1" fontId="169" applyNumberFormat="1" applyFill="1">
      <alignment vertical="bottom" horizontal="right"/>
    </xf>
    <xf applyBorder="1" fillId="3" xfId="0" numFmtId="0" borderId="57" applyFont="1" fontId="170" applyFill="1"/>
    <xf applyAlignment="1" fillId="6" xfId="0" numFmtId="0" borderId="0" applyFont="1" fontId="171" applyFill="1">
      <alignment vertical="center" horizontal="right"/>
    </xf>
    <xf applyBorder="1" fillId="3" xfId="0" numFmtId="0" borderId="2" applyFont="1" fontId="172" applyFill="1"/>
    <xf applyBorder="1" fillId="4" xfId="0" numFmtId="0" borderId="12" applyFont="1" fontId="173" applyFill="1"/>
    <xf applyBorder="1" fillId="2" xfId="0" numFmtId="0" borderId="58" applyFont="1" fontId="174" applyFill="1"/>
    <xf applyBorder="1" applyAlignment="1" fillId="2" xfId="0" numFmtId="1" borderId="59" applyFont="1" fontId="175" applyNumberFormat="1" applyFill="1">
      <alignment vertical="bottom" horizontal="right"/>
    </xf>
    <xf applyBorder="1" applyAlignment="1" fillId="3" xfId="0" numFmtId="0" borderId="21" applyFont="1" fontId="176" applyFill="1">
      <alignment vertical="top" horizontal="left" wrapText="1"/>
    </xf>
    <xf applyAlignment="1" fillId="4" xfId="0" numFmtId="0" borderId="0" applyFont="1" fontId="177" applyFill="1">
      <alignment vertical="bottom" horizontal="right"/>
    </xf>
    <xf applyBorder="1" fillId="3" xfId="0" numFmtId="0" borderId="16" applyFont="1" fontId="178" applyFill="1"/>
    <xf applyBorder="1" applyAlignment="1" fillId="5" xfId="0" numFmtId="0" borderId="24" applyFont="1" fontId="179" applyFill="1">
      <alignment vertical="bottom" horizontal="center"/>
    </xf>
    <xf applyBorder="1" fillId="5" xfId="0" numFmtId="0" borderId="42" applyFont="1" fontId="180" applyFill="1"/>
    <xf applyBorder="1" applyAlignment="1" fillId="2" xfId="0" numFmtId="2" borderId="21" applyFont="1" fontId="181" applyNumberFormat="1" applyFill="1">
      <alignment vertical="bottom" horizontal="left"/>
    </xf>
    <xf applyBorder="1" applyAlignment="1" fillId="8" xfId="0" numFmtId="0" borderId="60" applyFont="1" fontId="182" applyFill="1">
      <alignment vertical="bottom" horizontal="center"/>
    </xf>
    <xf applyBorder="1" applyAlignment="1" fillId="3" xfId="0" numFmtId="0" borderId="10" applyFont="1" fontId="183" applyFill="1">
      <alignment vertical="center" horizontal="left"/>
    </xf>
    <xf applyBorder="1" applyAlignment="1" fillId="8" xfId="0" numFmtId="164" borderId="29" applyFont="1" fontId="184" applyNumberFormat="1" applyFill="1">
      <alignment vertical="bottom" horizontal="center"/>
    </xf>
    <xf applyBorder="1" applyAlignment="1" fillId="2" xfId="0" numFmtId="164" borderId="21" applyFont="1" fontId="185" applyNumberFormat="1" applyFill="1">
      <alignment vertical="bottom" horizontal="left"/>
    </xf>
    <xf applyAlignment="1" fillId="3" xfId="0" numFmtId="49" borderId="0" applyFont="1" fontId="186" applyNumberFormat="1" applyFill="1">
      <alignment vertical="bottom" horizontal="left"/>
    </xf>
    <xf applyBorder="1" applyAlignment="1" fillId="3" xfId="0" numFmtId="9" borderId="61" applyFont="1" fontId="187" applyNumberFormat="1" applyFill="1">
      <alignment vertical="bottom" horizontal="center"/>
    </xf>
    <xf applyBorder="1" fillId="3" xfId="0" numFmtId="0" borderId="42" applyFont="1" fontId="188" applyFill="1"/>
    <xf applyBorder="1" applyAlignment="1" fillId="3" xfId="0" numFmtId="0" borderId="62" applyFont="1" fontId="189" applyFill="1">
      <alignment vertical="bottom" horizontal="center"/>
    </xf>
    <xf applyBorder="1" applyAlignment="1" fillId="3" xfId="0" numFmtId="0" borderId="63" applyFont="1" fontId="190" applyFill="1">
      <alignment vertical="bottom" horizontal="right"/>
    </xf>
    <xf applyBorder="1" applyAlignment="1" fillId="6" xfId="0" numFmtId="0" borderId="34" applyFont="1" fontId="191" applyFill="1">
      <alignment vertical="bottom" horizontal="right"/>
    </xf>
    <xf applyBorder="1" fillId="5" xfId="0" numFmtId="0" borderId="14" applyFont="1" fontId="192" applyFill="1"/>
    <xf applyBorder="1" applyAlignment="1" fillId="3" xfId="0" numFmtId="164" borderId="3" applyFont="1" fontId="193" applyNumberFormat="1" applyFill="1">
      <alignment vertical="center" horizontal="center"/>
    </xf>
    <xf applyBorder="1" applyAlignment="1" fillId="3" xfId="0" numFmtId="0" borderId="3" applyFont="1" fontId="194" applyFill="1">
      <alignment vertical="bottom" horizontal="left"/>
    </xf>
    <xf applyBorder="1" applyAlignment="1" fillId="3" xfId="0" numFmtId="0" borderId="31" applyFont="1" fontId="195" applyFill="1">
      <alignment vertical="bottom" horizontal="center"/>
    </xf>
    <xf applyBorder="1" applyAlignment="1" fillId="2" xfId="0" numFmtId="167" borderId="25" applyFont="1" fontId="196" applyNumberFormat="1" applyFill="1">
      <alignment vertical="bottom" horizontal="right"/>
    </xf>
    <xf applyBorder="1" applyAlignment="1" fillId="3" xfId="0" numFmtId="1" borderId="64" applyFont="1" fontId="197" applyNumberFormat="1" applyFill="1">
      <alignment vertical="bottom" horizontal="left"/>
    </xf>
    <xf applyBorder="1" fillId="3" xfId="0" numFmtId="0" borderId="9" applyFont="1" fontId="198" applyFill="1"/>
    <xf applyBorder="1" applyAlignment="1" fillId="9" xfId="0" numFmtId="0" borderId="34" applyFont="1" fontId="199" applyFill="1">
      <alignment vertical="bottom" horizontal="left"/>
    </xf>
    <xf applyBorder="1" applyAlignment="1" fillId="3" xfId="0" numFmtId="9" borderId="10" applyFont="1" fontId="200" applyNumberFormat="1" applyFill="1">
      <alignment vertical="center" horizontal="center"/>
    </xf>
    <xf applyBorder="1" applyAlignment="1" fillId="4" xfId="0" numFmtId="0" borderId="34" applyFont="1" fontId="201" applyFill="1">
      <alignment vertical="bottom" horizontal="right"/>
    </xf>
    <xf applyBorder="1" applyAlignment="1" fillId="4" xfId="0" numFmtId="0" borderId="34" applyFont="1" fontId="202" applyFill="1">
      <alignment vertical="bottom" horizontal="center"/>
    </xf>
    <xf applyBorder="1" applyAlignment="1" fillId="3" xfId="0" numFmtId="164" borderId="13" applyFont="1" fontId="203" applyNumberFormat="1" applyFill="1">
      <alignment vertical="bottom" horizontal="center"/>
    </xf>
    <xf applyBorder="1" fillId="4" xfId="0" numFmtId="0" borderId="23" applyFont="1" fontId="204" applyFill="1"/>
    <xf applyAlignment="1" fillId="6" xfId="0" numFmtId="0" borderId="0" applyFont="1" fontId="205" applyFill="1">
      <alignment vertical="bottom" horizontal="right"/>
    </xf>
    <xf applyBorder="1" fillId="4" xfId="0" numFmtId="0" borderId="42" applyFont="1" fontId="206" applyFill="1"/>
    <xf applyBorder="1" applyAlignment="1" fillId="3" xfId="0" numFmtId="0" borderId="21" applyFont="1" fontId="207" applyFill="1">
      <alignment vertical="top" horizontal="left" wrapText="1"/>
    </xf>
    <xf applyAlignment="1" fillId="4" xfId="0" numFmtId="165" borderId="0" applyFont="1" fontId="208" applyNumberFormat="1" applyFill="1">
      <alignment vertical="bottom" horizontal="center"/>
    </xf>
    <xf applyBorder="1" applyAlignment="1" fillId="4" xfId="0" numFmtId="0" borderId="27" applyFont="1" fontId="209" applyFill="1">
      <alignment vertical="bottom" horizontal="center"/>
    </xf>
    <xf applyBorder="1" applyAlignment="1" fillId="3" xfId="0" numFmtId="2" borderId="6" applyFont="1" fontId="210" applyNumberFormat="1" applyFill="1">
      <alignment vertical="bottom" horizontal="center"/>
    </xf>
    <xf applyBorder="1" applyAlignment="1" fillId="4" xfId="0" numFmtId="0" borderId="21" applyFont="1" fontId="211" applyFill="1">
      <alignment vertical="bottom" horizontal="center"/>
    </xf>
    <xf applyBorder="1" applyAlignment="1" fillId="2" xfId="0" numFmtId="0" borderId="11" applyFont="1" fontId="212" applyFill="1">
      <alignment vertical="bottom" horizontal="center"/>
    </xf>
    <xf applyBorder="1" applyAlignment="1" fillId="3" xfId="0" numFmtId="1" borderId="10" applyFont="1" fontId="213" applyNumberFormat="1" applyFill="1">
      <alignment vertical="bottom" horizontal="center"/>
    </xf>
    <xf applyAlignment="1" fillId="3" xfId="0" numFmtId="1" borderId="0" applyFont="1" fontId="214" applyNumberFormat="1" applyFill="1">
      <alignment vertical="bottom" horizontal="right"/>
    </xf>
    <xf applyBorder="1" applyAlignment="1" fillId="3" xfId="0" numFmtId="165" borderId="9" applyFont="1" fontId="215" applyNumberFormat="1" applyFill="1">
      <alignment vertical="bottom" horizontal="center"/>
    </xf>
    <xf applyBorder="1" fillId="5" xfId="0" numFmtId="0" borderId="10" applyFont="1" fontId="216" applyFill="1"/>
    <xf applyBorder="1" applyAlignment="1" fillId="3" xfId="0" numFmtId="0" borderId="21" applyFont="1" fontId="217" applyFill="1">
      <alignment vertical="center" horizontal="right"/>
    </xf>
    <xf applyBorder="1" applyAlignment="1" fillId="3" xfId="0" numFmtId="0" borderId="24" applyFont="1" fontId="218" applyFill="1">
      <alignment vertical="top" horizontal="right"/>
    </xf>
    <xf applyBorder="1" applyAlignment="1" fillId="4" xfId="0" numFmtId="1" borderId="57" applyFont="1" fontId="219" applyNumberFormat="1" applyFill="1">
      <alignment vertical="bottom" horizontal="center"/>
    </xf>
    <xf applyBorder="1" applyAlignment="1" fillId="3" xfId="0" numFmtId="0" borderId="13" applyFont="1" fontId="220" applyFill="1">
      <alignment vertical="top" horizontal="left"/>
    </xf>
    <xf applyBorder="1" applyAlignment="1" fillId="8" xfId="0" numFmtId="0" borderId="34" applyFont="1" fontId="221" applyFill="1">
      <alignment vertical="bottom" horizontal="left"/>
    </xf>
    <xf applyBorder="1" applyAlignment="1" fillId="6" xfId="0" numFmtId="0" borderId="21" applyFont="1" fontId="222" applyFill="1">
      <alignment vertical="bottom" horizontal="center"/>
    </xf>
    <xf applyBorder="1" applyAlignment="1" fillId="6" xfId="0" numFmtId="0" borderId="9" applyFont="1" fontId="223" applyFill="1">
      <alignment vertical="bottom" horizontal="center"/>
    </xf>
    <xf applyBorder="1" applyAlignment="1" fillId="3" xfId="0" numFmtId="164" borderId="9" applyFont="1" fontId="224" applyNumberFormat="1" applyFill="1">
      <alignment vertical="bottom" horizontal="center"/>
    </xf>
    <xf applyBorder="1" applyAlignment="1" fillId="8" xfId="0" numFmtId="0" borderId="34" applyFont="1" fontId="225" applyFill="1">
      <alignment vertical="top" horizontal="left" wrapText="1"/>
    </xf>
    <xf applyAlignment="1" fillId="2" xfId="0" numFmtId="0" borderId="0" applyFont="1" fontId="226" applyFill="1">
      <alignment vertical="top" horizontal="general"/>
    </xf>
    <xf applyAlignment="1" fillId="3" xfId="0" numFmtId="0" borderId="0" applyFont="1" fontId="227" applyFill="1">
      <alignment vertical="center" horizontal="left"/>
    </xf>
    <xf applyBorder="1" applyAlignment="1" fillId="9" xfId="0" numFmtId="0" borderId="65" applyFont="1" fontId="228" applyFill="1">
      <alignment vertical="bottom" horizontal="center"/>
    </xf>
    <xf applyBorder="1" fillId="5" xfId="0" numFmtId="0" borderId="3" applyFont="1" fontId="229" applyFill="1"/>
    <xf applyBorder="1" fillId="5" xfId="0" numFmtId="0" borderId="3" applyFont="1" fontId="230" applyFill="1"/>
    <xf applyBorder="1" applyAlignment="1" fillId="3" xfId="0" numFmtId="165" borderId="37" applyFont="1" fontId="231" applyNumberFormat="1" applyFill="1">
      <alignment vertical="bottom" horizontal="left"/>
    </xf>
    <xf applyBorder="1" applyAlignment="1" fillId="3" xfId="0" numFmtId="0" borderId="10" applyFont="1" fontId="232" applyFill="1">
      <alignment vertical="bottom" horizontal="right"/>
    </xf>
    <xf applyBorder="1" applyAlignment="1" fillId="3" xfId="0" numFmtId="0" borderId="24" applyFont="1" fontId="233" applyFill="1">
      <alignment vertical="top" horizontal="center"/>
    </xf>
    <xf applyAlignment="1" fillId="4" xfId="0" numFmtId="0" borderId="0" applyFont="1" fontId="234" applyFill="1">
      <alignment vertical="bottom" horizontal="right"/>
    </xf>
    <xf applyBorder="1" applyAlignment="1" fillId="2" xfId="0" numFmtId="0" borderId="10" applyFont="1" fontId="235" applyFill="1">
      <alignment vertical="bottom" horizontal="center"/>
    </xf>
    <xf applyBorder="1" applyAlignment="1" fillId="2" xfId="0" numFmtId="0" borderId="14" applyFont="1" fontId="236" applyFill="1">
      <alignment vertical="bottom" horizontal="center"/>
    </xf>
    <xf applyBorder="1" applyAlignment="1" fillId="3" xfId="0" numFmtId="167" borderId="66" applyFont="1" fontId="237" applyNumberFormat="1" applyFill="1">
      <alignment vertical="bottom" horizontal="right"/>
    </xf>
    <xf applyBorder="1" applyAlignment="1" fillId="4" xfId="0" numFmtId="0" borderId="67" applyFont="1" fontId="238" applyFill="1">
      <alignment vertical="bottom" horizontal="right"/>
    </xf>
    <xf applyAlignment="1" fillId="2" xfId="0" numFmtId="164" borderId="0" applyFont="1" fontId="239" applyNumberFormat="1" applyFill="1">
      <alignment vertical="bottom" horizontal="center"/>
    </xf>
    <xf applyBorder="1" applyAlignment="1" fillId="3" xfId="0" numFmtId="9" borderId="28" applyFont="1" fontId="240" applyNumberFormat="1" applyFill="1">
      <alignment vertical="bottom" horizontal="center"/>
    </xf>
    <xf applyAlignment="1" fillId="2" xfId="0" numFmtId="2" borderId="0" applyFont="1" fontId="241" applyNumberFormat="1" applyFill="1">
      <alignment vertical="bottom" horizontal="center"/>
    </xf>
    <xf applyBorder="1" applyAlignment="1" fillId="3" xfId="0" numFmtId="164" borderId="68" applyFont="1" fontId="242" applyNumberFormat="1" applyFill="1">
      <alignment vertical="bottom" horizontal="center"/>
    </xf>
    <xf applyBorder="1" fillId="5" xfId="0" numFmtId="0" borderId="26" applyFont="1" fontId="243" applyFill="1"/>
    <xf applyBorder="1" applyAlignment="1" fillId="5" xfId="0" numFmtId="164" borderId="10" applyFont="1" fontId="244" applyNumberFormat="1" applyFill="1">
      <alignment vertical="bottom" horizontal="center"/>
    </xf>
    <xf applyBorder="1" applyAlignment="1" fillId="3" xfId="0" numFmtId="164" borderId="10" applyFont="1" fontId="245" applyNumberFormat="1" applyFill="1">
      <alignment vertical="bottom" horizontal="left"/>
    </xf>
    <xf applyBorder="1" fillId="3" xfId="0" numFmtId="0" borderId="27" applyFont="1" fontId="246" applyFill="1"/>
    <xf applyBorder="1" applyAlignment="1" fillId="3" xfId="0" numFmtId="0" borderId="3" applyFont="1" fontId="247" applyFill="1">
      <alignment vertical="center" horizontal="center"/>
    </xf>
    <xf applyBorder="1" applyAlignment="1" fillId="2" xfId="0" numFmtId="164" borderId="10" applyFont="1" fontId="248" applyNumberFormat="1" applyFill="1">
      <alignment vertical="bottom" horizontal="right"/>
    </xf>
    <xf applyBorder="1" applyAlignment="1" fillId="3" xfId="0" numFmtId="0" borderId="69" applyFont="1" fontId="249" applyFill="1">
      <alignment vertical="bottom" horizontal="center"/>
    </xf>
    <xf applyBorder="1" fillId="3" xfId="0" numFmtId="0" borderId="10" applyFont="1" fontId="250" applyFill="1"/>
    <xf applyBorder="1" fillId="8" xfId="0" numFmtId="0" borderId="15" applyFont="1" fontId="251" applyFill="1"/>
    <xf applyBorder="1" applyAlignment="1" fillId="4" xfId="0" numFmtId="0" borderId="70" applyFont="1" fontId="252" applyFill="1">
      <alignment vertical="bottom" horizontal="center"/>
    </xf>
    <xf applyBorder="1" applyAlignment="1" fillId="2" xfId="0" numFmtId="1" borderId="71" applyFont="1" fontId="253" applyNumberFormat="1" applyFill="1">
      <alignment vertical="bottom" horizontal="left"/>
    </xf>
    <xf applyBorder="1" fillId="3" xfId="0" numFmtId="0" borderId="72" applyFont="1" fontId="254" applyFill="1"/>
    <xf applyBorder="1" applyAlignment="1" fillId="3" xfId="0" numFmtId="0" borderId="13" applyFont="1" fontId="255" applyFill="1">
      <alignment vertical="bottom" horizontal="center"/>
    </xf>
    <xf applyBorder="1" applyAlignment="1" fillId="8" xfId="0" numFmtId="0" borderId="57" applyFont="1" fontId="256" applyFill="1">
      <alignment vertical="bottom" horizontal="left"/>
    </xf>
    <xf applyBorder="1" applyAlignment="1" fillId="7" xfId="0" numFmtId="0" borderId="53" applyFont="1" fontId="257" applyFill="1">
      <alignment vertical="bottom" horizontal="center"/>
    </xf>
    <xf applyAlignment="1" fillId="3" xfId="0" numFmtId="164" borderId="0" applyFont="1" fontId="258" applyNumberFormat="1" applyFill="1">
      <alignment vertical="center" horizontal="center"/>
    </xf>
    <xf applyBorder="1" applyAlignment="1" fillId="6" xfId="0" numFmtId="164" borderId="21" applyFont="1" fontId="259" applyNumberFormat="1" applyFill="1">
      <alignment vertical="bottom" horizontal="center"/>
    </xf>
    <xf fillId="3" xfId="0" numFmtId="0" borderId="0" applyFont="1" fontId="260" applyFill="1"/>
    <xf applyBorder="1" applyAlignment="1" fillId="3" xfId="0" numFmtId="1" borderId="14" applyFont="1" fontId="261" applyNumberFormat="1" applyFill="1">
      <alignment vertical="bottom" horizontal="center"/>
    </xf>
    <xf applyBorder="1" applyAlignment="1" fillId="4" xfId="0" numFmtId="0" borderId="25" applyFont="1" fontId="262" applyFill="1">
      <alignment vertical="bottom" horizontal="center"/>
    </xf>
    <xf applyBorder="1" applyAlignment="1" fillId="3" xfId="0" numFmtId="0" borderId="66" applyFont="1" fontId="263" applyFill="1">
      <alignment vertical="bottom" horizontal="right"/>
    </xf>
    <xf applyBorder="1" applyAlignment="1" fillId="4" xfId="0" numFmtId="0" borderId="73" applyFont="1" fontId="264" applyFill="1">
      <alignment vertical="bottom" horizontal="center"/>
    </xf>
    <xf applyBorder="1" applyAlignment="1" fillId="4" xfId="0" numFmtId="2" borderId="3" applyFont="1" fontId="265" applyNumberFormat="1" applyFill="1">
      <alignment vertical="bottom" horizontal="right"/>
    </xf>
    <xf applyBorder="1" applyAlignment="1" fillId="4" xfId="0" numFmtId="0" borderId="3" applyFont="1" fontId="266" applyFill="1">
      <alignment vertical="bottom" horizontal="center"/>
    </xf>
    <xf applyBorder="1" fillId="4" xfId="0" numFmtId="0" borderId="12" applyFont="1" fontId="267" applyFill="1"/>
    <xf applyBorder="1" applyAlignment="1" fillId="2" xfId="0" numFmtId="1" borderId="50" applyFont="1" fontId="268" applyNumberFormat="1" applyFill="1">
      <alignment vertical="bottom" horizontal="right"/>
    </xf>
    <xf applyBorder="1" fillId="2" xfId="0" numFmtId="0" borderId="3" applyFont="1" fontId="269" applyFill="1"/>
    <xf applyBorder="1" fillId="3" xfId="0" numFmtId="0" borderId="63" applyFont="1" fontId="270" applyFill="1"/>
    <xf applyAlignment="1" fillId="3" xfId="0" numFmtId="0" borderId="0" applyFont="1" fontId="271" applyFill="1">
      <alignment vertical="top" horizontal="general"/>
    </xf>
    <xf applyBorder="1" fillId="6" xfId="0" numFmtId="168" borderId="3" applyFont="1" fontId="272" applyNumberFormat="1" applyFill="1"/>
    <xf applyBorder="1" applyAlignment="1" fillId="3" xfId="0" numFmtId="0" borderId="65" applyFont="1" fontId="273" applyFill="1">
      <alignment vertical="bottom" horizontal="center"/>
    </xf>
    <xf applyBorder="1" applyAlignment="1" fillId="2" xfId="0" numFmtId="0" borderId="10" applyFont="1" fontId="274" applyFill="1">
      <alignment vertical="bottom" horizontal="center"/>
    </xf>
    <xf applyBorder="1" fillId="4" xfId="0" numFmtId="0" borderId="40" applyFont="1" fontId="275" applyFill="1"/>
    <xf applyBorder="1" applyAlignment="1" fillId="3" xfId="0" numFmtId="2" borderId="74" applyFont="1" fontId="276" applyNumberFormat="1" applyFill="1">
      <alignment vertical="bottom" horizontal="left"/>
    </xf>
    <xf applyBorder="1" fillId="4" xfId="0" numFmtId="0" borderId="11" applyFont="1" fontId="277" applyFill="1"/>
    <xf applyBorder="1" applyAlignment="1" fillId="3" xfId="0" numFmtId="0" borderId="21" applyFont="1" fontId="278" applyFill="1">
      <alignment vertical="bottom" horizontal="left"/>
    </xf>
    <xf applyBorder="1" fillId="4" xfId="0" numFmtId="0" borderId="75" applyFont="1" fontId="279" applyFill="1"/>
    <xf applyBorder="1" applyAlignment="1" fillId="2" xfId="0" numFmtId="164" borderId="41" applyFont="1" fontId="280" applyNumberFormat="1" applyFill="1">
      <alignment vertical="bottom" horizontal="center"/>
    </xf>
    <xf applyBorder="1" applyAlignment="1" fillId="3" xfId="0" numFmtId="0" borderId="25" applyFont="1" fontId="281" applyFill="1">
      <alignment vertical="bottom" horizontal="center"/>
    </xf>
    <xf applyAlignment="1" fillId="6" xfId="0" numFmtId="2" borderId="0" applyFont="1" fontId="282" applyNumberFormat="1" applyFill="1">
      <alignment vertical="bottom" horizontal="center"/>
    </xf>
    <xf applyBorder="1" applyAlignment="1" fillId="3" xfId="0" numFmtId="0" borderId="2" applyFont="1" fontId="283" applyFill="1">
      <alignment vertical="bottom" horizontal="center"/>
    </xf>
    <xf applyBorder="1" applyAlignment="1" fillId="4" xfId="0" numFmtId="0" borderId="24" applyFont="1" fontId="284" applyFill="1">
      <alignment vertical="bottom" horizontal="center"/>
    </xf>
    <xf applyAlignment="1" fillId="4" xfId="0" numFmtId="1" borderId="0" applyFont="1" fontId="285" applyNumberFormat="1" applyFill="1">
      <alignment vertical="bottom" horizontal="center"/>
    </xf>
    <xf applyAlignment="1" fillId="3" xfId="0" numFmtId="164" borderId="0" applyFont="1" fontId="286" applyNumberFormat="1" applyFill="1">
      <alignment vertical="bottom" horizontal="center"/>
    </xf>
    <xf applyBorder="1" applyAlignment="1" fillId="3" xfId="0" numFmtId="165" borderId="15" applyFont="1" fontId="287" applyNumberFormat="1" applyFill="1">
      <alignment vertical="bottom" horizontal="center"/>
    </xf>
    <xf applyAlignment="1" fillId="6" xfId="0" numFmtId="1" borderId="0" applyFont="1" fontId="288" applyNumberFormat="1" applyFill="1">
      <alignment vertical="bottom" horizontal="center"/>
    </xf>
    <xf applyBorder="1" applyAlignment="1" fillId="3" xfId="0" numFmtId="0" borderId="21" applyFont="1" fontId="289" applyFill="1">
      <alignment vertical="bottom" horizontal="center"/>
    </xf>
    <xf applyBorder="1" applyAlignment="1" fillId="3" xfId="0" numFmtId="9" borderId="10" applyFont="1" fontId="290" applyNumberFormat="1" applyFill="1">
      <alignment vertical="bottom" horizontal="center"/>
    </xf>
    <xf applyAlignment="1" fillId="6" xfId="0" numFmtId="0" borderId="0" applyFont="1" fontId="291" applyFill="1">
      <alignment vertical="bottom" horizontal="center"/>
    </xf>
    <xf applyAlignment="1" fillId="2" xfId="0" numFmtId="0" borderId="0" applyFont="1" fontId="292" applyFill="1">
      <alignment vertical="top" horizontal="left" wrapText="1"/>
    </xf>
    <xf applyBorder="1" applyAlignment="1" fillId="3" xfId="0" numFmtId="0" borderId="9" applyFont="1" fontId="293" applyFill="1">
      <alignment vertical="bottom" horizontal="center"/>
    </xf>
    <xf applyAlignment="1" fillId="3" xfId="0" numFmtId="0" borderId="0" applyFont="1" fontId="294" applyFill="1">
      <alignment vertical="center" horizontal="right"/>
    </xf>
    <xf applyBorder="1" fillId="3" xfId="0" numFmtId="0" borderId="6" applyFont="1" fontId="295" applyFill="1"/>
    <xf applyBorder="1" applyAlignment="1" fillId="6" xfId="0" numFmtId="1" borderId="3" applyFont="1" fontId="296" applyNumberFormat="1" applyFill="1">
      <alignment vertical="bottom" horizontal="center"/>
    </xf>
    <xf fillId="3" xfId="0" numFmtId="0" borderId="0" applyFont="1" fontId="297" applyFill="1"/>
    <xf applyBorder="1" applyAlignment="1" fillId="3" xfId="0" numFmtId="0" borderId="3" applyFont="1" fontId="298" applyFill="1">
      <alignment vertical="top" horizontal="right"/>
    </xf>
    <xf applyBorder="1" applyAlignment="1" fillId="2" xfId="0" numFmtId="2" borderId="28" applyFont="1" fontId="299" applyNumberFormat="1" applyFill="1">
      <alignment vertical="bottom" horizontal="center"/>
    </xf>
    <xf applyBorder="1" applyAlignment="1" fillId="3" xfId="0" numFmtId="0" borderId="10" applyFont="1" fontId="300" applyFill="1">
      <alignment vertical="bottom" horizontal="right"/>
    </xf>
    <xf applyBorder="1" fillId="2" xfId="0" numFmtId="0" borderId="10" applyFont="1" fontId="301" applyFill="1"/>
    <xf applyAlignment="1" fillId="6" xfId="0" numFmtId="169" borderId="0" applyFont="1" fontId="302" applyNumberFormat="1" applyFill="1">
      <alignment vertical="bottom" horizontal="right"/>
    </xf>
    <xf applyBorder="1" applyAlignment="1" fillId="9" xfId="0" numFmtId="0" borderId="26" applyFont="1" fontId="303" applyFill="1">
      <alignment vertical="bottom" horizontal="left"/>
    </xf>
    <xf applyAlignment="1" fillId="3" xfId="0" numFmtId="0" borderId="0" applyFont="1" fontId="304" applyFill="1">
      <alignment vertical="top" horizontal="left" wrapText="1"/>
    </xf>
    <xf applyAlignment="1" fillId="2" xfId="0" numFmtId="0" borderId="0" applyFont="1" fontId="305" applyFill="1">
      <alignment vertical="top" horizontal="general" wrapText="1"/>
    </xf>
    <xf applyBorder="1" applyAlignment="1" fillId="2" xfId="0" numFmtId="0" borderId="28" applyFont="1" fontId="306" applyFill="1">
      <alignment vertical="bottom" horizontal="center"/>
    </xf>
    <xf applyBorder="1" fillId="3" xfId="0" numFmtId="0" borderId="21" applyFont="1" fontId="307" applyFill="1"/>
    <xf applyBorder="1" fillId="3" xfId="0" numFmtId="0" borderId="76" applyFont="1" fontId="308" applyFill="1"/>
    <xf applyBorder="1" applyAlignment="1" fillId="2" xfId="0" numFmtId="0" borderId="21" applyFont="1" fontId="309" applyFill="1">
      <alignment vertical="bottom" horizontal="center"/>
    </xf>
    <xf applyBorder="1" fillId="4" xfId="0" numFmtId="0" borderId="27" applyFont="1" fontId="310" applyFill="1"/>
    <xf applyBorder="1" applyAlignment="1" fillId="3" xfId="0" numFmtId="0" borderId="16" applyFont="1" fontId="311" applyFill="1">
      <alignment vertical="bottom" horizontal="left"/>
    </xf>
    <xf applyBorder="1" applyAlignment="1" fillId="3" xfId="0" numFmtId="164" borderId="24" applyFont="1" fontId="312" applyNumberFormat="1" applyFill="1">
      <alignment vertical="bottom" horizontal="center"/>
    </xf>
    <xf applyBorder="1" fillId="3" xfId="0" numFmtId="0" borderId="45" applyFont="1" fontId="313" applyFill="1"/>
    <xf applyBorder="1" fillId="2" xfId="0" numFmtId="0" borderId="36" applyFont="1" fontId="314" applyFill="1"/>
    <xf applyBorder="1" applyAlignment="1" fillId="5" xfId="0" numFmtId="0" borderId="3" applyFont="1" fontId="315" applyFill="1">
      <alignment vertical="bottom" horizontal="center"/>
    </xf>
    <xf applyBorder="1" applyAlignment="1" fillId="3" xfId="0" numFmtId="9" borderId="1" applyFont="1" fontId="316" applyNumberFormat="1" applyFill="1">
      <alignment vertical="bottom" horizontal="center"/>
    </xf>
    <xf applyBorder="1" applyAlignment="1" fillId="2" xfId="0" numFmtId="164" borderId="6" applyFont="1" fontId="317" applyNumberFormat="1" applyFill="1">
      <alignment vertical="bottom" horizontal="center"/>
    </xf>
    <xf fillId="6" xfId="0" numFmtId="164" borderId="0" applyFont="1" fontId="318" applyNumberFormat="1" applyFill="1"/>
    <xf applyBorder="1" applyAlignment="1" fillId="4" xfId="0" numFmtId="0" borderId="56" applyFont="1" fontId="319" applyFill="1">
      <alignment vertical="bottom" horizontal="center"/>
    </xf>
    <xf applyBorder="1" applyAlignment="1" fillId="6" xfId="0" numFmtId="0" borderId="3" applyFont="1" fontId="320" applyFill="1">
      <alignment vertical="bottom" horizontal="right"/>
    </xf>
    <xf applyAlignment="1" fillId="2" xfId="0" numFmtId="0" borderId="0" applyFont="1" fontId="321" applyFill="1">
      <alignment vertical="bottom" horizontal="left"/>
    </xf>
    <xf applyBorder="1" applyAlignment="1" fillId="2" xfId="0" numFmtId="164" borderId="16" applyFont="1" fontId="322" applyNumberFormat="1" applyFill="1">
      <alignment vertical="bottom" horizontal="left"/>
    </xf>
    <xf applyBorder="1" applyAlignment="1" fillId="3" xfId="0" numFmtId="0" borderId="9" applyFont="1" fontId="323" applyFill="1">
      <alignment vertical="bottom" horizontal="left"/>
    </xf>
    <xf fillId="3" xfId="0" numFmtId="0" borderId="0" applyFont="1" fontId="324" applyFill="1"/>
    <xf applyBorder="1" applyAlignment="1" fillId="3" xfId="0" numFmtId="165" borderId="14" applyFont="1" fontId="325" applyNumberFormat="1" applyFill="1">
      <alignment vertical="bottom" horizontal="center"/>
    </xf>
    <xf applyBorder="1" applyAlignment="1" fillId="3" xfId="0" numFmtId="170" borderId="9" applyFont="1" fontId="326" applyNumberFormat="1" applyFill="1">
      <alignment vertical="bottom" horizontal="left"/>
    </xf>
    <xf applyAlignment="1" fillId="2" xfId="0" numFmtId="2" borderId="0" applyFont="1" fontId="327" applyNumberFormat="1" applyFill="1">
      <alignment vertical="bottom" horizontal="center"/>
    </xf>
    <xf applyBorder="1" applyAlignment="1" fillId="3" xfId="0" numFmtId="0" borderId="9" applyFont="1" fontId="328" applyFill="1">
      <alignment vertical="bottom" horizontal="center"/>
    </xf>
    <xf applyBorder="1" fillId="3" xfId="0" numFmtId="0" borderId="21" applyFont="1" fontId="329" applyFill="1"/>
    <xf applyBorder="1" fillId="4" xfId="0" numFmtId="0" borderId="55" applyFont="1" fontId="330" applyFill="1"/>
    <xf applyBorder="1" applyAlignment="1" fillId="3" xfId="0" numFmtId="0" borderId="20" applyFont="1" fontId="331" applyFill="1">
      <alignment vertical="bottom" horizontal="left"/>
    </xf>
    <xf applyBorder="1" fillId="2" xfId="0" numFmtId="0" borderId="8" applyFont="1" fontId="332" applyFill="1"/>
    <xf applyBorder="1" applyAlignment="1" fillId="4" xfId="0" numFmtId="0" borderId="45" applyFont="1" fontId="333" applyFill="1">
      <alignment vertical="bottom" horizontal="center"/>
    </xf>
    <xf applyBorder="1" applyAlignment="1" fillId="2" xfId="0" numFmtId="0" borderId="9" applyFont="1" fontId="334" applyFill="1">
      <alignment vertical="top" horizontal="right"/>
    </xf>
    <xf applyAlignment="1" fillId="3" xfId="0" numFmtId="170" borderId="0" applyFont="1" fontId="335" applyNumberFormat="1" applyFill="1">
      <alignment vertical="bottom" horizontal="left"/>
    </xf>
    <xf applyBorder="1" applyAlignment="1" fillId="3" xfId="0" numFmtId="0" borderId="1" applyFont="1" fontId="336" applyFill="1">
      <alignment vertical="top" horizontal="right"/>
    </xf>
    <xf applyBorder="1" fillId="5" xfId="0" numFmtId="0" borderId="24" applyFont="1" fontId="337" applyFill="1"/>
    <xf applyBorder="1" applyAlignment="1" fillId="6" xfId="0" numFmtId="0" borderId="10" applyFont="1" fontId="338" applyFill="1">
      <alignment vertical="bottom" horizontal="right"/>
    </xf>
    <xf applyBorder="1" applyAlignment="1" fillId="3" xfId="0" numFmtId="0" borderId="77" applyFont="1" fontId="339" applyFill="1">
      <alignment vertical="bottom" horizontal="center"/>
    </xf>
    <xf applyBorder="1" applyAlignment="1" fillId="3" xfId="0" numFmtId="0" borderId="31" applyFont="1" fontId="340" applyFill="1">
      <alignment vertical="bottom" horizontal="right"/>
    </xf>
    <xf applyAlignment="1" fillId="6" xfId="0" numFmtId="0" borderId="0" applyFont="1" fontId="341" applyFill="1">
      <alignment vertical="bottom" horizontal="left"/>
    </xf>
    <xf applyBorder="1" applyAlignment="1" fillId="2" xfId="0" numFmtId="0" borderId="6" applyFont="1" fontId="342" applyFill="1">
      <alignment vertical="bottom" horizontal="right"/>
    </xf>
    <xf applyBorder="1" applyAlignment="1" fillId="9" xfId="0" numFmtId="0" borderId="57" applyFont="1" fontId="343" applyFill="1">
      <alignment vertical="top" horizontal="left" wrapText="1"/>
    </xf>
    <xf applyBorder="1" applyAlignment="1" fillId="4" xfId="0" numFmtId="0" borderId="42" applyFont="1" fontId="344" applyFill="1">
      <alignment vertical="bottom" horizontal="center"/>
    </xf>
    <xf applyBorder="1" applyAlignment="1" fillId="3" xfId="0" numFmtId="164" borderId="3" applyFont="1" fontId="345" applyNumberFormat="1" applyFill="1">
      <alignment vertical="bottom" horizontal="center"/>
    </xf>
    <xf applyBorder="1" applyAlignment="1" fillId="3" xfId="0" numFmtId="164" borderId="25" applyFont="1" fontId="346" applyNumberFormat="1" applyFill="1">
      <alignment vertical="bottom" horizontal="center"/>
    </xf>
    <xf applyBorder="1" applyAlignment="1" fillId="3" xfId="0" numFmtId="164" borderId="41" applyFont="1" fontId="347" applyNumberFormat="1" applyFill="1">
      <alignment vertical="bottom" horizontal="center"/>
    </xf>
    <xf applyAlignment="1" fillId="3" xfId="0" numFmtId="164" borderId="0" applyFont="1" fontId="348" applyNumberFormat="1" applyFill="1">
      <alignment vertical="bottom" horizontal="center"/>
    </xf>
    <xf applyBorder="1" applyAlignment="1" fillId="2" xfId="0" numFmtId="0" borderId="18" applyFont="1" fontId="349" applyFill="1">
      <alignment vertical="bottom" horizontal="center"/>
    </xf>
    <xf applyBorder="1" applyAlignment="1" fillId="3" xfId="0" numFmtId="164" borderId="14" applyFont="1" fontId="350" applyNumberFormat="1" applyFill="1">
      <alignment vertical="bottom" horizontal="center"/>
    </xf>
    <xf applyBorder="1" applyAlignment="1" fillId="3" xfId="0" numFmtId="0" borderId="8" applyFont="1" fontId="351" applyFill="1">
      <alignment vertical="bottom" horizontal="right"/>
    </xf>
    <xf applyBorder="1" applyAlignment="1" fillId="3" xfId="0" numFmtId="9" borderId="48" applyFont="1" fontId="352" applyNumberFormat="1" applyFill="1">
      <alignment vertical="bottom" horizontal="center"/>
    </xf>
    <xf applyBorder="1" applyAlignment="1" fillId="3" xfId="0" numFmtId="166" borderId="21" applyFont="1" fontId="353" applyNumberFormat="1" applyFill="1">
      <alignment vertical="bottom" horizontal="left"/>
    </xf>
    <xf applyBorder="1" applyAlignment="1" fillId="3" xfId="0" numFmtId="0" borderId="9" applyFont="1" fontId="354" applyFill="1">
      <alignment vertical="top" horizontal="general"/>
    </xf>
    <xf applyBorder="1" fillId="2" xfId="0" numFmtId="0" borderId="31" applyFont="1" fontId="355" applyFill="1"/>
    <xf applyBorder="1" applyAlignment="1" fillId="3" xfId="0" numFmtId="164" borderId="52" applyFont="1" fontId="356" applyNumberFormat="1" applyFill="1">
      <alignment vertical="bottom" horizontal="center"/>
    </xf>
    <xf applyBorder="1" applyAlignment="1" fillId="3" xfId="0" numFmtId="165" borderId="78" applyFont="1" fontId="357" applyNumberFormat="1" applyFill="1">
      <alignment vertical="bottom" horizontal="left"/>
    </xf>
    <xf fillId="3" xfId="0" numFmtId="2" borderId="0" applyFont="1" fontId="358" applyNumberFormat="1" applyFill="1"/>
    <xf applyBorder="1" applyAlignment="1" fillId="3" xfId="0" numFmtId="0" borderId="45" applyFont="1" fontId="359" applyFill="1">
      <alignment vertical="bottom" horizontal="center"/>
    </xf>
    <xf applyBorder="1" fillId="5" xfId="0" numFmtId="0" borderId="34" applyFont="1" fontId="360" applyFill="1"/>
    <xf applyBorder="1" fillId="6" xfId="0" numFmtId="0" borderId="3" applyFont="1" fontId="361" applyFill="1"/>
    <xf applyBorder="1" applyAlignment="1" fillId="2" xfId="0" numFmtId="0" borderId="40" applyFont="1" fontId="362" applyFill="1">
      <alignment vertical="bottom" horizontal="left"/>
    </xf>
    <xf applyBorder="1" applyAlignment="1" fillId="2" xfId="0" numFmtId="164" borderId="21" applyFont="1" fontId="363" applyNumberFormat="1" applyFill="1">
      <alignment vertical="bottom" horizontal="center"/>
    </xf>
    <xf applyBorder="1" applyAlignment="1" fillId="6" xfId="0" numFmtId="0" borderId="10" applyFont="1" fontId="364" applyFill="1">
      <alignment vertical="bottom" horizontal="left"/>
    </xf>
    <xf applyBorder="1" fillId="3" xfId="0" numFmtId="0" borderId="12" applyFont="1" fontId="365" applyFill="1"/>
    <xf applyBorder="1" applyAlignment="1" fillId="3" xfId="0" numFmtId="164" borderId="61" applyFont="1" fontId="366" applyNumberFormat="1" applyFill="1">
      <alignment vertical="bottom" horizontal="center"/>
    </xf>
    <xf applyBorder="1" applyAlignment="1" fillId="2" xfId="0" numFmtId="0" borderId="21" applyFont="1" fontId="367" applyFill="1">
      <alignment vertical="bottom" horizontal="left"/>
    </xf>
    <xf applyBorder="1" fillId="3" xfId="0" numFmtId="0" borderId="10" applyFont="1" fontId="368" applyFill="1"/>
    <xf applyBorder="1" applyAlignment="1" fillId="3" xfId="0" numFmtId="0" borderId="1" applyFont="1" fontId="369" applyFill="1">
      <alignment vertical="bottom" horizontal="right"/>
    </xf>
    <xf applyBorder="1" applyAlignment="1" fillId="4" xfId="0" numFmtId="0" borderId="73" applyFont="1" fontId="370" applyFill="1">
      <alignment vertical="bottom" horizontal="right"/>
    </xf>
    <xf applyBorder="1" applyAlignment="1" fillId="2" xfId="0" numFmtId="0" borderId="27" applyFont="1" fontId="371" applyFill="1">
      <alignment vertical="bottom" horizontal="center"/>
    </xf>
    <xf applyAlignment="1" fillId="3" xfId="0" numFmtId="49" borderId="0" applyFont="1" fontId="372" applyNumberFormat="1" applyFill="1">
      <alignment vertical="bottom" horizontal="center"/>
    </xf>
    <xf applyBorder="1" applyAlignment="1" fillId="2" xfId="0" numFmtId="164" borderId="34" applyFont="1" fontId="373" applyNumberFormat="1" applyFill="1">
      <alignment vertical="bottom" horizontal="center"/>
    </xf>
    <xf applyBorder="1" fillId="2" xfId="0" numFmtId="164" borderId="10" applyFont="1" fontId="374" applyNumberFormat="1" applyFill="1"/>
    <xf fillId="3" xfId="0" numFmtId="0" borderId="0" applyFont="1" fontId="375" applyFill="1"/>
    <xf applyBorder="1" applyAlignment="1" fillId="3" xfId="0" numFmtId="0" borderId="7" applyFont="1" fontId="376" applyFill="1">
      <alignment vertical="bottom" horizontal="left"/>
    </xf>
    <xf applyBorder="1" fillId="2" xfId="0" numFmtId="0" borderId="79" applyFont="1" fontId="377" applyFill="1"/>
    <xf applyBorder="1" applyAlignment="1" fillId="3" xfId="0" numFmtId="0" borderId="34" applyFont="1" fontId="378" applyFill="1">
      <alignment vertical="bottom" horizontal="center"/>
    </xf>
    <xf applyBorder="1" applyAlignment="1" fillId="4" xfId="0" numFmtId="0" borderId="80" applyFont="1" fontId="379" applyFill="1">
      <alignment vertical="bottom" horizontal="right"/>
    </xf>
    <xf applyBorder="1" fillId="7" xfId="0" numFmtId="0" borderId="23" applyFont="1" fontId="380" applyFill="1"/>
    <xf applyBorder="1" fillId="2" xfId="0" numFmtId="0" borderId="16" applyFont="1" fontId="381" applyFill="1"/>
    <xf applyBorder="1" applyAlignment="1" fillId="8" xfId="0" numFmtId="0" borderId="29" applyFont="1" fontId="382" applyFill="1">
      <alignment vertical="center" horizontal="center"/>
    </xf>
    <xf applyBorder="1" applyAlignment="1" fillId="5" xfId="0" numFmtId="0" borderId="10" applyFont="1" fontId="383" applyFill="1">
      <alignment vertical="bottom" horizontal="center"/>
    </xf>
    <xf applyBorder="1" applyAlignment="1" fillId="2" xfId="0" numFmtId="0" borderId="9" applyFont="1" fontId="384" applyFill="1">
      <alignment vertical="bottom" horizontal="right"/>
    </xf>
    <xf applyAlignment="1" fillId="2" xfId="0" numFmtId="0" borderId="0" applyFont="1" fontId="385" applyFill="1">
      <alignment vertical="bottom" horizontal="center"/>
    </xf>
    <xf applyBorder="1" applyAlignment="1" fillId="6" xfId="0" numFmtId="0" borderId="34" applyFont="1" fontId="386" applyFill="1">
      <alignment vertical="bottom" horizontal="left"/>
    </xf>
    <xf applyBorder="1" applyAlignment="1" fillId="3" xfId="0" numFmtId="0" borderId="81" applyFont="1" fontId="387" applyFill="1">
      <alignment vertical="bottom" horizontal="center"/>
    </xf>
    <xf applyBorder="1" applyAlignment="1" fillId="6" xfId="0" numFmtId="0" borderId="40" applyFont="1" fontId="388" applyFill="1">
      <alignment vertical="bottom" horizontal="center"/>
    </xf>
    <xf applyBorder="1" fillId="5" xfId="0" numFmtId="0" borderId="21" applyFont="1" fontId="389" applyFill="1"/>
    <xf applyBorder="1" applyAlignment="1" fillId="3" xfId="0" numFmtId="0" borderId="9" applyFont="1" fontId="390" applyFill="1">
      <alignment vertical="top" horizontal="right"/>
    </xf>
    <xf fillId="3" xfId="0" numFmtId="0" borderId="0" applyFont="1" fontId="391" applyFill="1"/>
    <xf fillId="6" xfId="0" numFmtId="0" borderId="0" applyFont="1" fontId="392" applyFill="1"/>
    <xf applyBorder="1" applyAlignment="1" fillId="3" xfId="0" numFmtId="0" borderId="24" applyFont="1" fontId="393" applyFill="1">
      <alignment vertical="bottom" horizontal="right"/>
    </xf>
    <xf applyBorder="1" applyAlignment="1" fillId="4" xfId="0" numFmtId="0" borderId="3" applyFont="1" fontId="394" applyFill="1">
      <alignment vertical="bottom" horizontal="left"/>
    </xf>
    <xf applyAlignment="1" fillId="6" xfId="0" numFmtId="1" borderId="0" applyFont="1" fontId="395" applyNumberFormat="1" applyFill="1">
      <alignment vertical="top" horizontal="center"/>
    </xf>
    <xf applyBorder="1" applyAlignment="1" fillId="3" xfId="0" numFmtId="164" borderId="82" applyFont="1" fontId="396" applyNumberFormat="1" applyFill="1">
      <alignment vertical="bottom" horizontal="center"/>
    </xf>
    <xf applyBorder="1" fillId="3" xfId="0" numFmtId="0" borderId="24" applyFont="1" fontId="397" applyFill="1"/>
    <xf applyAlignment="1" fillId="2" xfId="0" numFmtId="164" borderId="0" applyFont="1" fontId="398" applyNumberFormat="1" applyFill="1">
      <alignment vertical="bottom" horizontal="center"/>
    </xf>
    <xf applyBorder="1" applyAlignment="1" fillId="3" xfId="0" numFmtId="0" borderId="34" applyFont="1" fontId="399" applyFill="1">
      <alignment vertical="bottom" horizontal="center"/>
    </xf>
    <xf applyBorder="1" applyAlignment="1" fillId="3" xfId="0" numFmtId="0" borderId="54" applyFont="1" fontId="400" applyFill="1">
      <alignment vertical="bottom" horizontal="center"/>
    </xf>
    <xf applyBorder="1" fillId="4" xfId="0" numFmtId="0" borderId="10" applyFont="1" fontId="401" applyFill="1"/>
    <xf applyBorder="1" fillId="3" xfId="0" numFmtId="0" borderId="61" applyFont="1" fontId="402" applyFill="1"/>
    <xf applyBorder="1" applyAlignment="1" fillId="3" xfId="0" numFmtId="0" borderId="10" applyFont="1" fontId="403" applyFill="1">
      <alignment vertical="center" horizontal="right"/>
    </xf>
    <xf applyBorder="1" applyAlignment="1" fillId="2" xfId="0" numFmtId="0" borderId="11" applyFont="1" fontId="404" applyFill="1">
      <alignment vertical="bottom" horizontal="right"/>
    </xf>
    <xf applyBorder="1" applyAlignment="1" fillId="2" xfId="0" numFmtId="0" borderId="83" applyFont="1" fontId="405" applyFill="1">
      <alignment vertical="bottom" horizontal="center"/>
    </xf>
    <xf applyBorder="1" fillId="2" xfId="0" numFmtId="0" borderId="21" applyFont="1" fontId="406" applyFill="1"/>
    <xf applyBorder="1" applyAlignment="1" fillId="2" xfId="0" numFmtId="0" borderId="36" applyFont="1" fontId="407" applyFill="1">
      <alignment vertical="bottom" horizontal="center"/>
    </xf>
    <xf applyBorder="1" fillId="3" xfId="0" numFmtId="0" borderId="7" applyFont="1" fontId="408" applyFill="1"/>
    <xf applyBorder="1" applyAlignment="1" fillId="3" xfId="0" numFmtId="0" borderId="21" applyFont="1" fontId="409" applyFill="1">
      <alignment vertical="bottom" horizontal="right"/>
    </xf>
    <xf applyBorder="1" fillId="3" xfId="0" numFmtId="0" borderId="8" applyFont="1" fontId="410" applyFill="1"/>
    <xf applyBorder="1" applyAlignment="1" fillId="3" xfId="0" numFmtId="1" borderId="52" applyFont="1" fontId="411" applyNumberFormat="1" applyFill="1">
      <alignment vertical="bottom" horizontal="left"/>
    </xf>
    <xf applyBorder="1" fillId="6" xfId="0" numFmtId="0" borderId="34" applyFont="1" fontId="412" applyFill="1"/>
    <xf applyBorder="1" applyAlignment="1" fillId="4" xfId="0" numFmtId="0" borderId="84" applyFont="1" fontId="413" applyFill="1">
      <alignment vertical="bottom" textRotation="90" horizontal="center" wrapText="1"/>
    </xf>
    <xf applyBorder="1" fillId="3" xfId="0" numFmtId="0" borderId="3" applyFont="1" fontId="414" applyFill="1"/>
    <xf applyBorder="1" applyAlignment="1" fillId="2" xfId="0" numFmtId="165" borderId="21" applyFont="1" fontId="415" applyNumberFormat="1" applyFill="1">
      <alignment vertical="bottom" horizontal="center"/>
    </xf>
    <xf applyBorder="1" applyAlignment="1" fillId="3" xfId="0" numFmtId="0" borderId="47" applyFont="1" fontId="416" applyFill="1">
      <alignment vertical="bottom" horizontal="right"/>
    </xf>
    <xf applyBorder="1" applyAlignment="1" fillId="3" xfId="0" numFmtId="0" borderId="10" applyFont="1" fontId="417" applyFill="1">
      <alignment vertical="top" horizontal="right"/>
    </xf>
    <xf applyBorder="1" fillId="2" xfId="0" numFmtId="0" borderId="9" applyFont="1" fontId="418" applyFill="1"/>
    <xf applyBorder="1" applyAlignment="1" fillId="3" xfId="0" numFmtId="164" borderId="6" applyFont="1" fontId="419" applyNumberFormat="1" applyFill="1">
      <alignment vertical="bottom" horizontal="center"/>
    </xf>
    <xf applyBorder="1" applyAlignment="1" fillId="4" xfId="0" numFmtId="0" borderId="85" applyFont="1" fontId="420" applyFill="1">
      <alignment vertical="bottom" horizontal="center"/>
    </xf>
    <xf applyBorder="1" applyAlignment="1" fillId="2" xfId="0" numFmtId="0" borderId="7" applyFont="1" fontId="421" applyFill="1">
      <alignment vertical="bottom" horizontal="center"/>
    </xf>
    <xf applyBorder="1" applyAlignment="1" fillId="4" xfId="0" numFmtId="0" borderId="86" applyFont="1" fontId="422" applyFill="1">
      <alignment vertical="bottom" horizontal="center"/>
    </xf>
    <xf applyAlignment="1" fillId="5" xfId="0" numFmtId="164" borderId="0" applyFont="1" fontId="423" applyNumberFormat="1" applyFill="1">
      <alignment vertical="bottom" horizontal="center"/>
    </xf>
    <xf applyBorder="1" applyAlignment="1" fillId="3" xfId="0" numFmtId="0" borderId="21" applyFont="1" fontId="424" applyFill="1">
      <alignment vertical="top" horizontal="right"/>
    </xf>
    <xf applyBorder="1" applyAlignment="1" fillId="3" xfId="0" numFmtId="165" borderId="87" applyFont="1" fontId="425" applyNumberFormat="1" applyFill="1">
      <alignment vertical="bottom" horizontal="right"/>
    </xf>
    <xf applyBorder="1" applyAlignment="1" fillId="8" xfId="0" numFmtId="0" borderId="15" applyFont="1" fontId="426" applyFill="1">
      <alignment vertical="bottom" horizontal="center"/>
    </xf>
    <xf fillId="3" xfId="0" numFmtId="0" borderId="0" applyFont="1" fontId="427" applyFill="1"/>
    <xf applyBorder="1" applyAlignment="1" fillId="3" xfId="0" numFmtId="0" borderId="3" applyFont="1" fontId="428" applyFill="1">
      <alignment vertical="bottom" horizontal="right"/>
    </xf>
    <xf applyBorder="1" applyAlignment="1" fillId="9" xfId="0" numFmtId="0" borderId="29" applyFont="1" fontId="429" applyFill="1">
      <alignment vertical="bottom" horizontal="left"/>
    </xf>
    <xf applyBorder="1" applyAlignment="1" fillId="2" xfId="0" numFmtId="0" borderId="10" applyFont="1" fontId="430" applyFill="1">
      <alignment vertical="bottom" horizontal="right"/>
    </xf>
    <xf applyBorder="1" applyAlignment="1" fillId="6" xfId="0" numFmtId="0" borderId="40" applyFont="1" fontId="431" applyFill="1">
      <alignment vertical="bottom" horizontal="center"/>
    </xf>
    <xf applyBorder="1" fillId="3" xfId="0" numFmtId="2" borderId="21" applyFont="1" fontId="432" applyNumberFormat="1" applyFill="1"/>
    <xf applyAlignment="1" fillId="6" xfId="0" numFmtId="164" borderId="0" applyFont="1" fontId="433" applyNumberFormat="1" applyFill="1">
      <alignment vertical="bottom" horizontal="center"/>
    </xf>
    <xf applyBorder="1" fillId="7" xfId="0" numFmtId="0" borderId="88" applyFont="1" fontId="434" applyFill="1"/>
    <xf applyBorder="1" applyAlignment="1" fillId="4" xfId="0" numFmtId="0" borderId="89" applyFont="1" fontId="435" applyFill="1">
      <alignment vertical="bottom" horizontal="center"/>
    </xf>
    <xf applyBorder="1" applyAlignment="1" fillId="3" xfId="0" numFmtId="2" borderId="31" applyFont="1" fontId="436" applyNumberFormat="1" applyFill="1">
      <alignment vertical="bottom" horizontal="center"/>
    </xf>
    <xf applyBorder="1" applyAlignment="1" fillId="5" xfId="0" numFmtId="0" borderId="6" applyFont="1" fontId="437" applyFill="1">
      <alignment vertical="bottom" horizontal="center"/>
    </xf>
    <xf applyBorder="1" applyAlignment="1" fillId="3" xfId="0" numFmtId="0" borderId="3" applyFont="1" fontId="438" applyFill="1">
      <alignment vertical="center" horizontal="left"/>
    </xf>
    <xf applyBorder="1" applyAlignment="1" fillId="5" xfId="0" numFmtId="0" borderId="21" applyFont="1" fontId="439" applyFill="1">
      <alignment vertical="bottom" horizontal="left"/>
    </xf>
    <xf applyBorder="1" applyAlignment="1" fillId="3" xfId="0" numFmtId="0" borderId="27" applyFont="1" fontId="440" applyFill="1">
      <alignment vertical="bottom" horizontal="left"/>
    </xf>
    <xf applyBorder="1" applyAlignment="1" fillId="2" xfId="0" numFmtId="164" borderId="9" applyFont="1" fontId="441" applyNumberFormat="1" applyFill="1">
      <alignment vertical="bottom" horizontal="center"/>
    </xf>
    <xf applyBorder="1" fillId="6" xfId="0" numFmtId="0" borderId="10" applyFont="1" fontId="442" applyFill="1"/>
    <xf applyBorder="1" applyAlignment="1" fillId="9" xfId="0" numFmtId="0" borderId="53" applyFont="1" fontId="443" applyFill="1">
      <alignment vertical="bottom" horizontal="center"/>
    </xf>
    <xf applyBorder="1" applyAlignment="1" fillId="3" xfId="0" numFmtId="0" borderId="84" applyFont="1" fontId="444" applyFill="1">
      <alignment vertical="bottom" horizontal="center"/>
    </xf>
    <xf applyBorder="1" applyAlignment="1" fillId="3" xfId="0" numFmtId="164" borderId="41" applyFont="1" fontId="445" applyNumberFormat="1" applyFill="1">
      <alignment vertical="bottom" horizontal="right"/>
    </xf>
    <xf applyAlignment="1" fillId="2" xfId="0" numFmtId="1" borderId="0" applyFont="1" fontId="446" applyNumberFormat="1" applyFill="1">
      <alignment vertical="bottom" horizontal="right"/>
    </xf>
    <xf applyBorder="1" fillId="5" xfId="0" numFmtId="0" borderId="23" applyFont="1" fontId="447" applyFill="1"/>
    <xf applyBorder="1" applyAlignment="1" fillId="3" xfId="0" numFmtId="0" borderId="42" applyFont="1" fontId="448" applyFill="1">
      <alignment vertical="bottom" horizontal="center"/>
    </xf>
    <xf applyAlignment="1" fillId="6" xfId="0" numFmtId="0" borderId="0" applyFont="1" fontId="449" applyFill="1">
      <alignment vertical="bottom" horizontal="center"/>
    </xf>
    <xf applyAlignment="1" fillId="6" xfId="0" numFmtId="2" borderId="0" applyFont="1" fontId="450" applyNumberFormat="1" applyFill="1">
      <alignment vertical="bottom" horizontal="right"/>
    </xf>
    <xf fillId="3" xfId="0" numFmtId="165" borderId="0" applyFont="1" fontId="451" applyNumberFormat="1" applyFill="1"/>
    <xf applyBorder="1" applyAlignment="1" fillId="3" xfId="0" numFmtId="0" borderId="9" applyFont="1" fontId="452" applyFill="1">
      <alignment vertical="center" horizontal="general"/>
    </xf>
    <xf applyAlignment="1" fillId="3" xfId="0" numFmtId="0" borderId="0" applyFont="1" fontId="453" applyFill="1">
      <alignment vertical="top" horizontal="left" wrapText="1"/>
    </xf>
    <xf applyBorder="1" fillId="5" xfId="0" numFmtId="0" borderId="57" applyFont="1" fontId="454" applyFill="1"/>
    <xf applyBorder="1" applyAlignment="1" fillId="3" xfId="0" numFmtId="0" borderId="3" applyFont="1" fontId="455" applyFill="1">
      <alignment vertical="top" horizontal="left" wrapText="1"/>
    </xf>
    <xf applyBorder="1" applyAlignment="1" fillId="3" xfId="0" numFmtId="164" borderId="48" applyFont="1" fontId="456" applyNumberFormat="1" applyFill="1">
      <alignment vertical="bottom" horizontal="center"/>
    </xf>
    <xf applyBorder="1" fillId="6" xfId="0" numFmtId="0" borderId="3" applyFont="1" fontId="457" applyFill="1"/>
    <xf applyBorder="1" applyAlignment="1" fillId="9" xfId="0" numFmtId="0" borderId="29" applyFont="1" fontId="458" applyFill="1">
      <alignment vertical="bottom" horizontal="center"/>
    </xf>
    <xf applyBorder="1" applyAlignment="1" fillId="2" xfId="0" numFmtId="1" borderId="74" applyFont="1" fontId="459" applyNumberFormat="1" applyFill="1">
      <alignment vertical="bottom" horizontal="right"/>
    </xf>
    <xf applyBorder="1" applyAlignment="1" fillId="3" xfId="0" numFmtId="0" borderId="82" applyFont="1" fontId="460" applyFill="1">
      <alignment vertical="bottom" horizontal="right"/>
    </xf>
    <xf applyBorder="1" applyAlignment="1" fillId="4" xfId="0" numFmtId="0" borderId="3" applyFont="1" fontId="461" applyFill="1">
      <alignment vertical="bottom" horizontal="right"/>
    </xf>
    <xf applyBorder="1" fillId="4" xfId="0" numFmtId="0" borderId="10" applyFont="1" fontId="462" applyFill="1"/>
    <xf applyBorder="1" applyAlignment="1" fillId="5" xfId="0" numFmtId="0" borderId="6" applyFont="1" fontId="463" applyFill="1">
      <alignment vertical="bottom" horizontal="right"/>
    </xf>
    <xf applyBorder="1" applyAlignment="1" fillId="3" xfId="0" numFmtId="164" borderId="47" applyFont="1" fontId="464" applyNumberFormat="1" applyFill="1">
      <alignment vertical="bottom" horizontal="right"/>
    </xf>
    <xf applyBorder="1" fillId="4" xfId="0" numFmtId="0" borderId="7" applyFont="1" fontId="465" applyFill="1"/>
    <xf applyBorder="1" applyAlignment="1" fillId="6" xfId="0" numFmtId="0" borderId="40" applyFont="1" fontId="466" applyFill="1">
      <alignment vertical="bottom" horizontal="right"/>
    </xf>
    <xf applyBorder="1" fillId="4" xfId="0" numFmtId="0" borderId="10" applyFont="1" fontId="467" applyFill="1"/>
    <xf applyAlignment="1" fillId="3" xfId="0" numFmtId="0" borderId="0" applyFont="1" fontId="468" applyFill="1">
      <alignment vertical="bottom" horizontal="left"/>
    </xf>
    <xf applyBorder="1" applyAlignment="1" fillId="8" xfId="0" numFmtId="0" borderId="29" applyFont="1" fontId="469" applyFill="1">
      <alignment vertical="bottom" horizontal="center"/>
    </xf>
    <xf applyBorder="1" applyAlignment="1" fillId="2" xfId="0" numFmtId="0" borderId="29" applyFont="1" fontId="470" applyFill="1">
      <alignment vertical="bottom" horizontal="center"/>
    </xf>
    <xf applyBorder="1" applyAlignment="1" fillId="3" xfId="0" numFmtId="0" borderId="15" applyFont="1" fontId="471" applyFill="1">
      <alignment vertical="bottom" horizontal="center"/>
    </xf>
    <xf applyAlignment="1" fillId="3" xfId="0" numFmtId="0" borderId="0" applyFont="1" fontId="472" applyFill="1">
      <alignment vertical="bottom" horizontal="left"/>
    </xf>
    <xf applyBorder="1" fillId="4" xfId="0" numFmtId="0" borderId="45" applyFont="1" fontId="473" applyFill="1"/>
    <xf applyBorder="1" applyAlignment="1" fillId="3" xfId="0" numFmtId="164" borderId="30" applyFont="1" fontId="474" applyNumberFormat="1" applyFill="1">
      <alignment vertical="bottom" horizontal="center"/>
    </xf>
    <xf applyBorder="1" applyAlignment="1" fillId="4" xfId="0" numFmtId="0" borderId="9" applyFont="1" fontId="475" applyFill="1">
      <alignment vertical="bottom" horizontal="center"/>
    </xf>
    <xf applyBorder="1" applyAlignment="1" fillId="3" xfId="0" numFmtId="0" borderId="16" applyFont="1" fontId="476" applyFill="1">
      <alignment vertical="bottom" horizontal="center"/>
    </xf>
    <xf fillId="3" xfId="0" numFmtId="0" borderId="0" applyFont="1" fontId="477" applyFill="1"/>
    <xf applyBorder="1" applyAlignment="1" fillId="3" xfId="0" numFmtId="0" borderId="3" applyFont="1" fontId="478" applyFill="1">
      <alignment vertical="bottom" horizontal="center"/>
    </xf>
    <xf applyAlignment="1" fillId="3" xfId="0" numFmtId="9" borderId="0" applyFont="1" fontId="479" applyNumberFormat="1" applyFill="1">
      <alignment vertical="center" horizontal="center"/>
    </xf>
    <xf applyBorder="1" fillId="4" xfId="0" numFmtId="0" borderId="27" applyFont="1" fontId="480" applyFill="1"/>
    <xf applyBorder="1" fillId="3" xfId="0" numFmtId="0" borderId="26" applyFont="1" fontId="481" applyFill="1"/>
    <xf applyAlignment="1" fillId="2" xfId="0" numFmtId="0" borderId="0" applyFont="1" fontId="482" applyFill="1">
      <alignment vertical="bottom" horizontal="right"/>
    </xf>
    <xf applyBorder="1" applyAlignment="1" fillId="3" xfId="0" numFmtId="0" borderId="3" applyFont="1" fontId="483" applyFill="1">
      <alignment vertical="center" horizontal="right"/>
    </xf>
    <xf applyBorder="1" applyAlignment="1" fillId="4" xfId="0" numFmtId="0" borderId="10" applyFont="1" fontId="484" applyFill="1">
      <alignment vertical="bottom" horizontal="left"/>
    </xf>
    <xf applyBorder="1" applyAlignment="1" fillId="3" xfId="0" numFmtId="164" borderId="10" applyFont="1" fontId="485" applyNumberFormat="1" applyFill="1">
      <alignment vertical="bottom" horizontal="center"/>
    </xf>
    <xf applyAlignment="1" fillId="6" xfId="0" numFmtId="168" borderId="0" applyFont="1" fontId="486" applyNumberFormat="1" applyFill="1">
      <alignment vertical="bottom" horizontal="right"/>
    </xf>
    <xf applyBorder="1" fillId="3" xfId="0" numFmtId="0" borderId="16" applyFont="1" fontId="487" applyFill="1"/>
    <xf applyBorder="1" applyAlignment="1" fillId="6" xfId="0" numFmtId="164" borderId="21" applyFont="1" fontId="488" applyNumberFormat="1" applyFill="1">
      <alignment vertical="bottom" horizontal="center"/>
    </xf>
    <xf applyBorder="1" applyAlignment="1" fillId="3" xfId="0" numFmtId="0" borderId="14" applyFont="1" fontId="489" applyFill="1">
      <alignment vertical="top" horizontal="left" wrapText="1"/>
    </xf>
    <xf applyBorder="1" applyAlignment="1" fillId="5" xfId="0" numFmtId="0" borderId="10" applyFont="1" fontId="490" applyFill="1">
      <alignment vertical="bottom" horizontal="center"/>
    </xf>
    <xf applyBorder="1" applyAlignment="1" fillId="3" xfId="0" numFmtId="167" borderId="15" applyFont="1" fontId="491" applyNumberFormat="1" applyFill="1">
      <alignment vertical="bottom" horizontal="center"/>
    </xf>
    <xf applyBorder="1" applyAlignment="1" fillId="6" xfId="0" numFmtId="0" borderId="9" applyFont="1" fontId="492" applyFill="1">
      <alignment vertical="bottom" horizontal="right"/>
    </xf>
    <xf applyBorder="1" fillId="4" xfId="0" numFmtId="0" borderId="10" applyFont="1" fontId="493" applyFill="1"/>
    <xf applyBorder="1" fillId="4" xfId="0" numFmtId="0" borderId="6" applyFont="1" fontId="494" applyFill="1"/>
    <xf applyBorder="1" applyAlignment="1" fillId="3" xfId="0" numFmtId="0" borderId="7" applyFont="1" fontId="495" applyFill="1">
      <alignment vertical="bottom" horizontal="center"/>
    </xf>
    <xf applyBorder="1" fillId="2" xfId="0" numFmtId="0" borderId="21" applyFont="1" fontId="496" applyFill="1"/>
    <xf applyBorder="1" applyAlignment="1" fillId="3" xfId="0" numFmtId="1" borderId="32" applyFont="1" fontId="497" applyNumberFormat="1" applyFill="1">
      <alignment vertical="bottom" horizontal="left"/>
    </xf>
    <xf applyAlignment="1" fillId="6" xfId="0" numFmtId="0" borderId="0" applyFont="1" fontId="498" applyFill="1">
      <alignment vertical="bottom" horizontal="left"/>
    </xf>
    <xf applyBorder="1" applyAlignment="1" fillId="3" xfId="0" numFmtId="165" borderId="29" applyFont="1" fontId="499" applyNumberFormat="1" applyFill="1">
      <alignment vertical="bottom" horizontal="center"/>
    </xf>
    <xf applyBorder="1" applyAlignment="1" fillId="8" xfId="0" numFmtId="0" borderId="26" applyFont="1" fontId="500" applyFill="1">
      <alignment vertical="bottom" horizontal="left"/>
    </xf>
    <xf applyBorder="1" fillId="3" xfId="0" numFmtId="0" borderId="9" applyFont="1" fontId="501" applyFill="1"/>
    <xf applyBorder="1" applyAlignment="1" fillId="3" xfId="0" numFmtId="9" borderId="68" applyFont="1" fontId="502" applyNumberFormat="1" applyFill="1">
      <alignment vertical="bottom" horizontal="center"/>
    </xf>
    <xf applyBorder="1" fillId="5" xfId="0" numFmtId="0" borderId="16" applyFont="1" fontId="503" applyFill="1"/>
    <xf applyBorder="1" applyAlignment="1" fillId="7" xfId="0" numFmtId="0" borderId="29" applyFont="1" fontId="504" applyFill="1">
      <alignment vertical="bottom" horizontal="center"/>
    </xf>
    <xf applyAlignment="1" fillId="3" xfId="0" numFmtId="0" borderId="0" applyFont="1" fontId="505" applyFill="1">
      <alignment vertical="bottom" horizontal="left"/>
    </xf>
    <xf applyAlignment="1" fillId="3" xfId="0" numFmtId="1" borderId="0" applyFont="1" fontId="506" applyNumberFormat="1" applyFill="1">
      <alignment vertical="bottom" horizontal="left"/>
    </xf>
    <xf applyBorder="1" fillId="5" xfId="0" numFmtId="0" borderId="45" applyFont="1" fontId="507" applyFill="1"/>
    <xf applyBorder="1" fillId="3" xfId="0" numFmtId="0" borderId="16" applyFont="1" fontId="508" applyFill="1"/>
    <xf applyBorder="1" applyAlignment="1" fillId="3" xfId="0" numFmtId="164" borderId="24" applyFont="1" fontId="509" applyNumberFormat="1" applyFill="1">
      <alignment vertical="bottom" horizontal="center"/>
    </xf>
    <xf applyBorder="1" fillId="2" xfId="0" numFmtId="0" borderId="84" applyFont="1" fontId="510" applyFill="1"/>
    <xf applyBorder="1" applyAlignment="1" fillId="3" xfId="0" numFmtId="0" borderId="30" applyFont="1" fontId="511" applyFill="1">
      <alignment vertical="bottom" horizontal="right"/>
    </xf>
    <xf applyBorder="1" applyAlignment="1" fillId="3" xfId="0" numFmtId="2" borderId="52" applyFont="1" fontId="512" applyNumberFormat="1" applyFill="1">
      <alignment vertical="bottom" horizontal="left"/>
    </xf>
    <xf applyBorder="1" applyAlignment="1" fillId="6" xfId="0" numFmtId="0" borderId="40" applyFont="1" fontId="513" applyFill="1">
      <alignment vertical="bottom" horizontal="right"/>
    </xf>
    <xf applyBorder="1" applyAlignment="1" fillId="3" xfId="0" numFmtId="165" borderId="32" applyFont="1" fontId="514" applyNumberFormat="1" applyFill="1">
      <alignment vertical="bottom" horizontal="left"/>
    </xf>
    <xf fillId="6" xfId="0" numFmtId="0" borderId="0" applyFont="1" fontId="515" applyFill="1"/>
    <xf applyBorder="1" fillId="5" xfId="0" numFmtId="0" borderId="45" applyFont="1" fontId="516" applyFill="1"/>
    <xf applyBorder="1" applyAlignment="1" fillId="4" xfId="0" numFmtId="0" borderId="10" applyFont="1" fontId="517" applyFill="1">
      <alignment vertical="bottom" horizontal="center"/>
    </xf>
    <xf applyAlignment="1" fillId="3" xfId="0" numFmtId="0" borderId="0" applyFont="1" fontId="518" applyFill="1">
      <alignment vertical="center" horizontal="general"/>
    </xf>
    <xf applyBorder="1" applyAlignment="1" fillId="8" xfId="0" numFmtId="0" borderId="31" applyFont="1" fontId="519" applyFill="1">
      <alignment vertical="bottom" horizontal="center"/>
    </xf>
    <xf applyBorder="1" applyAlignment="1" fillId="3" xfId="0" numFmtId="0" borderId="2" applyFont="1" fontId="520" applyFill="1">
      <alignment vertical="bottom" horizontal="right"/>
    </xf>
    <xf applyBorder="1" applyAlignment="1" fillId="5" xfId="0" numFmtId="0" borderId="42" applyFont="1" fontId="521" applyFill="1">
      <alignment vertical="bottom" horizontal="left"/>
    </xf>
    <xf applyAlignment="1" fillId="3" xfId="0" numFmtId="0" borderId="0" applyFont="1" fontId="522" applyFill="1">
      <alignment vertical="bottom" horizontal="center"/>
    </xf>
    <xf fillId="3" xfId="0" numFmtId="0" borderId="0" applyFont="1" fontId="523" applyFill="1"/>
    <xf applyBorder="1" applyAlignment="1" fillId="3" xfId="0" numFmtId="167" borderId="29" applyFont="1" fontId="524" applyNumberFormat="1" applyFill="1">
      <alignment vertical="bottom" horizontal="center"/>
    </xf>
    <xf applyBorder="1" fillId="2" xfId="0" numFmtId="1" borderId="16" applyFont="1" fontId="525" applyNumberFormat="1" applyFill="1"/>
    <xf applyBorder="1" applyAlignment="1" fillId="3" xfId="0" numFmtId="164" borderId="7" applyFont="1" fontId="526" applyNumberFormat="1" applyFill="1">
      <alignment vertical="bottom" horizontal="center"/>
    </xf>
    <xf applyBorder="1" applyAlignment="1" fillId="3" xfId="0" numFmtId="164" borderId="8" applyFont="1" fontId="527" applyNumberFormat="1" applyFill="1">
      <alignment vertical="bottom" horizontal="center"/>
    </xf>
    <xf applyBorder="1" fillId="3" xfId="0" numFmtId="164" borderId="21" applyFont="1" fontId="528" applyNumberFormat="1" applyFill="1"/>
    <xf applyBorder="1" applyAlignment="1" fillId="2" xfId="0" numFmtId="0" borderId="3" applyFont="1" fontId="529" applyFill="1">
      <alignment vertical="bottom" horizontal="center"/>
    </xf>
    <xf applyBorder="1" applyAlignment="1" fillId="2" xfId="0" numFmtId="1" borderId="90" applyFont="1" fontId="530" applyNumberFormat="1" applyFill="1">
      <alignment vertical="bottom" horizontal="left"/>
    </xf>
    <xf applyBorder="1" applyAlignment="1" fillId="6" xfId="0" numFmtId="0" borderId="3" applyFont="1" fontId="531" applyFill="1">
      <alignment vertical="bottom" horizontal="left"/>
    </xf>
    <xf applyBorder="1" applyAlignment="1" fillId="3" xfId="0" numFmtId="0" borderId="9" applyFont="1" fontId="532" applyFill="1">
      <alignment vertical="bottom" horizontal="right"/>
    </xf>
    <xf applyBorder="1" applyAlignment="1" fillId="3" xfId="0" numFmtId="0" borderId="14" applyFont="1" fontId="533" applyFill="1">
      <alignment vertical="center" horizontal="general"/>
    </xf>
    <xf applyBorder="1" applyAlignment="1" fillId="3" xfId="0" numFmtId="164" borderId="74" applyFont="1" fontId="534" applyNumberFormat="1" applyFill="1">
      <alignment vertical="bottom" horizontal="right"/>
    </xf>
    <xf applyBorder="1" applyAlignment="1" fillId="4" xfId="0" numFmtId="0" borderId="21" applyFont="1" fontId="535" applyFill="1">
      <alignment vertical="bottom" horizontal="center"/>
    </xf>
    <xf applyBorder="1" fillId="4" xfId="0" numFmtId="0" borderId="36" applyFont="1" fontId="536" applyFill="1"/>
    <xf applyBorder="1" applyAlignment="1" fillId="2" xfId="0" numFmtId="1" borderId="32" applyFont="1" fontId="537" applyNumberFormat="1" applyFill="1">
      <alignment vertical="bottom" horizontal="right"/>
    </xf>
    <xf applyBorder="1" applyAlignment="1" fillId="3" xfId="0" numFmtId="0" borderId="3" applyFont="1" fontId="538" applyFill="1">
      <alignment vertical="bottom" horizontal="right"/>
    </xf>
    <xf applyBorder="1" applyAlignment="1" fillId="2" xfId="0" numFmtId="0" borderId="1" applyFont="1" fontId="539" applyFill="1">
      <alignment vertical="bottom" horizontal="center"/>
    </xf>
    <xf applyBorder="1" applyAlignment="1" fillId="3" xfId="0" numFmtId="9" borderId="9" applyFont="1" fontId="540" applyNumberFormat="1" applyFill="1">
      <alignment vertical="bottom" horizontal="center"/>
    </xf>
    <xf applyBorder="1" applyAlignment="1" fillId="4" xfId="0" numFmtId="0" borderId="10" applyFont="1" fontId="541" applyFill="1">
      <alignment vertical="bottom" horizontal="right"/>
    </xf>
    <xf applyBorder="1" applyAlignment="1" fillId="3" xfId="0" numFmtId="164" borderId="13" applyFont="1" fontId="542" applyNumberFormat="1" applyFill="1">
      <alignment vertical="bottom" horizontal="center"/>
    </xf>
    <xf applyBorder="1" applyAlignment="1" fillId="2" xfId="0" numFmtId="164" borderId="3" applyFont="1" fontId="543" applyNumberFormat="1" applyFill="1">
      <alignment vertical="bottom" horizontal="center"/>
    </xf>
    <xf applyBorder="1" applyAlignment="1" fillId="3" xfId="0" numFmtId="164" borderId="2" applyFont="1" fontId="544" applyNumberFormat="1" applyFill="1">
      <alignment vertical="bottom" horizontal="center"/>
    </xf>
    <xf applyBorder="1" applyAlignment="1" fillId="3" xfId="0" numFmtId="0" borderId="3" applyFont="1" fontId="545" applyFill="1">
      <alignment vertical="bottom" horizontal="left"/>
    </xf>
    <xf applyBorder="1" fillId="4" xfId="0" numFmtId="0" borderId="14" applyFont="1" fontId="546" applyFill="1"/>
    <xf applyBorder="1" fillId="5" xfId="0" numFmtId="0" borderId="29" applyFont="1" fontId="547" applyFill="1"/>
    <xf applyBorder="1" fillId="6" xfId="0" numFmtId="164" borderId="9" applyFont="1" fontId="548" applyNumberFormat="1" applyFill="1"/>
    <xf applyBorder="1" applyAlignment="1" fillId="3" xfId="0" numFmtId="0" borderId="2" applyFont="1" fontId="549" applyFill="1">
      <alignment vertical="bottom" horizontal="left"/>
    </xf>
    <xf applyBorder="1" applyAlignment="1" fillId="8" xfId="0" numFmtId="0" borderId="29" applyFont="1" fontId="550" applyFill="1">
      <alignment vertical="bottom" horizontal="center"/>
    </xf>
    <xf fillId="3" xfId="0" numFmtId="0" borderId="0" applyFont="1" fontId="551" applyFill="1"/>
    <xf applyBorder="1" applyAlignment="1" fillId="5" xfId="0" numFmtId="0" borderId="21" applyFont="1" fontId="552" applyFill="1">
      <alignment vertical="bottom" horizontal="center"/>
    </xf>
    <xf fillId="2" xfId="0" numFmtId="0" borderId="0" applyFont="1" fontId="553" applyFill="1"/>
    <xf applyBorder="1" applyAlignment="1" fillId="3" xfId="0" numFmtId="0" borderId="9" applyFont="1" fontId="554" applyFill="1">
      <alignment vertical="bottom" horizontal="right"/>
    </xf>
    <xf applyBorder="1" fillId="3" xfId="0" numFmtId="0" borderId="91" applyFont="1" fontId="555" applyFill="1"/>
    <xf applyBorder="1" applyAlignment="1" fillId="4" xfId="0" numFmtId="0" borderId="27" applyFont="1" fontId="556" applyFill="1">
      <alignment vertical="bottom" horizontal="center"/>
    </xf>
    <xf applyBorder="1" fillId="3" xfId="0" numFmtId="0" borderId="11" applyFont="1" fontId="557" applyFill="1"/>
    <xf applyBorder="1" applyAlignment="1" fillId="4" xfId="0" numFmtId="0" borderId="3" applyFont="1" fontId="558" applyFill="1">
      <alignment vertical="bottom" horizontal="right"/>
    </xf>
    <xf applyBorder="1" applyAlignment="1" fillId="4" xfId="0" numFmtId="0" borderId="3" applyFont="1" fontId="559" applyFill="1">
      <alignment vertical="bottom" horizontal="center"/>
    </xf>
    <xf applyBorder="1" fillId="3" xfId="0" numFmtId="0" borderId="47" applyFont="1" fontId="560" applyFill="1"/>
    <xf applyBorder="1" fillId="5" xfId="0" numFmtId="0" borderId="45" applyFont="1" fontId="561" applyFill="1"/>
    <xf applyBorder="1" applyAlignment="1" fillId="3" xfId="0" numFmtId="164" borderId="41" applyFont="1" fontId="562" applyNumberFormat="1" applyFill="1">
      <alignment vertical="bottom" horizontal="center"/>
    </xf>
    <xf applyBorder="1" applyAlignment="1" fillId="2" xfId="0" numFmtId="0" borderId="72" applyFont="1" fontId="563" applyFill="1">
      <alignment vertical="bottom" horizontal="center"/>
    </xf>
    <xf applyBorder="1" applyAlignment="1" fillId="3" xfId="0" numFmtId="164" borderId="6" applyFont="1" fontId="564" applyNumberFormat="1" applyFill="1">
      <alignment vertical="bottom" horizontal="center"/>
    </xf>
    <xf applyBorder="1" applyAlignment="1" fillId="3" xfId="0" numFmtId="1" borderId="33" applyFont="1" fontId="565" applyNumberFormat="1" applyFill="1">
      <alignment vertical="bottom" horizontal="left"/>
    </xf>
    <xf applyBorder="1" fillId="2" xfId="0" numFmtId="0" borderId="3" applyFont="1" fontId="566" applyFill="1"/>
    <xf applyBorder="1" applyAlignment="1" fillId="5" xfId="0" numFmtId="0" borderId="10" applyFont="1" fontId="567" applyFill="1">
      <alignment vertical="bottom" horizontal="center"/>
    </xf>
    <xf applyBorder="1" applyAlignment="1" fillId="9" xfId="0" numFmtId="0" borderId="92" applyFont="1" fontId="568" applyFill="1">
      <alignment vertical="bottom" horizontal="center"/>
    </xf>
    <xf applyAlignment="1" fillId="3" xfId="0" numFmtId="1" borderId="0" applyFont="1" fontId="569" applyNumberFormat="1" applyFill="1">
      <alignment vertical="center" horizontal="center"/>
    </xf>
    <xf applyBorder="1" applyAlignment="1" fillId="3" xfId="0" numFmtId="164" borderId="93" applyFont="1" fontId="570" applyNumberFormat="1" applyFill="1">
      <alignment vertical="bottom" horizontal="center"/>
    </xf>
    <xf fillId="3" xfId="0" numFmtId="0" borderId="0" applyFont="1" fontId="571" applyFill="1"/>
    <xf applyBorder="1" applyAlignment="1" fillId="4" xfId="0" numFmtId="0" borderId="10" applyFont="1" fontId="572" applyFill="1">
      <alignment vertical="bottom" horizontal="center"/>
    </xf>
    <xf applyBorder="1" applyAlignment="1" fillId="3" xfId="0" numFmtId="1" borderId="8" applyFont="1" fontId="573" applyNumberFormat="1" applyFill="1">
      <alignment vertical="bottom" horizontal="center"/>
    </xf>
    <xf applyBorder="1" applyAlignment="1" fillId="3" xfId="0" numFmtId="167" borderId="3" applyFont="1" fontId="574" applyNumberFormat="1" applyFill="1">
      <alignment vertical="bottom" horizontal="center"/>
    </xf>
    <xf applyBorder="1" applyAlignment="1" fillId="4" xfId="0" numFmtId="0" borderId="94" applyFont="1" fontId="575" applyFill="1">
      <alignment vertical="bottom" horizontal="center"/>
    </xf>
    <xf applyBorder="1" applyAlignment="1" fillId="2" xfId="0" numFmtId="0" borderId="31" applyFont="1" fontId="576" applyFill="1">
      <alignment vertical="bottom" horizontal="right"/>
    </xf>
    <xf applyBorder="1" fillId="4" xfId="0" numFmtId="0" borderId="57" applyFont="1" fontId="577" applyFill="1"/>
    <xf applyAlignment="1" fillId="2" xfId="0" numFmtId="0" borderId="0" applyFont="1" fontId="578" applyFill="1">
      <alignment vertical="top" horizontal="right"/>
    </xf>
    <xf applyBorder="1" applyAlignment="1" fillId="3" xfId="0" numFmtId="0" borderId="57" applyFont="1" fontId="579" applyFill="1">
      <alignment vertical="bottom" horizontal="right"/>
    </xf>
    <xf applyBorder="1" applyAlignment="1" fillId="3" xfId="0" numFmtId="164" borderId="1" applyFont="1" fontId="580" applyNumberFormat="1" applyFill="1">
      <alignment vertical="bottom" horizontal="center"/>
    </xf>
    <xf applyBorder="1" applyAlignment="1" fillId="4" xfId="0" numFmtId="0" borderId="9" applyFont="1" fontId="581" applyFill="1">
      <alignment vertical="bottom" horizontal="right"/>
    </xf>
    <xf applyBorder="1" applyAlignment="1" fillId="3" xfId="0" numFmtId="0" borderId="21" applyFont="1" fontId="582" applyFill="1">
      <alignment vertical="bottom" horizontal="left"/>
    </xf>
    <xf applyBorder="1" applyAlignment="1" fillId="3" xfId="0" numFmtId="0" borderId="40" applyFont="1" fontId="583" applyFill="1">
      <alignment vertical="bottom" horizontal="right"/>
    </xf>
    <xf applyBorder="1" applyAlignment="1" fillId="4" xfId="0" numFmtId="0" borderId="14" applyFont="1" fontId="584" applyFill="1">
      <alignment vertical="bottom" horizontal="center"/>
    </xf>
    <xf applyBorder="1" applyAlignment="1" fillId="3" xfId="0" numFmtId="0" borderId="21" applyFont="1" fontId="585" applyFill="1">
      <alignment vertical="top" horizontal="general"/>
    </xf>
    <xf applyBorder="1" applyAlignment="1" fillId="3" xfId="0" numFmtId="164" borderId="24" applyFont="1" fontId="586" applyNumberFormat="1" applyFill="1">
      <alignment vertical="bottom" horizontal="center"/>
    </xf>
    <xf applyAlignment="1" fillId="3" xfId="0" numFmtId="0" borderId="0" applyFont="1" fontId="587" applyFill="1">
      <alignment vertical="bottom" horizontal="right"/>
    </xf>
    <xf applyAlignment="1" fillId="2" xfId="0" numFmtId="164" borderId="0" applyFont="1" fontId="588" applyNumberFormat="1" applyFill="1">
      <alignment vertical="bottom" horizontal="center"/>
    </xf>
    <xf applyBorder="1" applyAlignment="1" fillId="3" xfId="0" numFmtId="0" borderId="95" applyFont="1" fontId="589" applyFill="1">
      <alignment vertical="bottom" horizontal="center"/>
    </xf>
    <xf applyBorder="1" applyAlignment="1" fillId="4" xfId="0" numFmtId="0" borderId="26" applyFont="1" fontId="590" applyFill="1">
      <alignment vertical="bottom" horizontal="right"/>
    </xf>
    <xf applyBorder="1" applyAlignment="1" fillId="6" xfId="0" numFmtId="0" borderId="9" applyFont="1" fontId="591" applyFill="1">
      <alignment vertical="bottom" horizontal="right"/>
    </xf>
    <xf applyAlignment="1" fillId="6" xfId="0" numFmtId="165" borderId="0" applyFont="1" fontId="592" applyNumberFormat="1" applyFill="1">
      <alignment vertical="bottom" horizontal="right"/>
    </xf>
    <xf applyBorder="1" applyAlignment="1" fillId="2" xfId="0" numFmtId="0" borderId="10" applyFont="1" fontId="593" applyFill="1">
      <alignment vertical="bottom" horizontal="left"/>
    </xf>
    <xf applyBorder="1" fillId="3" xfId="0" numFmtId="0" borderId="96" applyFont="1" fontId="594" applyFill="1"/>
    <xf applyBorder="1" applyAlignment="1" fillId="3" xfId="0" numFmtId="1" borderId="74" applyFont="1" fontId="595" applyNumberFormat="1" applyFill="1">
      <alignment vertical="bottom" horizontal="right"/>
    </xf>
    <xf applyBorder="1" applyAlignment="1" fillId="2" xfId="0" numFmtId="166" borderId="21" applyFont="1" fontId="596" applyNumberFormat="1" applyFill="1">
      <alignment vertical="bottom" horizontal="left"/>
    </xf>
    <xf applyBorder="1" applyAlignment="1" fillId="3" xfId="0" numFmtId="2" borderId="8" applyFont="1" fontId="597" applyNumberFormat="1" applyFill="1">
      <alignment vertical="bottom" horizontal="center"/>
    </xf>
    <xf applyBorder="1" applyAlignment="1" fillId="8" xfId="0" numFmtId="0" borderId="29" applyFont="1" fontId="598" applyFill="1">
      <alignment vertical="top" horizontal="center"/>
    </xf>
    <xf applyBorder="1" applyAlignment="1" fillId="2" xfId="0" numFmtId="167" borderId="9" applyFont="1" fontId="599" applyNumberFormat="1" applyFill="1">
      <alignment vertical="bottom" horizontal="right"/>
    </xf>
    <xf applyBorder="1" applyAlignment="1" fillId="3" xfId="0" numFmtId="165" borderId="93" applyFont="1" fontId="600" applyNumberFormat="1" applyFill="1">
      <alignment vertical="bottom" horizontal="left"/>
    </xf>
    <xf applyBorder="1" applyAlignment="1" fillId="3" xfId="0" numFmtId="164" borderId="63" applyFont="1" fontId="601" applyNumberFormat="1" applyFill="1">
      <alignment vertical="bottom" horizontal="center"/>
    </xf>
    <xf applyBorder="1" fillId="2" xfId="0" numFmtId="0" borderId="25" applyFont="1" fontId="602" applyFill="1"/>
    <xf applyBorder="1" applyAlignment="1" fillId="4" xfId="0" numFmtId="0" borderId="6" applyFont="1" fontId="603" applyFill="1">
      <alignment vertical="bottom" horizontal="right"/>
    </xf>
    <xf applyBorder="1" applyAlignment="1" fillId="2" xfId="0" numFmtId="2" borderId="21" applyFont="1" fontId="604" applyNumberFormat="1" applyFill="1">
      <alignment vertical="bottom" horizontal="center"/>
    </xf>
    <xf applyAlignment="1" fillId="3" xfId="0" numFmtId="2" borderId="0" applyFont="1" fontId="605" applyNumberFormat="1" applyFill="1">
      <alignment vertical="bottom" horizontal="center"/>
    </xf>
    <xf applyBorder="1" applyAlignment="1" fillId="3" xfId="0" numFmtId="164" borderId="13" applyFont="1" fontId="606" applyNumberFormat="1" applyFill="1">
      <alignment vertical="bottom" horizontal="right"/>
    </xf>
    <xf applyBorder="1" fillId="6" xfId="0" numFmtId="0" borderId="3" applyFont="1" fontId="607" applyFill="1"/>
    <xf applyBorder="1" applyAlignment="1" fillId="3" xfId="0" numFmtId="0" borderId="47" applyFont="1" fontId="608" applyFill="1">
      <alignment vertical="bottom" horizontal="center"/>
    </xf>
    <xf applyAlignment="1" fillId="3" xfId="0" numFmtId="0" borderId="0" applyFont="1" fontId="609" applyFill="1">
      <alignment vertical="bottom" horizontal="center"/>
    </xf>
    <xf applyBorder="1" applyAlignment="1" fillId="9" xfId="0" numFmtId="0" borderId="97" applyFont="1" fontId="610" applyFill="1">
      <alignment vertical="bottom" horizontal="center"/>
    </xf>
    <xf applyBorder="1" fillId="4" xfId="0" numFmtId="0" borderId="21" applyFont="1" fontId="611" applyFill="1"/>
    <xf applyBorder="1" fillId="3" xfId="0" numFmtId="0" borderId="66" applyFont="1" fontId="612" applyFill="1"/>
    <xf applyBorder="1" applyAlignment="1" fillId="2" xfId="0" numFmtId="0" borderId="34" applyFont="1" fontId="613" applyFill="1">
      <alignment vertical="bottom" horizontal="right"/>
    </xf>
    <xf applyBorder="1" fillId="6" xfId="0" numFmtId="0" borderId="2" applyFont="1" fontId="614" applyFill="1"/>
    <xf applyBorder="1" applyAlignment="1" fillId="3" xfId="0" numFmtId="164" borderId="15" applyFont="1" fontId="615" applyNumberFormat="1" applyFill="1">
      <alignment vertical="bottom" horizontal="center"/>
    </xf>
    <xf applyBorder="1" applyAlignment="1" fillId="2" xfId="0" numFmtId="164" borderId="40" applyFont="1" fontId="616" applyNumberFormat="1" applyFill="1">
      <alignment vertical="bottom" horizontal="left"/>
    </xf>
    <xf applyAlignment="1" fillId="6" xfId="0" numFmtId="164" borderId="0" applyFont="1" fontId="617" applyNumberFormat="1" applyFill="1">
      <alignment vertical="bottom" horizontal="right"/>
    </xf>
    <xf applyBorder="1" applyAlignment="1" fillId="3" xfId="0" numFmtId="1" borderId="16" applyFont="1" fontId="618" applyNumberFormat="1" applyFill="1">
      <alignment vertical="bottom" horizontal="center"/>
    </xf>
    <xf applyAlignment="1" fillId="6" xfId="0" numFmtId="9" borderId="0" applyFont="1" fontId="619" applyNumberFormat="1" applyFill="1">
      <alignment vertical="bottom" horizontal="center"/>
    </xf>
    <xf applyBorder="1" applyAlignment="1" fillId="3" xfId="0" numFmtId="0" borderId="29" applyFont="1" fontId="620" applyFill="1">
      <alignment vertical="bottom" horizontal="center"/>
    </xf>
    <xf applyAlignment="1" fillId="3" xfId="0" numFmtId="0" borderId="0" applyFont="1" fontId="621" applyFill="1">
      <alignment vertical="bottom" horizontal="right"/>
    </xf>
    <xf applyAlignment="1" fillId="6" xfId="0" numFmtId="0" borderId="0" applyFont="1" fontId="622" applyFill="1">
      <alignment vertical="bottom" horizontal="center"/>
    </xf>
    <xf applyBorder="1" fillId="3" xfId="0" numFmtId="0" borderId="45" applyFont="1" fontId="623" applyFill="1"/>
    <xf applyBorder="1" applyAlignment="1" fillId="3" xfId="0" numFmtId="167" borderId="21" applyFont="1" fontId="624" applyNumberFormat="1" applyFill="1">
      <alignment vertical="bottom" horizontal="left"/>
    </xf>
    <xf applyBorder="1" applyAlignment="1" fillId="5" xfId="0" numFmtId="0" borderId="21" applyFont="1" fontId="625" applyFill="1">
      <alignment vertical="bottom" horizontal="left"/>
    </xf>
    <xf applyBorder="1" fillId="2" xfId="0" numFmtId="0" borderId="2" applyFont="1" fontId="626" applyFill="1"/>
    <xf applyBorder="1" fillId="3" xfId="0" numFmtId="0" borderId="16" applyFont="1" fontId="627" applyFill="1"/>
    <xf applyBorder="1" fillId="2" xfId="0" numFmtId="0" borderId="27" applyFont="1" fontId="628" applyFill="1"/>
    <xf applyBorder="1" applyAlignment="1" fillId="3" xfId="0" numFmtId="164" borderId="1" applyFont="1" fontId="629" applyNumberFormat="1" applyFill="1">
      <alignment vertical="bottom" horizontal="center"/>
    </xf>
    <xf applyBorder="1" applyAlignment="1" fillId="2" xfId="0" numFmtId="1" borderId="98" applyFont="1" fontId="630" applyNumberFormat="1" applyFill="1">
      <alignment vertical="bottom" horizontal="right"/>
    </xf>
    <xf applyBorder="1" fillId="8" xfId="0" numFmtId="0" borderId="29" applyFont="1" fontId="631" applyFill="1"/>
    <xf applyBorder="1" fillId="3" xfId="0" numFmtId="0" borderId="12" applyFont="1" fontId="632" applyFill="1"/>
    <xf applyAlignment="1" fillId="3" xfId="0" numFmtId="2" borderId="0" applyFont="1" fontId="633" applyNumberFormat="1" applyFill="1">
      <alignment vertical="bottom" horizontal="center"/>
    </xf>
    <xf applyAlignment="1" fillId="4" xfId="0" numFmtId="0" borderId="0" applyFont="1" fontId="634" applyFill="1">
      <alignment vertical="bottom" horizontal="left"/>
    </xf>
    <xf applyBorder="1" applyAlignment="1" fillId="3" xfId="0" numFmtId="164" borderId="99" applyFont="1" fontId="635" applyNumberFormat="1" applyFill="1">
      <alignment vertical="center" horizontal="center"/>
    </xf>
    <xf applyAlignment="1" fillId="5" xfId="0" numFmtId="0" borderId="0" applyFont="1" fontId="636" applyFill="1">
      <alignment vertical="bottom" horizontal="center"/>
    </xf>
    <xf applyAlignment="1" fillId="6" xfId="0" numFmtId="1" borderId="0" applyFont="1" fontId="637" applyNumberFormat="1" applyFill="1">
      <alignment vertical="bottom" horizontal="right"/>
    </xf>
    <xf applyBorder="1" applyAlignment="1" fillId="3" xfId="0" numFmtId="0" borderId="45" applyFont="1" fontId="638" applyFill="1">
      <alignment vertical="bottom" horizontal="left"/>
    </xf>
    <xf applyAlignment="1" fillId="2" xfId="0" numFmtId="0" borderId="0" applyFont="1" fontId="639" applyFill="1">
      <alignment vertical="center" horizontal="right"/>
    </xf>
    <xf applyBorder="1" fillId="3" xfId="0" numFmtId="0" borderId="10" applyFont="1" fontId="640" applyFill="1"/>
    <xf applyBorder="1" applyAlignment="1" fillId="2" xfId="0" numFmtId="0" borderId="41" applyFont="1" fontId="641" applyFill="1">
      <alignment vertical="bottom" horizontal="center"/>
    </xf>
    <xf applyAlignment="1" fillId="6" xfId="0" numFmtId="0" borderId="0" applyFont="1" fontId="642" applyFill="1">
      <alignment vertical="bottom" horizontal="center"/>
    </xf>
    <xf applyBorder="1" applyAlignment="1" fillId="6" xfId="0" numFmtId="0" borderId="3" applyFont="1" fontId="643" applyFill="1">
      <alignment vertical="center" horizontal="right"/>
    </xf>
    <xf applyAlignment="1" fillId="3" xfId="0" numFmtId="0" borderId="0" applyFont="1" fontId="644" applyFill="1">
      <alignment vertical="bottom" horizontal="center"/>
    </xf>
    <xf applyBorder="1" applyAlignment="1" fillId="3" xfId="0" numFmtId="49" borderId="27" applyFont="1" fontId="645" applyNumberFormat="1" applyFill="1">
      <alignment vertical="bottom" horizontal="center"/>
    </xf>
    <xf applyBorder="1" applyAlignment="1" fillId="3" xfId="0" numFmtId="0" borderId="12" applyFont="1" fontId="646" applyFill="1">
      <alignment vertical="bottom" horizontal="left"/>
    </xf>
    <xf applyBorder="1" fillId="8" xfId="0" numFmtId="0" borderId="34" applyFont="1" fontId="647" applyFill="1"/>
    <xf applyBorder="1" applyAlignment="1" fillId="3" xfId="0" numFmtId="0" borderId="9" applyFont="1" fontId="648" applyFill="1">
      <alignment vertical="bottom" horizontal="right"/>
    </xf>
    <xf applyAlignment="1" fillId="4" xfId="0" numFmtId="0" borderId="0" applyFont="1" fontId="649" applyFill="1">
      <alignment vertical="bottom" horizontal="center"/>
    </xf>
    <xf applyBorder="1" applyAlignment="1" fillId="8" xfId="0" numFmtId="0" borderId="34" applyFont="1" fontId="650" applyFill="1">
      <alignment vertical="bottom" horizontal="left"/>
    </xf>
    <xf applyBorder="1" applyAlignment="1" fillId="2" xfId="0" numFmtId="9" borderId="9" applyFont="1" fontId="651" applyNumberFormat="1" applyFill="1">
      <alignment vertical="bottom" horizontal="center"/>
    </xf>
    <xf applyBorder="1" applyAlignment="1" fillId="2" xfId="0" numFmtId="164" borderId="6" applyFont="1" fontId="652" applyNumberFormat="1" applyFill="1">
      <alignment vertical="bottom" horizontal="right"/>
    </xf>
    <xf applyBorder="1" applyAlignment="1" fillId="9" xfId="0" numFmtId="170" borderId="57" applyFont="1" fontId="653" applyNumberFormat="1" applyFill="1">
      <alignment vertical="bottom" horizontal="left"/>
    </xf>
    <xf applyBorder="1" applyAlignment="1" fillId="2" xfId="0" numFmtId="164" borderId="10" applyFont="1" fontId="654" applyNumberFormat="1" applyFill="1">
      <alignment vertical="top" horizontal="general"/>
    </xf>
    <xf applyBorder="1" fillId="4" xfId="0" numFmtId="0" borderId="3" applyFont="1" fontId="655" applyFill="1"/>
    <xf fillId="3" xfId="0" numFmtId="0" borderId="0" applyFont="1" fontId="656" applyFill="1"/>
    <xf applyBorder="1" applyAlignment="1" fillId="5" xfId="0" numFmtId="0" borderId="45" applyFont="1" fontId="657" applyFill="1">
      <alignment vertical="bottom" horizontal="center"/>
    </xf>
    <xf applyBorder="1" applyAlignment="1" fillId="3" xfId="0" numFmtId="1" borderId="50" applyFont="1" fontId="658" applyNumberFormat="1" applyFill="1">
      <alignment vertical="bottom" horizontal="right"/>
    </xf>
    <xf applyBorder="1" fillId="5" xfId="0" numFmtId="0" borderId="12" applyFont="1" fontId="659" applyFill="1"/>
    <xf applyBorder="1" applyAlignment="1" fillId="2" xfId="0" numFmtId="0" borderId="47" applyFont="1" fontId="660" applyFill="1">
      <alignment vertical="bottom" horizontal="right"/>
    </xf>
    <xf fillId="4" xfId="0" numFmtId="0" borderId="0" applyFont="1" fontId="661" applyFill="1"/>
    <xf applyBorder="1" applyAlignment="1" fillId="3" xfId="0" numFmtId="0" borderId="14" applyFont="1" fontId="662" applyFill="1">
      <alignment vertical="bottom" horizontal="left"/>
    </xf>
    <xf applyBorder="1" applyAlignment="1" fillId="2" xfId="0" numFmtId="165" borderId="9" applyFont="1" fontId="663" applyNumberFormat="1" applyFill="1">
      <alignment vertical="bottom" horizontal="center"/>
    </xf>
    <xf applyBorder="1" fillId="3" xfId="0" numFmtId="0" borderId="2" applyFont="1" fontId="664" applyFill="1"/>
    <xf applyBorder="1" applyAlignment="1" fillId="4" xfId="0" numFmtId="1" borderId="34" applyFont="1" fontId="665" applyNumberFormat="1" applyFill="1">
      <alignment vertical="bottom" horizontal="center"/>
    </xf>
    <xf applyBorder="1" applyAlignment="1" fillId="2" xfId="0" numFmtId="164" borderId="21" applyFont="1" fontId="666" applyNumberFormat="1" applyFill="1">
      <alignment vertical="bottom" horizontal="center"/>
    </xf>
    <xf applyBorder="1" applyAlignment="1" fillId="3" xfId="0" numFmtId="0" borderId="3" applyFont="1" fontId="667" applyFill="1">
      <alignment vertical="top" horizontal="center"/>
    </xf>
    <xf applyBorder="1" applyAlignment="1" fillId="3" xfId="0" numFmtId="164" borderId="61" applyFont="1" fontId="668" applyNumberFormat="1" applyFill="1">
      <alignment vertical="bottom" horizontal="right"/>
    </xf>
    <xf applyBorder="1" fillId="8" xfId="0" numFmtId="0" borderId="57" applyFont="1" fontId="669" applyFill="1"/>
    <xf applyBorder="1" applyAlignment="1" fillId="3" xfId="0" numFmtId="165" borderId="22" applyFont="1" fontId="670" applyNumberFormat="1" applyFill="1">
      <alignment vertical="bottom" horizontal="left"/>
    </xf>
    <xf applyBorder="1" fillId="3" xfId="0" numFmtId="0" borderId="9" applyFont="1" fontId="671" applyFill="1"/>
    <xf applyBorder="1" applyAlignment="1" fillId="3" xfId="0" numFmtId="1" borderId="100" applyFont="1" fontId="672" applyNumberFormat="1" applyFill="1">
      <alignment vertical="bottom" horizontal="left"/>
    </xf>
    <xf applyBorder="1" fillId="3" xfId="0" numFmtId="0" borderId="41" applyFont="1" fontId="673" applyFill="1"/>
    <xf applyBorder="1" applyAlignment="1" fillId="3" xfId="0" numFmtId="164" borderId="52" applyFont="1" fontId="674" applyNumberFormat="1" applyFill="1">
      <alignment vertical="bottom" horizontal="left"/>
    </xf>
    <xf applyBorder="1" applyAlignment="1" fillId="9" xfId="0" numFmtId="0" borderId="34" applyFont="1" fontId="675" applyFill="1">
      <alignment vertical="top" horizontal="left" wrapText="1"/>
    </xf>
    <xf applyBorder="1" applyAlignment="1" fillId="5" xfId="0" numFmtId="0" borderId="9" applyFont="1" fontId="676" applyFill="1">
      <alignment vertical="bottom" horizontal="center"/>
    </xf>
    <xf applyAlignment="1" fillId="3" xfId="0" numFmtId="164" borderId="0" applyFont="1" fontId="677" applyNumberFormat="1" applyFill="1">
      <alignment vertical="bottom" horizontal="left"/>
    </xf>
    <xf applyBorder="1" fillId="3" xfId="0" numFmtId="0" borderId="68" applyFont="1" fontId="678" applyFill="1"/>
    <xf applyAlignment="1" fillId="2" xfId="0" numFmtId="164" borderId="0" applyFont="1" fontId="679" applyNumberFormat="1" applyFill="1">
      <alignment vertical="bottom" horizontal="center"/>
    </xf>
    <xf applyBorder="1" applyAlignment="1" fillId="3" xfId="0" numFmtId="0" borderId="3" applyFont="1" fontId="680" applyFill="1">
      <alignment vertical="bottom" horizontal="center"/>
    </xf>
    <xf applyBorder="1" applyAlignment="1" fillId="3" xfId="0" numFmtId="0" borderId="101" applyFont="1" fontId="681" applyFill="1">
      <alignment vertical="bottom" horizontal="center"/>
    </xf>
    <xf fillId="5" xfId="0" numFmtId="0" borderId="0" applyFont="1" fontId="682" applyFill="1"/>
    <xf applyBorder="1" applyAlignment="1" fillId="4" xfId="0" numFmtId="0" borderId="102" applyFont="1" fontId="683" applyFill="1">
      <alignment vertical="bottom" horizontal="center"/>
    </xf>
    <xf applyAlignment="1" fillId="6" xfId="0" numFmtId="0" borderId="0" applyFont="1" fontId="684" applyFill="1">
      <alignment vertical="bottom" horizontal="right"/>
    </xf>
    <xf applyBorder="1" applyAlignment="1" fillId="3" xfId="0" numFmtId="0" borderId="3" applyFont="1" fontId="685" applyFill="1">
      <alignment vertical="center" horizontal="general"/>
    </xf>
    <xf applyBorder="1" applyAlignment="1" fillId="3" xfId="0" numFmtId="0" borderId="103" applyFont="1" fontId="686" applyFill="1">
      <alignment vertical="bottom" horizontal="center"/>
    </xf>
    <xf applyBorder="1" applyAlignment="1" fillId="2" xfId="0" numFmtId="0" borderId="21" applyFont="1" fontId="687" applyFill="1">
      <alignment vertical="bottom" horizontal="right"/>
    </xf>
    <xf applyBorder="1" fillId="3" xfId="0" numFmtId="0" borderId="6" applyFont="1" fontId="688" applyFill="1"/>
    <xf applyBorder="1" applyAlignment="1" fillId="3" xfId="0" numFmtId="0" borderId="6" applyFont="1" fontId="689" applyFill="1">
      <alignment vertical="bottom" horizontal="center"/>
    </xf>
    <xf applyBorder="1" applyAlignment="1" fillId="3" xfId="0" numFmtId="0" borderId="24" applyFont="1" fontId="690" applyFill="1">
      <alignment vertical="bottom" horizontal="center"/>
    </xf>
    <xf applyBorder="1" applyAlignment="1" fillId="6" xfId="0" numFmtId="0" borderId="9" applyFont="1" fontId="691" applyFill="1">
      <alignment vertical="bottom" horizontal="right"/>
    </xf>
    <xf applyAlignment="1" fillId="3" xfId="0" numFmtId="164" borderId="0" applyFont="1" fontId="692" applyNumberFormat="1" applyFill="1">
      <alignment vertical="bottom" horizontal="right"/>
    </xf>
    <xf applyBorder="1" applyAlignment="1" fillId="3" xfId="0" numFmtId="0" borderId="10" applyFont="1" fontId="693" applyFill="1">
      <alignment vertical="bottom" horizontal="left"/>
    </xf>
    <xf applyBorder="1" applyAlignment="1" fillId="8" xfId="0" numFmtId="0" borderId="65" applyFont="1" fontId="694" applyFill="1">
      <alignment vertical="bottom" horizontal="center"/>
    </xf>
    <xf applyBorder="1" fillId="2" xfId="0" numFmtId="0" borderId="14" applyFont="1" fontId="695" applyFill="1"/>
    <xf applyBorder="1" applyAlignment="1" fillId="3" xfId="0" numFmtId="164" borderId="104" applyFont="1" fontId="696" applyNumberFormat="1" applyFill="1">
      <alignment vertical="bottom" horizontal="center"/>
    </xf>
    <xf applyBorder="1" fillId="4" xfId="0" numFmtId="0" borderId="34" applyFont="1" fontId="697" applyFill="1"/>
    <xf applyBorder="1" applyAlignment="1" fillId="4" xfId="0" numFmtId="0" borderId="24" applyFont="1" fontId="698" applyFill="1">
      <alignment vertical="bottom" horizontal="right"/>
    </xf>
    <xf applyBorder="1" applyAlignment="1" fillId="2" xfId="0" numFmtId="0" borderId="3" applyFont="1" fontId="699" applyFill="1">
      <alignment vertical="bottom" horizontal="left"/>
    </xf>
    <xf applyBorder="1" applyAlignment="1" fillId="3" xfId="0" numFmtId="0" borderId="40" applyFont="1" fontId="700" applyFill="1">
      <alignment vertical="bottom" horizontal="center"/>
    </xf>
    <xf applyBorder="1" fillId="3" xfId="0" numFmtId="0" borderId="18" applyFont="1" fontId="701" applyFill="1"/>
    <xf applyBorder="1" fillId="6" xfId="0" numFmtId="0" borderId="40" applyFont="1" fontId="702" applyFill="1"/>
    <xf applyBorder="1" fillId="5" xfId="0" numFmtId="0" borderId="9" applyFont="1" fontId="703" applyFill="1"/>
    <xf applyBorder="1" fillId="2" xfId="0" numFmtId="0" borderId="24" applyFont="1" fontId="704" applyFill="1"/>
    <xf applyBorder="1" applyAlignment="1" fillId="9" xfId="0" numFmtId="0" borderId="57" applyFont="1" fontId="705" applyFill="1">
      <alignment vertical="top" horizontal="left" wrapText="1"/>
    </xf>
    <xf applyAlignment="1" fillId="3" xfId="0" numFmtId="165" borderId="0" applyFont="1" fontId="706" applyNumberFormat="1" applyFill="1">
      <alignment vertical="bottom" horizontal="center"/>
    </xf>
    <xf applyAlignment="1" fillId="6" xfId="0" numFmtId="0" borderId="0" applyFont="1" fontId="707" applyFill="1">
      <alignment vertical="bottom" horizontal="center"/>
    </xf>
    <xf applyBorder="1" applyAlignment="1" fillId="3" xfId="0" numFmtId="2" borderId="29" applyFont="1" fontId="708" applyNumberFormat="1" applyFill="1">
      <alignment vertical="bottom" horizontal="center"/>
    </xf>
    <xf applyBorder="1" applyAlignment="1" fillId="3" xfId="0" numFmtId="0" borderId="24" applyFont="1" fontId="709" applyFill="1">
      <alignment vertical="bottom" horizontal="center"/>
    </xf>
    <xf fillId="3" xfId="0" numFmtId="0" borderId="0" applyFont="1" fontId="710" applyFill="1"/>
    <xf applyBorder="1" fillId="4" xfId="0" numFmtId="0" borderId="84" applyFont="1" fontId="711" applyFill="1"/>
    <xf applyBorder="1" applyAlignment="1" fillId="3" xfId="0" numFmtId="1" borderId="3" applyFont="1" fontId="712" applyNumberFormat="1" applyFill="1">
      <alignment vertical="bottom" horizontal="right"/>
    </xf>
    <xf applyBorder="1" applyAlignment="1" fillId="5" xfId="0" numFmtId="0" borderId="14" applyFont="1" fontId="713" applyFill="1">
      <alignment vertical="bottom" horizontal="center"/>
    </xf>
    <xf fillId="6" xfId="0" numFmtId="0" borderId="0" applyFont="1" fontId="714" applyFill="1"/>
    <xf applyAlignment="1" fillId="6" xfId="0" numFmtId="165" borderId="0" applyFont="1" fontId="715" applyNumberFormat="1" applyFill="1">
      <alignment vertical="bottom" horizontal="center"/>
    </xf>
    <xf applyBorder="1" applyAlignment="1" fillId="2" xfId="0" numFmtId="0" borderId="40" applyFont="1" fontId="716" applyFill="1">
      <alignment vertical="bottom" horizontal="right"/>
    </xf>
    <xf applyBorder="1" applyAlignment="1" fillId="3" xfId="0" numFmtId="170" borderId="21" applyFont="1" fontId="717" applyNumberFormat="1" applyFill="1">
      <alignment vertical="bottom" horizontal="left"/>
    </xf>
    <xf applyBorder="1" fillId="4" xfId="0" numFmtId="0" borderId="16" applyFont="1" fontId="718" applyFill="1"/>
    <xf applyBorder="1" applyAlignment="1" fillId="3" xfId="0" numFmtId="164" borderId="21" applyFont="1" fontId="719" applyNumberFormat="1" applyFill="1">
      <alignment vertical="bottom" horizontal="center"/>
    </xf>
    <xf applyBorder="1" fillId="4" xfId="0" numFmtId="0" borderId="16" applyFont="1" fontId="720" applyFill="1"/>
    <xf applyAlignment="1" fillId="3" xfId="0" numFmtId="0" borderId="0" applyFont="1" fontId="721" applyFill="1">
      <alignment vertical="bottom" horizontal="center"/>
    </xf>
    <xf applyBorder="1" applyAlignment="1" fillId="3" xfId="0" numFmtId="0" borderId="8" applyFont="1" fontId="722" applyFill="1">
      <alignment vertical="bottom" horizontal="center"/>
    </xf>
    <xf applyBorder="1" fillId="3" xfId="0" numFmtId="0" borderId="21" applyFont="1" fontId="723" applyFill="1"/>
    <xf applyBorder="1" applyAlignment="1" fillId="4" xfId="0" numFmtId="0" borderId="9" applyFont="1" fontId="724" applyFill="1">
      <alignment vertical="bottom" horizontal="right"/>
    </xf>
    <xf applyBorder="1" applyAlignment="1" fillId="2" xfId="0" numFmtId="0" borderId="82" applyFont="1" fontId="725" applyFill="1">
      <alignment vertical="bottom" horizontal="right"/>
    </xf>
    <xf applyBorder="1" fillId="3" xfId="0" numFmtId="0" borderId="25" applyFont="1" fontId="726" applyFill="1"/>
    <xf applyBorder="1" applyAlignment="1" fillId="3" xfId="0" numFmtId="0" borderId="6" applyFont="1" fontId="727" applyFill="1">
      <alignment vertical="bottom" horizontal="right"/>
    </xf>
    <xf fillId="4" xfId="0" numFmtId="0" borderId="0" applyFont="1" fontId="728" applyFill="1"/>
    <xf applyBorder="1" fillId="2" xfId="0" numFmtId="0" borderId="3" applyFont="1" fontId="729" applyFill="1"/>
    <xf applyBorder="1" applyAlignment="1" fillId="3" xfId="0" numFmtId="1" borderId="74" applyFont="1" fontId="730" applyNumberFormat="1" applyFill="1">
      <alignment vertical="bottom" horizontal="left"/>
    </xf>
    <xf applyBorder="1" fillId="2" xfId="0" numFmtId="0" borderId="6" applyFont="1" fontId="731" applyFill="1"/>
    <xf applyAlignment="1" fillId="6" xfId="0" numFmtId="9" borderId="0" applyFont="1" fontId="732" applyNumberFormat="1" applyFill="1">
      <alignment vertical="bottom" horizontal="right"/>
    </xf>
    <xf applyAlignment="1" fillId="3" xfId="0" numFmtId="0" borderId="0" applyFont="1" fontId="733" applyFill="1">
      <alignment vertical="bottom" horizontal="right"/>
    </xf>
    <xf applyBorder="1" fillId="2" xfId="0" numFmtId="0" borderId="40" applyFont="1" fontId="734" applyFill="1"/>
    <xf applyAlignment="1" fillId="6" xfId="0" numFmtId="0" borderId="0" applyFont="1" fontId="735" applyFill="1">
      <alignment vertical="bottom" horizontal="right"/>
    </xf>
    <xf applyBorder="1" applyAlignment="1" fillId="3" xfId="0" numFmtId="0" borderId="10" applyFont="1" fontId="736" applyFill="1">
      <alignment vertical="bottom" horizontal="center"/>
    </xf>
    <xf applyBorder="1" applyAlignment="1" fillId="2" xfId="0" numFmtId="0" borderId="25" applyFont="1" fontId="737" applyFill="1">
      <alignment vertical="bottom" horizontal="right"/>
    </xf>
    <xf applyBorder="1" fillId="3" xfId="0" numFmtId="0" borderId="8" applyFont="1" fontId="738" applyFill="1"/>
    <xf applyBorder="1" applyAlignment="1" fillId="2" xfId="0" numFmtId="0" borderId="16" applyFont="1" fontId="739" applyFill="1">
      <alignment vertical="bottom" horizontal="center"/>
    </xf>
    <xf applyBorder="1" applyAlignment="1" fillId="3" xfId="0" numFmtId="0" borderId="42" applyFont="1" fontId="740" applyFill="1">
      <alignment vertical="bottom" horizontal="center"/>
    </xf>
    <xf applyBorder="1" applyAlignment="1" fillId="2" xfId="0" numFmtId="167" borderId="9" applyFont="1" fontId="741" applyNumberFormat="1" applyFill="1">
      <alignment vertical="bottom" horizontal="center"/>
    </xf>
    <xf applyBorder="1" applyAlignment="1" fillId="3" xfId="0" numFmtId="0" borderId="22" applyFont="1" fontId="742" applyFill="1">
      <alignment vertical="bottom" horizontal="right"/>
    </xf>
    <xf applyBorder="1" fillId="4" xfId="0" numFmtId="0" borderId="6" applyFont="1" fontId="743" applyFill="1"/>
    <xf applyAlignment="1" fillId="3" xfId="0" numFmtId="164" borderId="0" applyFont="1" fontId="744" applyNumberFormat="1" applyFill="1">
      <alignment vertical="bottom" horizontal="center"/>
    </xf>
    <xf applyBorder="1" fillId="5" xfId="0" numFmtId="0" borderId="10" applyFont="1" fontId="745" applyFill="1"/>
    <xf applyBorder="1" fillId="5" xfId="0" numFmtId="0" borderId="27" applyFont="1" fontId="746" applyFill="1"/>
    <xf applyBorder="1" applyAlignment="1" fillId="3" xfId="0" numFmtId="165" borderId="54" applyFont="1" fontId="747" applyNumberFormat="1" applyFill="1">
      <alignment vertical="bottom" horizontal="center"/>
    </xf>
    <xf applyBorder="1" applyAlignment="1" fillId="3" xfId="0" numFmtId="164" borderId="1" applyFont="1" fontId="748" applyNumberFormat="1" applyFill="1">
      <alignment vertical="bottom" horizontal="center"/>
    </xf>
    <xf applyBorder="1" applyAlignment="1" fillId="3" xfId="0" numFmtId="167" borderId="54" applyFont="1" fontId="749" applyNumberFormat="1" applyFill="1">
      <alignment vertical="bottom" horizontal="center"/>
    </xf>
    <xf applyAlignment="1" fillId="3" xfId="0" numFmtId="0" borderId="0" applyFont="1" fontId="750" applyFill="1">
      <alignment vertical="bottom" horizontal="right"/>
    </xf>
    <xf applyBorder="1" applyAlignment="1" fillId="2" xfId="0" numFmtId="164" borderId="24" applyFont="1" fontId="751" applyNumberFormat="1" applyFill="1">
      <alignment vertical="bottom" horizontal="center"/>
    </xf>
    <xf applyBorder="1" applyAlignment="1" fillId="6" xfId="0" numFmtId="2" borderId="40" applyFont="1" fontId="752" applyNumberFormat="1" applyFill="1">
      <alignment vertical="bottom" horizontal="left"/>
    </xf>
    <xf applyBorder="1" fillId="3" xfId="0" numFmtId="0" borderId="13" applyFont="1" fontId="753" applyFill="1"/>
    <xf applyBorder="1" fillId="4" xfId="0" numFmtId="0" borderId="26" applyFont="1" fontId="754" applyFill="1"/>
    <xf applyBorder="1" applyAlignment="1" fillId="3" xfId="0" numFmtId="164" borderId="74" applyFont="1" fontId="755" applyNumberFormat="1" applyFill="1">
      <alignment vertical="bottom" horizontal="left"/>
    </xf>
    <xf applyBorder="1" fillId="2" xfId="0" numFmtId="0" borderId="10" applyFont="1" fontId="756" applyFill="1"/>
    <xf applyAlignment="1" fillId="6" xfId="0" numFmtId="0" borderId="0" applyFont="1" fontId="757" applyFill="1">
      <alignment vertical="top" horizontal="right"/>
    </xf>
    <xf applyAlignment="1" fillId="3" xfId="0" numFmtId="1" borderId="0" applyFont="1" fontId="758" applyNumberFormat="1" applyFill="1">
      <alignment vertical="bottom" horizontal="center"/>
    </xf>
    <xf applyBorder="1" applyAlignment="1" fillId="3" xfId="0" numFmtId="0" borderId="14" applyFont="1" fontId="759" applyFill="1">
      <alignment vertical="bottom" horizontal="right"/>
    </xf>
    <xf applyBorder="1" applyAlignment="1" fillId="2" xfId="0" numFmtId="0" borderId="25" applyFont="1" fontId="760" applyFill="1">
      <alignment vertical="bottom" horizontal="center"/>
    </xf>
    <xf applyAlignment="1" fillId="6" xfId="0" numFmtId="0" borderId="0" applyFont="1" fontId="761" applyFill="1">
      <alignment vertical="bottom" horizontal="right"/>
    </xf>
    <xf applyBorder="1" fillId="3" xfId="0" numFmtId="0" borderId="21" applyFont="1" fontId="762" applyFill="1"/>
    <xf applyBorder="1" applyAlignment="1" fillId="3" xfId="0" numFmtId="0" borderId="21" applyFont="1" fontId="763" applyFill="1">
      <alignment vertical="bottom" horizontal="left"/>
    </xf>
    <xf applyBorder="1" applyAlignment="1" fillId="2" xfId="0" numFmtId="0" borderId="84" applyFont="1" fontId="764" applyFill="1">
      <alignment vertical="bottom" horizontal="center"/>
    </xf>
    <xf applyBorder="1" applyAlignment="1" fillId="6" xfId="0" numFmtId="0" borderId="9" applyFont="1" fontId="765" applyFill="1">
      <alignment vertical="bottom" horizontal="center"/>
    </xf>
    <xf applyAlignment="1" fillId="3" xfId="0" numFmtId="1" borderId="0" applyFont="1" fontId="766" applyNumberFormat="1" applyFill="1">
      <alignment vertical="center" horizontal="right"/>
    </xf>
    <xf applyBorder="1" applyAlignment="1" fillId="6" xfId="0" numFmtId="9" borderId="21" applyFont="1" fontId="767" applyNumberFormat="1" applyFill="1">
      <alignment vertical="bottom" horizontal="right"/>
    </xf>
    <xf applyBorder="1" applyAlignment="1" fillId="4" xfId="0" numFmtId="0" borderId="84" applyFont="1" fontId="768" applyFill="1">
      <alignment vertical="bottom" horizontal="center"/>
    </xf>
    <xf applyBorder="1" applyAlignment="1" fillId="9" xfId="0" numFmtId="0" borderId="57" applyFont="1" fontId="769" applyFill="1">
      <alignment vertical="bottom" horizontal="left"/>
    </xf>
    <xf applyBorder="1" applyAlignment="1" fillId="4" xfId="0" numFmtId="0" borderId="105" applyFont="1" fontId="770" applyFill="1">
      <alignment vertical="bottom" horizontal="center"/>
    </xf>
    <xf applyBorder="1" applyAlignment="1" fillId="2" xfId="0" numFmtId="164" borderId="9" applyFont="1" fontId="771" applyNumberFormat="1" applyFill="1">
      <alignment vertical="bottom" horizontal="right"/>
    </xf>
    <xf applyBorder="1" fillId="5" xfId="0" numFmtId="0" borderId="10" applyFont="1" fontId="772" applyFill="1"/>
    <xf fillId="3" xfId="0" numFmtId="0" borderId="0" applyFont="1" fontId="773" applyFill="1"/>
    <xf applyBorder="1" applyAlignment="1" fillId="5" xfId="0" numFmtId="0" borderId="45" applyFont="1" fontId="774" applyFill="1">
      <alignment vertical="bottom" horizontal="right"/>
    </xf>
    <xf applyBorder="1" applyAlignment="1" fillId="9" xfId="0" numFmtId="0" borderId="34" applyFont="1" fontId="775" applyFill="1">
      <alignment vertical="bottom" horizontal="left"/>
    </xf>
    <xf applyAlignment="1" fillId="3" xfId="0" numFmtId="9" borderId="0" applyFont="1" fontId="776" applyNumberFormat="1" applyFill="1">
      <alignment vertical="bottom" horizontal="center"/>
    </xf>
    <xf applyBorder="1" applyAlignment="1" fillId="5" xfId="0" numFmtId="0" borderId="9" applyFont="1" fontId="777" applyFill="1">
      <alignment vertical="bottom" horizontal="right"/>
    </xf>
    <xf applyBorder="1" applyAlignment="1" fillId="3" xfId="0" numFmtId="0" borderId="82" applyFont="1" fontId="778" applyFill="1">
      <alignment vertical="bottom" horizontal="center"/>
    </xf>
    <xf applyBorder="1" applyAlignment="1" fillId="3" xfId="0" numFmtId="0" borderId="30" applyFont="1" fontId="779" applyFill="1">
      <alignment vertical="center" horizontal="right"/>
    </xf>
    <xf applyAlignment="1" fillId="4" xfId="0" numFmtId="2" borderId="0" applyFont="1" fontId="780" applyNumberFormat="1" applyFill="1">
      <alignment vertical="bottom" horizontal="right"/>
    </xf>
    <xf applyBorder="1" fillId="5" xfId="0" numFmtId="0" borderId="11" applyFont="1" fontId="781" applyFill="1"/>
    <xf fillId="3" xfId="0" numFmtId="0" borderId="0" applyFont="1" fontId="782" applyFill="1"/>
    <xf applyBorder="1" applyAlignment="1" fillId="3" xfId="0" numFmtId="1" borderId="10" applyFont="1" fontId="783" applyNumberFormat="1" applyFill="1">
      <alignment vertical="bottom" horizontal="right"/>
    </xf>
    <xf applyBorder="1" applyAlignment="1" fillId="3" xfId="0" numFmtId="9" borderId="11" applyFont="1" fontId="784" applyNumberFormat="1" applyFill="1">
      <alignment vertical="bottom" horizontal="center"/>
    </xf>
    <xf applyBorder="1" applyAlignment="1" fillId="2" xfId="0" numFmtId="1" borderId="96" applyFont="1" fontId="785" applyNumberFormat="1" applyFill="1">
      <alignment vertical="bottom" horizontal="center"/>
    </xf>
    <xf applyBorder="1" applyAlignment="1" fillId="6" xfId="0" numFmtId="9" borderId="21" applyFont="1" fontId="786" applyNumberFormat="1" applyFill="1">
      <alignment vertical="bottom" horizontal="center"/>
    </xf>
    <xf applyBorder="1" applyAlignment="1" fillId="3" xfId="0" numFmtId="1" borderId="21" applyFont="1" fontId="787" applyNumberFormat="1" applyFill="1">
      <alignment vertical="bottom" horizontal="center"/>
    </xf>
    <xf applyAlignment="1" fillId="2" xfId="0" numFmtId="164" borderId="0" applyFont="1" fontId="788" applyNumberFormat="1" applyFill="1">
      <alignment vertical="bottom" horizontal="right"/>
    </xf>
    <xf fillId="2" xfId="0" numFmtId="0" borderId="0" applyFont="1" fontId="789" applyFill="1"/>
    <xf applyBorder="1" applyAlignment="1" fillId="3" xfId="0" numFmtId="164" borderId="11" applyFont="1" fontId="790" applyNumberFormat="1" applyFill="1">
      <alignment vertical="bottom" horizontal="center"/>
    </xf>
    <xf applyBorder="1" applyAlignment="1" fillId="3" xfId="0" numFmtId="1" borderId="3" applyFont="1" fontId="791" applyNumberFormat="1" applyFill="1">
      <alignment vertical="center" horizontal="center"/>
    </xf>
    <xf applyBorder="1" applyAlignment="1" fillId="4" xfId="0" numFmtId="0" borderId="14" applyFont="1" fontId="792" applyFill="1">
      <alignment vertical="bottom" horizontal="center"/>
    </xf>
    <xf applyBorder="1" fillId="2" xfId="0" numFmtId="0" borderId="8" applyFont="1" fontId="793" applyFill="1"/>
    <xf applyAlignment="1" fillId="5" xfId="0" numFmtId="0" borderId="0" applyFont="1" fontId="794" applyFill="1">
      <alignment vertical="bottom" horizontal="left"/>
    </xf>
    <xf applyBorder="1" applyAlignment="1" fillId="4" xfId="0" numFmtId="0" borderId="106" applyFont="1" fontId="795" applyFill="1">
      <alignment vertical="bottom" horizontal="center"/>
    </xf>
    <xf applyBorder="1" applyAlignment="1" fillId="2" xfId="0" numFmtId="164" borderId="9" applyFont="1" fontId="796" applyNumberFormat="1" applyFill="1">
      <alignment vertical="bottom" horizontal="center"/>
    </xf>
    <xf applyBorder="1" applyAlignment="1" fillId="5" xfId="0" numFmtId="0" borderId="45" applyFont="1" fontId="797" applyFill="1">
      <alignment vertical="bottom" horizontal="left"/>
    </xf>
    <xf applyBorder="1" applyAlignment="1" fillId="2" xfId="0" numFmtId="0" borderId="84" applyFont="1" fontId="798" applyFill="1">
      <alignment vertical="bottom" horizontal="center"/>
    </xf>
    <xf applyBorder="1" applyAlignment="1" fillId="3" xfId="0" numFmtId="164" borderId="9" applyFont="1" fontId="799" applyNumberFormat="1" applyFill="1">
      <alignment vertical="bottom" horizontal="center"/>
    </xf>
    <xf applyBorder="1" applyAlignment="1" fillId="3" xfId="0" numFmtId="2" borderId="3" applyFont="1" fontId="800" applyNumberFormat="1" applyFill="1">
      <alignment vertical="bottom" horizontal="center"/>
    </xf>
    <xf applyBorder="1" fillId="3" xfId="0" numFmtId="0" borderId="6" applyFont="1" fontId="801" applyFill="1"/>
    <xf applyAlignment="1" fillId="5" xfId="0" numFmtId="0" borderId="0" applyFont="1" fontId="802" applyFill="1">
      <alignment vertical="bottom" horizontal="right"/>
    </xf>
    <xf applyBorder="1" fillId="6" xfId="0" numFmtId="0" borderId="34" applyFont="1" fontId="803" applyFill="1"/>
    <xf applyBorder="1" applyAlignment="1" fillId="3" xfId="0" numFmtId="164" borderId="54" applyFont="1" fontId="804" applyNumberFormat="1" applyFill="1">
      <alignment vertical="bottom" horizontal="center"/>
    </xf>
    <xf applyBorder="1" applyAlignment="1" fillId="4" xfId="0" numFmtId="0" borderId="107" applyFont="1" fontId="805" applyFill="1">
      <alignment vertical="bottom" horizontal="center"/>
    </xf>
    <xf applyAlignment="1" fillId="2" xfId="0" numFmtId="0" borderId="0" applyFont="1" fontId="806" applyFill="1">
      <alignment vertical="center" textRotation="90" horizontal="left"/>
    </xf>
    <xf applyBorder="1" applyAlignment="1" fillId="3" xfId="0" numFmtId="1" borderId="3" applyFont="1" fontId="807" applyNumberFormat="1" applyFill="1">
      <alignment vertical="bottom" horizontal="center"/>
    </xf>
    <xf applyBorder="1" applyAlignment="1" fillId="2" xfId="0" numFmtId="0" borderId="40" applyFont="1" fontId="808" applyFill="1">
      <alignment vertical="bottom" horizontal="center"/>
    </xf>
    <xf applyBorder="1" fillId="3" xfId="0" numFmtId="0" borderId="9" applyFont="1" fontId="809" applyFill="1"/>
    <xf applyBorder="1" applyAlignment="1" fillId="5" xfId="0" numFmtId="0" borderId="16" applyFont="1" fontId="810" applyFill="1">
      <alignment vertical="bottom" horizontal="left"/>
    </xf>
    <xf applyBorder="1" fillId="5" xfId="0" numFmtId="0" borderId="21" applyFont="1" fontId="811" applyFill="1"/>
    <xf applyBorder="1" applyAlignment="1" fillId="3" xfId="0" numFmtId="0" borderId="9" applyFont="1" fontId="812" applyFill="1">
      <alignment vertical="bottom" horizontal="right"/>
    </xf>
    <xf applyBorder="1" applyAlignment="1" fillId="3" xfId="0" numFmtId="1" borderId="108" applyFont="1" fontId="813" applyNumberFormat="1" applyFill="1">
      <alignment vertical="bottom" horizontal="right"/>
    </xf>
    <xf applyBorder="1" fillId="3" xfId="0" numFmtId="0" borderId="34" applyFont="1" fontId="814" applyFill="1"/>
    <xf applyBorder="1" applyAlignment="1" fillId="3" xfId="0" numFmtId="0" borderId="21" applyFont="1" fontId="815" applyFill="1">
      <alignment vertical="bottom" horizontal="left"/>
    </xf>
    <xf applyBorder="1" fillId="2" xfId="0" numFmtId="1" borderId="21" applyFont="1" fontId="816" applyNumberFormat="1" applyFill="1"/>
    <xf applyBorder="1" applyAlignment="1" fillId="3" xfId="0" numFmtId="2" borderId="74" applyFont="1" fontId="817" applyNumberFormat="1" applyFill="1">
      <alignment vertical="bottom" horizontal="right"/>
    </xf>
    <xf applyBorder="1" applyAlignment="1" fillId="3" xfId="0" numFmtId="164" borderId="33" applyFont="1" fontId="818" applyNumberFormat="1" applyFill="1">
      <alignment vertical="center" horizontal="center"/>
    </xf>
    <xf applyAlignment="1" fillId="3" xfId="0" numFmtId="0" borderId="0" applyFont="1" fontId="819" applyFill="1">
      <alignment vertical="bottom" horizontal="center"/>
    </xf>
    <xf applyBorder="1" applyAlignment="1" fillId="3" xfId="0" numFmtId="1" borderId="64" applyFont="1" fontId="820" applyNumberFormat="1" applyFill="1">
      <alignment vertical="bottom" horizontal="right"/>
    </xf>
    <xf applyBorder="1" applyAlignment="1" fillId="8" xfId="0" numFmtId="0" borderId="97" applyFont="1" fontId="821" applyFill="1">
      <alignment vertical="bottom" horizontal="center"/>
    </xf>
    <xf applyBorder="1" fillId="6" xfId="0" numFmtId="0" borderId="9" applyFont="1" fontId="822" applyFill="1"/>
    <xf applyBorder="1" applyAlignment="1" fillId="2" xfId="0" numFmtId="0" borderId="9" applyFont="1" fontId="823" applyFill="1">
      <alignment vertical="bottom" horizontal="center"/>
    </xf>
    <xf applyBorder="1" applyAlignment="1" fillId="3" xfId="0" numFmtId="0" borderId="34" applyFont="1" fontId="824" applyFill="1">
      <alignment vertical="bottom" horizontal="left"/>
    </xf>
    <xf applyBorder="1" applyAlignment="1" fillId="5" xfId="0" numFmtId="0" borderId="42" applyFont="1" fontId="825" applyFill="1">
      <alignment vertical="bottom" horizontal="center"/>
    </xf>
    <xf applyBorder="1" applyAlignment="1" fillId="3" xfId="0" numFmtId="9" borderId="21" applyFont="1" fontId="826" applyNumberFormat="1" applyFill="1">
      <alignment vertical="bottom" horizontal="center"/>
    </xf>
    <xf applyBorder="1" applyAlignment="1" fillId="9" xfId="0" numFmtId="0" borderId="57" applyFont="1" fontId="827" applyFill="1">
      <alignment vertical="bottom" horizontal="left"/>
    </xf>
    <xf applyBorder="1" applyAlignment="1" fillId="2" xfId="0" numFmtId="1" borderId="109" applyFont="1" fontId="828" applyNumberFormat="1" applyFill="1">
      <alignment vertical="bottom" horizontal="left"/>
    </xf>
    <xf applyBorder="1" applyAlignment="1" fillId="3" xfId="0" numFmtId="0" borderId="2" applyFont="1" fontId="829" applyFill="1">
      <alignment vertical="bottom" horizontal="right"/>
    </xf>
    <xf applyBorder="1" applyAlignment="1" fillId="3" xfId="0" numFmtId="0" borderId="3" applyFont="1" fontId="830" applyFill="1">
      <alignment vertical="bottom" horizontal="center"/>
    </xf>
    <xf applyBorder="1" applyAlignment="1" fillId="2" xfId="0" numFmtId="0" borderId="34" applyFont="1" fontId="831" applyFill="1">
      <alignment vertical="top" horizontal="general" wrapText="1"/>
    </xf>
    <xf applyAlignment="1" fillId="6" xfId="0" numFmtId="164" borderId="0" applyFont="1" fontId="832" applyNumberFormat="1" applyFill="1">
      <alignment vertical="bottom" horizontal="center"/>
    </xf>
    <xf applyBorder="1" applyAlignment="1" fillId="3" xfId="0" numFmtId="164" borderId="28" applyFont="1" fontId="833" applyNumberFormat="1" applyFill="1">
      <alignment vertical="bottom" horizontal="center"/>
    </xf>
    <xf applyBorder="1" fillId="6" xfId="0" numFmtId="0" borderId="26" applyFont="1" fontId="834" applyFill="1"/>
    <xf applyAlignment="1" fillId="6" xfId="0" numFmtId="1" borderId="0" applyFont="1" fontId="835" applyNumberFormat="1" applyFill="1">
      <alignment vertical="bottom" horizontal="center"/>
    </xf>
    <xf applyBorder="1" applyAlignment="1" fillId="2" xfId="0" numFmtId="0" borderId="9" applyFont="1" fontId="836" applyFill="1">
      <alignment vertical="bottom" horizontal="right"/>
    </xf>
    <xf applyBorder="1" applyAlignment="1" fillId="3" xfId="0" numFmtId="2" borderId="40" applyFont="1" fontId="837" applyNumberFormat="1" applyFill="1">
      <alignment vertical="bottom" horizontal="center"/>
    </xf>
    <xf applyBorder="1" fillId="2" xfId="0" numFmtId="9" borderId="9" applyFont="1" fontId="838" applyNumberFormat="1" applyFill="1"/>
    <xf applyBorder="1" fillId="4" xfId="0" numFmtId="0" borderId="45" applyFont="1" fontId="839" applyFill="1"/>
    <xf applyBorder="1" applyAlignment="1" fillId="6" xfId="0" numFmtId="0" borderId="21" applyFont="1" fontId="840" applyFill="1">
      <alignment vertical="top" horizontal="center"/>
    </xf>
    <xf applyBorder="1" fillId="5" xfId="0" numFmtId="0" borderId="6" applyFont="1" fontId="841" applyFill="1"/>
    <xf applyBorder="1" fillId="8" xfId="0" numFmtId="0" borderId="26" applyFont="1" fontId="842" applyFill="1"/>
    <xf applyBorder="1" fillId="5" xfId="0" numFmtId="0" borderId="6" applyFont="1" fontId="843" applyFill="1"/>
    <xf applyBorder="1" applyAlignment="1" fillId="4" xfId="0" numFmtId="0" borderId="10" applyFont="1" fontId="844" applyFill="1">
      <alignment vertical="bottom" horizontal="right"/>
    </xf>
    <xf fillId="6" xfId="0" numFmtId="0" borderId="0" applyFont="1" fontId="845" applyFill="1"/>
    <xf applyBorder="1" fillId="3" xfId="0" numFmtId="0" borderId="6" applyFont="1" fontId="846" applyFill="1"/>
    <xf applyBorder="1" applyAlignment="1" fillId="3" xfId="0" numFmtId="0" borderId="6" applyFont="1" fontId="847" applyFill="1">
      <alignment vertical="bottom" horizontal="left"/>
    </xf>
    <xf applyBorder="1" applyAlignment="1" fillId="8" xfId="0" numFmtId="0" borderId="29" applyFont="1" fontId="848" applyFill="1">
      <alignment vertical="bottom" horizontal="left"/>
    </xf>
    <xf applyAlignment="1" fillId="2" xfId="0" numFmtId="167" borderId="0" applyFont="1" fontId="849" applyNumberFormat="1" applyFill="1">
      <alignment vertical="bottom" horizontal="right"/>
    </xf>
    <xf applyBorder="1" applyAlignment="1" fillId="3" xfId="0" numFmtId="167" borderId="9" applyFont="1" fontId="850" applyNumberFormat="1" applyFill="1">
      <alignment vertical="bottom" horizontal="right"/>
    </xf>
    <xf applyBorder="1" applyAlignment="1" fillId="2" xfId="0" numFmtId="2" borderId="34" applyFont="1" fontId="851" applyNumberFormat="1" applyFill="1">
      <alignment vertical="bottom" horizontal="center"/>
    </xf>
    <xf applyBorder="1" applyAlignment="1" fillId="2" xfId="0" numFmtId="0" borderId="30" applyFont="1" fontId="852" applyFill="1">
      <alignment vertical="bottom" horizontal="right"/>
    </xf>
    <xf applyBorder="1" applyAlignment="1" fillId="3" xfId="0" numFmtId="0" borderId="83" applyFont="1" fontId="853" applyFill="1">
      <alignment vertical="bottom" horizontal="right"/>
    </xf>
    <xf applyBorder="1" applyAlignment="1" fillId="6" xfId="0" numFmtId="0" borderId="3" applyFont="1" fontId="854" applyFill="1">
      <alignment vertical="bottom" horizontal="center"/>
    </xf>
    <xf fillId="3" xfId="0" numFmtId="0" borderId="0" applyFont="1" fontId="855" applyFill="1"/>
    <xf applyBorder="1" applyAlignment="1" fillId="3" xfId="0" numFmtId="165" borderId="10" applyFont="1" fontId="856" applyNumberFormat="1" applyFill="1">
      <alignment vertical="bottom" horizontal="center"/>
    </xf>
    <xf applyBorder="1" fillId="6" xfId="0" numFmtId="9" borderId="21" applyFont="1" fontId="857" applyNumberFormat="1" applyFill="1"/>
    <xf applyBorder="1" applyAlignment="1" fillId="4" xfId="0" numFmtId="0" borderId="57" applyFont="1" fontId="858" applyFill="1">
      <alignment vertical="bottom" horizontal="left"/>
    </xf>
    <xf applyBorder="1" applyAlignment="1" fillId="2" xfId="0" numFmtId="0" borderId="21" applyFont="1" fontId="859" applyFill="1">
      <alignment vertical="center" horizontal="right"/>
    </xf>
    <xf applyBorder="1" applyAlignment="1" fillId="3" xfId="0" numFmtId="1" borderId="43" applyFont="1" fontId="860" applyNumberFormat="1" applyFill="1">
      <alignment vertical="bottom" horizontal="left"/>
    </xf>
    <xf applyAlignment="1" fillId="2" xfId="0" numFmtId="0" borderId="0" applyFont="1" fontId="861" applyFill="1">
      <alignment vertical="bottom" horizontal="center"/>
    </xf>
    <xf applyBorder="1" applyAlignment="1" fillId="2" xfId="0" numFmtId="164" borderId="31" applyFont="1" fontId="862" applyNumberFormat="1" applyFill="1">
      <alignment vertical="bottom" horizontal="center"/>
    </xf>
    <xf applyBorder="1" applyAlignment="1" fillId="3" xfId="0" numFmtId="0" borderId="10" applyFont="1" fontId="863" applyFill="1">
      <alignment vertical="bottom" horizontal="right"/>
    </xf>
    <xf applyBorder="1" applyAlignment="1" fillId="2" xfId="0" numFmtId="0" borderId="13" applyFont="1" fontId="864" applyFill="1">
      <alignment vertical="bottom" horizontal="right"/>
    </xf>
    <xf applyBorder="1" applyAlignment="1" fillId="3" xfId="0" numFmtId="0" borderId="110" applyFont="1" fontId="865" applyFill="1">
      <alignment vertical="bottom" horizontal="right"/>
    </xf>
    <xf applyBorder="1" applyAlignment="1" fillId="3" xfId="0" numFmtId="164" borderId="9" applyFont="1" fontId="866" applyNumberFormat="1" applyFill="1">
      <alignment vertical="bottom" horizontal="center"/>
    </xf>
    <xf applyBorder="1" applyAlignment="1" fillId="9" xfId="0" numFmtId="0" borderId="111" applyFont="1" fontId="867" applyFill="1">
      <alignment vertical="bottom" horizontal="center"/>
    </xf>
    <xf applyBorder="1" applyAlignment="1" fillId="9" xfId="0" numFmtId="0" borderId="26" applyFont="1" fontId="868" applyFill="1">
      <alignment vertical="bottom" horizontal="left"/>
    </xf>
    <xf applyBorder="1" applyAlignment="1" fillId="3" xfId="0" numFmtId="0" borderId="20" applyFont="1" fontId="869" applyFill="1">
      <alignment vertical="bottom" horizontal="center"/>
    </xf>
    <xf applyBorder="1" fillId="7" xfId="0" numFmtId="0" borderId="75" applyFont="1" fontId="870" applyFill="1"/>
    <xf applyBorder="1" applyAlignment="1" fillId="4" xfId="0" numFmtId="1" borderId="34" applyFont="1" fontId="871" applyNumberFormat="1" applyFill="1">
      <alignment vertical="bottom" horizontal="center"/>
    </xf>
    <xf applyBorder="1" applyAlignment="1" fillId="6" xfId="0" numFmtId="0" borderId="21" applyFont="1" fontId="872" applyFill="1">
      <alignment vertical="bottom" horizontal="center"/>
    </xf>
    <xf applyBorder="1" applyAlignment="1" fillId="9" xfId="0" numFmtId="0" borderId="112" applyFont="1" fontId="873" applyFill="1">
      <alignment vertical="bottom" horizontal="left"/>
    </xf>
    <xf applyBorder="1" fillId="3" xfId="0" numFmtId="0" borderId="82" applyFont="1" fontId="874" applyFill="1"/>
    <xf applyBorder="1" fillId="4" xfId="0" numFmtId="0" borderId="7" applyFont="1" fontId="875" applyFill="1"/>
    <xf applyBorder="1" applyAlignment="1" fillId="5" xfId="0" numFmtId="0" borderId="3" applyFont="1" fontId="876" applyFill="1">
      <alignment vertical="bottom" horizontal="right"/>
    </xf>
    <xf applyBorder="1" applyAlignment="1" fillId="3" xfId="0" numFmtId="0" borderId="24" applyFont="1" fontId="877" applyFill="1">
      <alignment vertical="center" horizontal="general"/>
    </xf>
    <xf applyBorder="1" applyAlignment="1" fillId="4" xfId="0" numFmtId="2" borderId="21" applyFont="1" fontId="878" applyNumberFormat="1" applyFill="1">
      <alignment vertical="bottom" horizontal="center"/>
    </xf>
    <xf fillId="5" xfId="0" numFmtId="0" borderId="0" applyFont="1" fontId="879" applyFill="1"/>
    <xf applyBorder="1" applyAlignment="1" fillId="3" xfId="0" numFmtId="0" borderId="47" applyFont="1" fontId="880" applyFill="1">
      <alignment vertical="center" horizontal="right"/>
    </xf>
    <xf applyAlignment="1" fillId="4" xfId="0" numFmtId="0" borderId="0" applyFont="1" fontId="881" applyFill="1">
      <alignment vertical="bottom" horizontal="center"/>
    </xf>
    <xf applyBorder="1" applyAlignment="1" fillId="9" xfId="0" numFmtId="0" borderId="15" applyFont="1" fontId="882" applyFill="1">
      <alignment vertical="bottom" horizontal="center"/>
    </xf>
    <xf applyBorder="1" applyAlignment="1" fillId="4" xfId="0" numFmtId="0" borderId="113" applyFont="1" fontId="883" applyFill="1">
      <alignment vertical="bottom" horizontal="center"/>
    </xf>
    <xf fillId="6" xfId="0" numFmtId="0" borderId="0" applyFont="1" fontId="884" applyFill="1"/>
    <xf applyBorder="1" applyAlignment="1" fillId="3" xfId="0" numFmtId="164" borderId="3" applyFont="1" fontId="885" applyNumberFormat="1" applyFill="1">
      <alignment vertical="bottom" horizontal="left"/>
    </xf>
    <xf fillId="2" xfId="0" numFmtId="0" borderId="0" applyFont="1" fontId="886" applyFill="1"/>
    <xf applyBorder="1" applyAlignment="1" fillId="4" xfId="0" numFmtId="0" borderId="96" applyFont="1" fontId="887" applyFill="1">
      <alignment vertical="bottom" horizontal="left"/>
    </xf>
    <xf applyBorder="1" applyAlignment="1" fillId="4" xfId="0" numFmtId="0" borderId="6" applyFont="1" fontId="888" applyFill="1">
      <alignment vertical="bottom" horizontal="center"/>
    </xf>
    <xf applyBorder="1" applyAlignment="1" fillId="4" xfId="0" numFmtId="0" borderId="40" applyFont="1" fontId="889" applyFill="1">
      <alignment vertical="bottom" textRotation="90" horizontal="center" wrapText="1"/>
    </xf>
    <xf fillId="5" xfId="0" numFmtId="0" borderId="0" applyFont="1" fontId="890" applyFill="1"/>
    <xf applyBorder="1" fillId="3" xfId="0" numFmtId="0" borderId="21" applyFont="1" fontId="891" applyFill="1"/>
    <xf applyBorder="1" applyAlignment="1" fillId="3" xfId="0" numFmtId="0" borderId="76" applyFont="1" fontId="892" applyFill="1">
      <alignment vertical="bottom" horizontal="right"/>
    </xf>
    <xf applyBorder="1" applyAlignment="1" fillId="3" xfId="0" numFmtId="164" borderId="3" applyFont="1" fontId="893" applyNumberFormat="1" applyFill="1">
      <alignment vertical="bottom" horizontal="center"/>
    </xf>
    <xf applyBorder="1" applyAlignment="1" fillId="6" xfId="0" numFmtId="0" borderId="29" applyFont="1" fontId="894" applyFill="1">
      <alignment vertical="bottom" horizontal="center"/>
    </xf>
    <xf applyBorder="1" fillId="8" xfId="0" numFmtId="0" borderId="29" applyFont="1" fontId="895" applyFill="1"/>
    <xf applyBorder="1" applyAlignment="1" fillId="8" xfId="0" numFmtId="0" borderId="26" applyFont="1" fontId="896" applyFill="1">
      <alignment vertical="top" horizontal="left" wrapText="1"/>
    </xf>
    <xf applyBorder="1" applyAlignment="1" fillId="3" xfId="0" numFmtId="0" borderId="6" applyFont="1" fontId="897" applyFill="1">
      <alignment vertical="bottom" horizontal="center"/>
    </xf>
    <xf applyBorder="1" fillId="5" xfId="0" numFmtId="0" borderId="7" applyFont="1" fontId="898" applyFill="1"/>
    <xf applyBorder="1" applyAlignment="1" fillId="6" xfId="0" numFmtId="0" borderId="21" applyFont="1" fontId="899" applyFill="1">
      <alignment vertical="bottom" horizontal="left"/>
    </xf>
    <xf applyAlignment="1" fillId="6" xfId="0" numFmtId="164" borderId="0" applyFont="1" fontId="900" applyNumberFormat="1" applyFill="1">
      <alignment vertical="bottom" horizontal="left"/>
    </xf>
    <xf applyBorder="1" applyAlignment="1" fillId="6" xfId="0" numFmtId="0" borderId="21" applyFont="1" fontId="901" applyFill="1">
      <alignment vertical="bottom" horizontal="center"/>
    </xf>
    <xf applyBorder="1" fillId="4" xfId="0" numFmtId="0" borderId="45" applyFont="1" fontId="902" applyFill="1"/>
    <xf applyBorder="1" applyAlignment="1" fillId="8" xfId="0" numFmtId="0" borderId="29" applyFont="1" fontId="903" applyFill="1">
      <alignment vertical="bottom" horizontal="center"/>
    </xf>
    <xf applyBorder="1" applyAlignment="1" fillId="3" xfId="0" numFmtId="0" borderId="35" applyFont="1" fontId="904" applyFill="1">
      <alignment vertical="bottom" horizontal="center"/>
    </xf>
    <xf applyBorder="1" applyAlignment="1" fillId="8" xfId="0" numFmtId="0" borderId="57" applyFont="1" fontId="905" applyFill="1">
      <alignment vertical="top" horizontal="left" wrapText="1"/>
    </xf>
    <xf applyAlignment="1" fillId="6" xfId="0" numFmtId="168" borderId="0" applyFont="1" fontId="906" applyNumberFormat="1" applyFill="1">
      <alignment vertical="bottom" horizontal="center"/>
    </xf>
    <xf applyAlignment="1" fillId="5" xfId="0" numFmtId="0" borderId="0" applyFont="1" fontId="907" applyFill="1">
      <alignment vertical="bottom" horizontal="left"/>
    </xf>
    <xf applyBorder="1" fillId="3" xfId="0" numFmtId="0" borderId="21" applyFont="1" fontId="908" applyFill="1"/>
    <xf applyBorder="1" fillId="4" xfId="0" numFmtId="0" borderId="9" applyFont="1" fontId="909" applyFill="1"/>
    <xf applyBorder="1" fillId="4" xfId="0" numFmtId="0" borderId="80" applyFont="1" fontId="910" applyFill="1"/>
    <xf applyBorder="1" applyAlignment="1" fillId="4" xfId="0" numFmtId="0" borderId="114" applyFont="1" fontId="911" applyFill="1">
      <alignment vertical="bottom" horizontal="center"/>
    </xf>
    <xf applyBorder="1" applyAlignment="1" fillId="3" xfId="0" numFmtId="0" borderId="27" applyFont="1" fontId="912" applyFill="1">
      <alignment vertical="bottom" horizontal="center"/>
    </xf>
    <xf applyBorder="1" applyAlignment="1" fillId="4" xfId="0" numFmtId="0" borderId="40" applyFont="1" fontId="913" applyFill="1">
      <alignment vertical="bottom" horizontal="center"/>
    </xf>
    <xf applyAlignment="1" fillId="3" xfId="0" numFmtId="0" borderId="0" applyFont="1" fontId="914" applyFill="1">
      <alignment vertical="top" horizontal="center"/>
    </xf>
  </cellXfs>
  <cellStyles count="1">
    <cellStyle builtinId="0" name="Normal" xfId="0"/>
  </cellStyles>
  <dxfs count="4">
    <dxf>
      <font>
        <color rgb="FF000000"/>
      </font>
    </dxf>
    <dxf>
      <font>
        <color rgb="FFFF0000"/>
      </font>
    </dxf>
    <dxf>
      <font>
        <color rgb="FF000000"/>
      </font>
    </dxf>
    <dxf>
      <font>
        <color rgb="FF000000"/>
      </font>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_rels/sheet1.xml.rels><?xml version="1.0" encoding="UTF-8" standalone="yes"?><Relationships xmlns="http://schemas.openxmlformats.org/package/2006/relationships"><Relationship Target="../drawings/vmlDrawing1.vml" Type="http://schemas.openxmlformats.org/officeDocument/2006/relationships/vmlDrawing" Id="rId2"/><Relationship Target="../comments1.xml" Type="http://schemas.openxmlformats.org/officeDocument/2006/relationships/comments" Id="rId1"/></Relationships>
</file>

<file path=xl/worksheets/_rels/sheet2.xml.rels><?xml version="1.0" encoding="UTF-8" standalone="yes"?><Relationships xmlns="http://schemas.openxmlformats.org/package/2006/relationships"><Relationship Target="../drawings/vmlDrawing2.vml" Type="http://schemas.openxmlformats.org/officeDocument/2006/relationships/vmlDrawing" Id="rId2"/><Relationship Target="../comments2.xml" Type="http://schemas.openxmlformats.org/officeDocument/2006/relationships/comments" Id="rId1"/></Relationships>
</file>

<file path=xl/worksheets/_rels/sheet3.xml.rels><?xml version="1.0" encoding="UTF-8" standalone="yes"?><Relationships xmlns="http://schemas.openxmlformats.org/package/2006/relationships"><Relationship Target="../drawings/vmlDrawing3.vml" Type="http://schemas.openxmlformats.org/officeDocument/2006/relationships/vmlDrawing" Id="rId2"/><Relationship Target="../comments3.xml" Type="http://schemas.openxmlformats.org/officeDocument/2006/relationships/comments" Id="rId1"/></Relationships>
</file>

<file path=xl/worksheets/_rels/sheet4.xml.rels><?xml version="1.0" encoding="UTF-8" standalone="yes"?><Relationships xmlns="http://schemas.openxmlformats.org/package/2006/relationships"><Relationship Target="../drawings/vmlDrawing4.vml" Type="http://schemas.openxmlformats.org/officeDocument/2006/relationships/vmlDrawing" Id="rId2"/><Relationship Target="../comments4.xml" Type="http://schemas.openxmlformats.org/officeDocument/2006/relationships/comments" Id="rId1"/></Relationships>
</file>

<file path=xl/worksheets/_rels/sheet5.xml.rels><?xml version="1.0" encoding="UTF-8" standalone="yes"?><Relationships xmlns="http://schemas.openxmlformats.org/package/2006/relationships"><Relationship Target="../drawings/vmlDrawing5.vml" Type="http://schemas.openxmlformats.org/officeDocument/2006/relationships/vmlDrawing" Id="rId2"/><Relationship Target="../comments5.xml" Type="http://schemas.openxmlformats.org/officeDocument/2006/relationships/comments" Id="rId1"/></Relationships>
</file>

<file path=xl/worksheets/_rels/sheet6.xml.rels><?xml version="1.0" encoding="UTF-8" standalone="yes"?><Relationships xmlns="http://schemas.openxmlformats.org/package/2006/relationships"><Relationship Target="../drawings/vmlDrawing6.vml" Type="http://schemas.openxmlformats.org/officeDocument/2006/relationships/vmlDrawing" Id="rId2"/><Relationship Target="../comments6.xml" Type="http://schemas.openxmlformats.org/officeDocument/2006/relationships/comments" Id="rId1"/></Relationships>
</file>

<file path=xl/worksheets/_rels/sheet7.xml.rels><?xml version="1.0" encoding="UTF-8" standalone="yes"?><Relationships xmlns="http://schemas.openxmlformats.org/package/2006/relationships"><Relationship Target="../drawings/vmlDrawing7.vml" Type="http://schemas.openxmlformats.org/officeDocument/2006/relationships/vmlDrawing" Id="rId2"/><Relationship Target="../comments7.xml" Type="http://schemas.openxmlformats.org/officeDocument/2006/relationships/comments"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11" style="551" width="9.14"/>
  </cols>
  <sheetData>
    <row r="1">
      <c s="551" r="A1"/>
      <c s="551" r="B1"/>
      <c s="551" r="C1"/>
      <c s="551" r="D1"/>
      <c s="551" r="E1"/>
      <c s="551" r="F1"/>
      <c s="551" r="G1"/>
      <c s="551" r="H1"/>
      <c s="551" r="I1"/>
      <c s="551" r="J1"/>
      <c s="551" r="K1"/>
    </row>
    <row r="2">
      <c s="551" r="A2"/>
      <c s="551" r="B2"/>
      <c s="551" r="C2"/>
      <c s="551" r="D2"/>
      <c s="551" r="E2"/>
      <c s="551" r="F2"/>
      <c s="551" r="G2"/>
      <c s="551" r="H2"/>
      <c s="551" r="I2"/>
      <c s="551" r="J2"/>
      <c s="551" r="K2"/>
    </row>
    <row r="3">
      <c s="551" r="A3"/>
      <c s="551" r="B3"/>
      <c s="551" r="C3"/>
      <c s="551" r="D3"/>
      <c s="551" r="E3"/>
      <c s="551" r="F3"/>
      <c s="551" r="G3"/>
      <c s="551" r="H3"/>
      <c s="551" r="I3"/>
      <c s="551" r="J3"/>
      <c s="551" r="K3"/>
    </row>
    <row r="4">
      <c s="551" r="A4"/>
      <c s="551" r="B4"/>
      <c s="551" r="C4"/>
      <c s="551" r="D4"/>
      <c s="551" r="E4"/>
      <c s="551" r="F4"/>
      <c s="551" r="G4"/>
      <c s="551" r="H4"/>
      <c s="551" r="I4"/>
      <c s="551" r="J4"/>
      <c s="551" r="K4"/>
    </row>
    <row customHeight="1" s="551" customFormat="1" r="5" ht="39.0">
      <c s="551" r="A5"/>
      <c s="855" r="B5"/>
      <c s="99" r="C5"/>
      <c s="99" r="D5"/>
      <c s="99" r="E5"/>
      <c s="99" r="F5"/>
      <c s="324" r="G5"/>
      <c s="324" r="H5"/>
      <c s="551" r="I5"/>
      <c s="551" r="J5"/>
      <c s="551" r="K5"/>
    </row>
    <row customHeight="1" s="551" customFormat="1" r="6" ht="18.0">
      <c s="551" r="A6"/>
      <c s="551" r="B6"/>
      <c s="297" r="C6"/>
      <c s="656" r="D6"/>
      <c s="656" r="E6"/>
      <c s="656" r="F6"/>
      <c s="656" r="G6"/>
      <c s="551" r="H6"/>
      <c s="551" r="I6"/>
      <c s="733" r="J6"/>
      <c s="551" r="K6"/>
    </row>
    <row customHeight="1" s="551" customFormat="1" r="7" ht="16.5">
      <c s="551" r="A7"/>
      <c s="551" r="B7"/>
      <c s="468" r="C7"/>
      <c s="551" r="D7"/>
      <c s="551" r="E7"/>
      <c s="551" r="F7"/>
      <c s="523" r="G7"/>
      <c s="551" r="H7"/>
      <c s="551" r="I7"/>
      <c s="551" r="J7"/>
      <c s="551" r="K7"/>
    </row>
    <row customHeight="1" r="8" ht="15.0">
      <c s="782" r="A8"/>
      <c s="551" r="B8"/>
      <c s="551" r="C8"/>
      <c s="551" r="D8"/>
      <c s="551" r="E8"/>
      <c s="551" r="F8"/>
      <c s="523" r="G8"/>
      <c s="551" r="H8"/>
      <c s="551" r="I8"/>
      <c s="551" r="J8"/>
      <c s="551" r="K8"/>
    </row>
    <row customHeight="1" r="9" ht="19.5">
      <c s="782" r="A9"/>
      <c s="551" r="B9"/>
      <c s="551" r="C9"/>
      <c s="551" r="D9"/>
      <c s="551" r="E9"/>
      <c s="551" r="F9"/>
      <c s="551" r="G9"/>
      <c s="551" r="H9"/>
      <c s="551" r="I9"/>
      <c s="587" r="J9"/>
      <c s="551" r="K9"/>
    </row>
    <row customHeight="1" r="10" ht="15.0">
      <c s="782" r="A10"/>
      <c s="551" r="B10"/>
      <c s="551" r="C10"/>
      <c s="551" r="D10"/>
      <c s="551" r="E10"/>
      <c s="551" r="F10"/>
      <c s="551" r="G10"/>
      <c s="551" r="H10"/>
      <c s="551" r="I10"/>
      <c s="551" r="J10"/>
      <c s="551" r="K10"/>
    </row>
    <row customHeight="1" r="11" ht="15.0">
      <c s="782" r="A11"/>
      <c s="551" r="B11"/>
      <c s="414" r="C11"/>
      <c s="414" r="D11"/>
      <c s="551" r="E11"/>
      <c s="551" r="F11"/>
      <c s="551" r="G11"/>
      <c s="551" r="H11"/>
      <c s="551" r="I11"/>
      <c s="551" r="J11"/>
      <c s="551" r="K11"/>
    </row>
    <row customHeight="1" r="12" ht="15.0">
      <c s="551" r="A12"/>
      <c s="671" r="B12"/>
      <c t="s" s="16" r="C12">
        <v>0</v>
      </c>
      <c s="189" r="D12"/>
      <c s="555" r="E12"/>
      <c s="551" r="F12"/>
      <c s="551" r="G12"/>
      <c s="551" r="H12"/>
      <c s="551" r="I12"/>
      <c s="551" r="J12"/>
      <c s="551" r="K12"/>
    </row>
    <row customHeight="1" r="13" ht="15.0">
      <c s="551" r="A13"/>
      <c s="551" r="B13"/>
      <c s="84" r="C13"/>
      <c s="84" r="D13"/>
      <c s="551" r="E13"/>
      <c s="551" r="F13"/>
      <c s="551" r="G13"/>
      <c s="551" r="H13"/>
      <c s="551" r="I13"/>
      <c s="551" r="J13"/>
      <c s="551" r="K13"/>
    </row>
    <row customHeight="1" r="14" ht="15.0">
      <c s="551" r="A14"/>
      <c s="671" r="B14"/>
      <c t="s" s="16" r="C14">
        <v>1</v>
      </c>
      <c s="189" r="D14"/>
      <c s="555" r="E14"/>
      <c s="551" r="F14"/>
      <c t="s" s="551" r="G14">
        <v>2</v>
      </c>
      <c s="551" r="H14"/>
      <c s="551" r="I14"/>
      <c s="551" r="J14"/>
      <c s="551" r="K14"/>
    </row>
    <row customHeight="1" r="15" ht="15.0">
      <c s="551" r="A15"/>
      <c s="551" r="B15"/>
      <c s="84" r="C15"/>
      <c s="84" r="D15"/>
      <c s="551" r="E15"/>
      <c s="551" r="F15"/>
      <c s="551" r="G15"/>
      <c s="551" r="H15"/>
      <c s="551" r="I15"/>
      <c s="551" r="J15"/>
      <c s="551" r="K15"/>
    </row>
    <row customHeight="1" r="16" ht="15.0">
      <c s="551" r="A16"/>
      <c s="671" r="B16"/>
      <c t="s" s="16" r="C16">
        <v>3</v>
      </c>
      <c s="189" r="D16"/>
      <c s="555" r="E16"/>
      <c s="551" r="F16"/>
      <c s="551" r="G16"/>
      <c s="551" r="H16"/>
      <c s="551" r="I16"/>
      <c s="551" r="J16"/>
      <c s="551" r="K16"/>
    </row>
    <row customHeight="1" r="17" ht="15.0">
      <c s="551" r="A17"/>
      <c s="551" r="B17"/>
      <c s="84" r="C17"/>
      <c s="84" r="D17"/>
      <c s="551" r="E17"/>
      <c s="551" r="F17"/>
      <c s="551" r="G17"/>
      <c s="551" r="H17"/>
      <c s="551" r="I17"/>
      <c s="551" r="J17"/>
      <c s="551" r="K17"/>
    </row>
    <row customHeight="1" r="18" ht="15.0">
      <c s="551" r="A18"/>
      <c s="671" r="B18"/>
      <c t="s" s="16" r="C18">
        <v>4</v>
      </c>
      <c s="189" r="D18"/>
      <c s="555" r="E18"/>
      <c s="551" r="F18"/>
      <c s="551" r="G18"/>
      <c s="551" r="H18"/>
      <c s="551" r="I18"/>
      <c s="551" r="J18"/>
      <c s="551" r="K18"/>
    </row>
    <row customHeight="1" r="19" ht="15.0">
      <c s="551" r="A19"/>
      <c s="551" r="B19"/>
      <c s="84" r="C19"/>
      <c s="84" r="D19"/>
      <c s="551" r="E19"/>
      <c s="551" r="F19"/>
      <c s="551" r="G19"/>
      <c s="551" r="H19"/>
      <c s="551" r="I19"/>
      <c s="551" r="J19"/>
      <c s="551" r="K19"/>
    </row>
    <row customHeight="1" r="20" ht="15.0">
      <c s="551" r="A20"/>
      <c s="671" r="B20"/>
      <c t="s" s="16" r="C20">
        <v>5</v>
      </c>
      <c s="189" r="D20"/>
      <c s="555" r="E20"/>
      <c s="551" r="F20"/>
      <c s="551" r="G20"/>
      <c s="551" r="H20"/>
      <c s="551" r="I20"/>
      <c s="551" r="J20"/>
      <c s="551" r="K20"/>
    </row>
    <row customHeight="1" r="21" ht="15.0">
      <c s="551" r="A21"/>
      <c s="551" r="B21"/>
      <c s="664" r="C21"/>
      <c s="664" r="D21"/>
      <c s="551" r="E21"/>
      <c s="551" r="F21"/>
      <c s="551" r="G21"/>
      <c s="551" r="H21"/>
      <c s="551" r="I21"/>
      <c s="551" r="J21"/>
      <c s="551" r="K21"/>
    </row>
    <row customHeight="1" r="22" ht="12.0">
      <c s="551" r="A22"/>
      <c s="551" r="B22"/>
      <c t="s" s="124" r="C22">
        <v>6</v>
      </c>
      <c s="551" r="D22"/>
      <c s="551" r="E22"/>
      <c s="551" r="F22"/>
      <c s="551" r="G22"/>
      <c s="551" r="H22"/>
      <c s="551" r="I22"/>
      <c s="551" r="J22"/>
      <c s="551" r="K22"/>
    </row>
    <row customHeight="1" r="23" ht="12.0">
      <c s="551" r="A23"/>
      <c s="551" r="B23"/>
      <c t="s" s="124" r="C23">
        <v>7</v>
      </c>
      <c s="551" r="D23"/>
      <c s="551" r="E23"/>
      <c s="551" r="F23"/>
      <c s="551" r="G23"/>
      <c s="551" r="H23"/>
      <c s="551" r="I23"/>
      <c s="551" r="J23"/>
      <c s="551" r="K23"/>
    </row>
    <row customHeight="1" r="24" ht="12.0">
      <c s="551" r="A24"/>
      <c s="551" r="B24"/>
      <c t="s" s="124" r="C24">
        <v>8</v>
      </c>
      <c s="551" r="D24"/>
      <c s="551" r="E24"/>
      <c s="551" r="F24"/>
      <c s="551" r="G24"/>
      <c s="551" r="H24"/>
      <c s="551" r="I24"/>
      <c s="551" r="J24"/>
      <c s="551" r="K24"/>
    </row>
    <row customHeight="1" s="551" customFormat="1" r="25" ht="12.0">
      <c s="551" r="A25"/>
      <c s="551" r="B25"/>
      <c s="551" r="C25"/>
      <c s="551" r="D25"/>
      <c s="551" r="E25"/>
      <c s="551" r="F25"/>
      <c s="551" r="G25"/>
      <c s="551" r="H25"/>
      <c s="551" r="I25"/>
      <c s="551" r="J25"/>
      <c s="551" r="K25"/>
    </row>
    <row customHeight="1" s="551" customFormat="1" r="26" ht="12.0">
      <c s="551" r="A26"/>
      <c s="107" r="B26"/>
      <c s="551" r="C26"/>
      <c s="551" r="D26"/>
      <c s="551" r="E26"/>
      <c s="551" r="F26"/>
      <c s="551" r="G26"/>
      <c s="551" r="H26"/>
      <c s="551" r="I26"/>
      <c s="121" r="J26"/>
      <c s="551" r="K26"/>
    </row>
    <row customHeight="1" r="27" ht="12.0">
      <c s="551" r="A27"/>
      <c s="551" r="B27"/>
      <c s="551" r="C27"/>
      <c s="551" r="D27"/>
      <c s="551" r="E27"/>
      <c s="551" r="F27"/>
      <c s="551" r="G27"/>
      <c s="551" r="H27"/>
      <c s="551" r="I27"/>
      <c s="551" r="J27"/>
      <c s="551" r="K27"/>
    </row>
    <row customHeight="1" r="28" ht="12.0">
      <c s="551" r="A28"/>
      <c s="551" r="B28"/>
      <c s="551" r="C28"/>
      <c s="551" r="D28"/>
      <c s="551" r="E28"/>
      <c s="551" r="F28"/>
      <c s="551" r="G28"/>
      <c s="551" r="H28"/>
      <c s="551" r="I28"/>
      <c s="551" r="J28"/>
      <c s="551" r="K28"/>
    </row>
    <row customHeight="1" r="29" ht="12.0">
      <c s="551" r="A29"/>
      <c s="551" r="B29"/>
      <c s="551" r="C29"/>
      <c s="551" r="D29"/>
      <c s="551" r="E29"/>
      <c s="551" r="F29"/>
      <c s="551" r="G29"/>
      <c s="551" r="H29"/>
      <c s="551" r="I29"/>
      <c s="551" r="J29"/>
      <c s="551" r="K29"/>
    </row>
    <row customHeight="1" r="30" ht="12.0">
      <c s="551" r="A30"/>
      <c s="551" r="B30"/>
      <c s="551" r="C30"/>
      <c s="551" r="D30"/>
      <c s="551" r="E30"/>
      <c s="551" r="F30"/>
      <c s="551" r="G30"/>
      <c s="551" r="H30"/>
      <c s="551" r="I30"/>
      <c s="8" r="J30"/>
      <c s="551" r="K30"/>
    </row>
    <row customHeight="1" r="31" ht="12.0">
      <c s="551" r="A31"/>
      <c s="551" r="B31"/>
      <c s="551" r="C31"/>
      <c s="551" r="D31"/>
      <c s="551" r="E31"/>
      <c s="551" r="F31"/>
      <c s="551" r="G31"/>
      <c s="551" r="H31"/>
      <c s="551" r="I31"/>
      <c s="551" r="J31"/>
      <c s="551" r="K31"/>
    </row>
    <row r="32">
      <c s="551" r="A32"/>
      <c s="551" r="B32"/>
      <c s="551" r="C32"/>
      <c s="551" r="D32"/>
      <c s="551" r="E32"/>
      <c s="551" r="F32"/>
      <c s="551" r="G32"/>
      <c s="551" r="H32"/>
      <c s="551" r="I32"/>
      <c s="8" r="J32"/>
      <c s="551" r="K32"/>
    </row>
    <row r="33">
      <c s="551" r="A33"/>
      <c s="551" r="B33"/>
      <c s="551" r="C33"/>
      <c s="551" r="D33"/>
      <c s="551" r="E33"/>
      <c s="551" r="F33"/>
      <c s="551" r="G33"/>
      <c s="551" r="H33"/>
      <c s="551" r="I33"/>
      <c s="551" r="J33"/>
      <c s="551" r="K33"/>
    </row>
    <row r="34">
      <c s="551" r="A34"/>
      <c s="551" r="B34"/>
      <c s="551" r="C34"/>
      <c s="551" r="D34"/>
      <c s="551" r="E34"/>
      <c s="551" r="F34"/>
      <c s="551" r="G34"/>
      <c s="551" r="H34"/>
      <c s="551" r="I34"/>
      <c s="551" r="J34"/>
      <c s="551" r="K34"/>
    </row>
    <row r="35">
      <c s="551" r="A35"/>
      <c s="551" r="B35"/>
      <c s="551" r="C35"/>
      <c s="551" r="D35"/>
      <c s="551" r="E35"/>
      <c s="551" r="F35"/>
      <c s="551" r="G35"/>
      <c s="551" r="H35"/>
      <c s="551" r="I35"/>
      <c s="551" r="J35"/>
      <c s="551" r="K35"/>
    </row>
    <row r="36">
      <c s="551" r="A36"/>
      <c s="551" r="B36"/>
      <c s="551" r="C36"/>
      <c s="551" r="D36"/>
      <c s="551" r="E36"/>
      <c s="551" r="F36"/>
      <c s="551" r="G36"/>
      <c s="551" r="H36"/>
      <c s="551" r="I36"/>
      <c s="551" r="J36"/>
      <c s="551" r="K36"/>
    </row>
    <row r="37">
      <c s="551" r="A37"/>
      <c s="551" r="B37"/>
      <c s="551" r="C37"/>
      <c s="551" r="D37"/>
      <c s="551" r="E37"/>
      <c s="551" r="F37"/>
      <c s="551" r="G37"/>
      <c s="551" r="H37"/>
      <c s="551" r="I37"/>
      <c s="551" r="J37"/>
      <c s="551" r="K37"/>
    </row>
    <row r="38">
      <c s="551" r="A38"/>
      <c s="551" r="B38"/>
      <c s="551" r="C38"/>
      <c s="551" r="D38"/>
      <c s="551" r="E38"/>
      <c s="551" r="F38"/>
      <c s="551" r="G38"/>
      <c s="551" r="H38"/>
      <c s="551" r="I38"/>
      <c s="551" r="J38"/>
      <c s="551" r="K38"/>
    </row>
    <row r="39">
      <c s="551" r="A39"/>
      <c s="551" r="B39"/>
      <c s="551" r="C39"/>
      <c s="551" r="D39"/>
      <c s="551" r="E39"/>
      <c s="551" r="F39"/>
      <c s="551" r="G39"/>
      <c s="551" r="H39"/>
      <c s="551" r="I39"/>
      <c s="551" r="J39"/>
      <c s="551" r="K39"/>
    </row>
    <row r="40">
      <c s="551" r="A40"/>
      <c s="551" r="B40"/>
      <c s="551" r="C40"/>
      <c s="551" r="D40"/>
      <c s="551" r="E40"/>
      <c s="551" r="F40"/>
      <c s="551" r="G40"/>
      <c s="551" r="H40"/>
      <c s="551" r="I40"/>
      <c s="551" r="J40"/>
      <c s="551" r="K40"/>
    </row>
    <row r="41">
      <c s="551" r="A41"/>
      <c s="551" r="B41"/>
      <c s="551" r="C41"/>
      <c s="551" r="D41"/>
      <c s="551" r="E41"/>
      <c s="551" r="F41"/>
      <c s="551" r="G41"/>
      <c s="551" r="H41"/>
      <c s="551" r="I41"/>
      <c s="551" r="J41"/>
      <c s="551" r="K41"/>
    </row>
    <row r="42">
      <c s="551" r="A42"/>
      <c s="551" r="B42"/>
      <c s="551" r="C42"/>
      <c s="551" r="D42"/>
      <c s="551" r="E42"/>
      <c s="551" r="F42"/>
      <c s="551" r="G42"/>
      <c s="551" r="H42"/>
      <c s="551" r="I42"/>
      <c s="551" r="J42"/>
      <c s="551" r="K42"/>
    </row>
    <row r="43">
      <c s="551" r="A43"/>
      <c s="551" r="B43"/>
      <c s="551" r="C43"/>
      <c s="551" r="D43"/>
      <c s="551" r="E43"/>
      <c s="551" r="F43"/>
      <c s="551" r="G43"/>
      <c s="551" r="H43"/>
      <c s="551" r="I43"/>
      <c s="551" r="J43"/>
      <c s="551" r="K43"/>
    </row>
    <row r="44">
      <c s="551" r="A44"/>
      <c s="773" r="B44"/>
      <c s="773" r="C44"/>
      <c s="551" r="D44"/>
      <c s="551" r="E44"/>
      <c s="551" r="F44"/>
      <c s="551" r="G44"/>
      <c s="551" r="H44"/>
      <c s="551" r="I44"/>
      <c s="551" r="J44"/>
      <c s="551" r="K44"/>
    </row>
    <row r="45">
      <c s="551" r="A45"/>
      <c s="773" r="B45"/>
      <c s="773" r="C45"/>
      <c s="551" r="D45"/>
      <c s="551" r="E45"/>
      <c s="551" r="F45"/>
      <c s="551" r="G45"/>
      <c s="551" r="H45"/>
      <c s="551" r="I45"/>
      <c s="551" r="J45"/>
      <c s="551" r="K45"/>
    </row>
    <row r="46">
      <c s="551" r="A46"/>
      <c s="773" r="B46"/>
      <c s="773" r="C46"/>
      <c s="551" r="D46"/>
      <c s="551" r="E46"/>
      <c s="551" r="F46"/>
      <c s="551" r="G46"/>
      <c s="551" r="H46"/>
      <c s="551" r="I46"/>
      <c s="551" r="J46"/>
      <c s="551" r="K46"/>
    </row>
    <row r="47">
      <c s="551" r="A47"/>
      <c s="773" r="B47"/>
      <c s="773" r="C47"/>
      <c s="551" r="D47"/>
      <c s="551" r="E47"/>
      <c s="551" r="F47"/>
      <c s="551" r="G47"/>
      <c s="551" r="H47"/>
      <c s="551" r="I47"/>
      <c s="551" r="J47"/>
      <c s="551" r="K47"/>
    </row>
    <row r="48">
      <c s="551" r="A48"/>
      <c s="773" r="B48"/>
      <c s="773" r="C48"/>
      <c s="551" r="D48"/>
      <c s="551" r="E48"/>
      <c s="551" r="F48"/>
      <c s="551" r="G48"/>
      <c s="551" r="H48"/>
      <c s="551" r="I48"/>
      <c s="551" r="J48"/>
      <c s="551" r="K48"/>
    </row>
    <row r="49">
      <c s="551" r="A49"/>
      <c s="551" r="B49"/>
      <c s="773" r="C49"/>
      <c s="551" r="D49"/>
      <c s="551" r="E49"/>
      <c s="551" r="F49"/>
      <c s="551" r="G49"/>
      <c s="551" r="H49"/>
      <c s="551" r="I49"/>
      <c s="551" r="J49"/>
      <c s="551" r="K49"/>
    </row>
    <row r="50">
      <c s="551" r="A50"/>
      <c s="551" r="B50"/>
      <c s="773" r="C50"/>
      <c s="551" r="D50"/>
      <c s="551" r="E50"/>
      <c s="551" r="F50"/>
      <c s="551" r="G50"/>
      <c s="551" r="H50"/>
      <c s="551" r="I50"/>
      <c s="551" r="J50"/>
      <c s="551" r="K50"/>
    </row>
    <row r="51">
      <c s="551" r="A51"/>
      <c s="551" r="B51"/>
      <c s="773" r="C51"/>
      <c s="551" r="D51"/>
      <c s="551" r="E51"/>
      <c s="551" r="F51"/>
      <c s="551" r="G51"/>
      <c s="551" r="H51"/>
      <c s="551" r="I51"/>
      <c s="551" r="J51"/>
      <c s="551" r="K51"/>
    </row>
    <row r="52">
      <c s="551" r="A52"/>
      <c s="551" r="B52"/>
      <c s="773" r="C52"/>
      <c s="551" r="D52"/>
      <c s="551" r="E52"/>
      <c s="551" r="F52"/>
      <c s="551" r="G52"/>
      <c s="551" r="H52"/>
      <c s="551" r="I52"/>
      <c s="551" r="J52"/>
      <c s="551" r="K52"/>
    </row>
    <row r="53">
      <c s="551" r="A53"/>
      <c s="551" r="B53"/>
      <c s="773" r="C53"/>
      <c s="551" r="D53"/>
      <c s="551" r="E53"/>
      <c s="551" r="F53"/>
      <c s="551" r="G53"/>
      <c s="551" r="H53"/>
      <c s="551" r="I53"/>
      <c s="551" r="J53"/>
      <c s="551" r="K53"/>
    </row>
    <row r="54">
      <c s="551" r="A54"/>
      <c s="551" r="B54"/>
      <c s="773" r="C54"/>
      <c s="551" r="D54"/>
      <c s="551" r="E54"/>
      <c s="551" r="F54"/>
      <c s="551" r="G54"/>
      <c s="551" r="H54"/>
      <c s="551" r="I54"/>
      <c s="551" r="J54"/>
      <c s="551" r="K54"/>
    </row>
    <row r="55">
      <c s="551" r="A55"/>
      <c s="551" r="B55"/>
      <c s="773" r="C55"/>
      <c s="551" r="D55"/>
      <c s="551" r="E55"/>
      <c s="551" r="F55"/>
      <c s="551" r="G55"/>
      <c s="551" r="H55"/>
      <c s="551" r="I55"/>
      <c s="551" r="J55"/>
      <c s="551" r="K55"/>
    </row>
    <row r="56">
      <c s="551" r="A56"/>
      <c s="551" r="B56"/>
      <c s="773" r="C56"/>
      <c s="551" r="D56"/>
      <c s="551" r="E56"/>
      <c s="551" r="F56"/>
      <c s="551" r="G56"/>
      <c s="551" r="H56"/>
      <c s="551" r="I56"/>
      <c s="551" r="J56"/>
      <c s="551" r="K56"/>
    </row>
    <row r="57">
      <c s="551" r="A57"/>
      <c s="551" r="B57"/>
      <c s="773" r="C57"/>
      <c s="551" r="D57"/>
      <c s="551" r="E57"/>
      <c s="551" r="F57"/>
      <c s="551" r="G57"/>
      <c s="551" r="H57"/>
      <c s="551" r="I57"/>
      <c s="551" r="J57"/>
      <c s="551" r="K57"/>
    </row>
    <row r="58">
      <c s="551" r="A58"/>
      <c s="551" r="B58"/>
      <c s="773" r="C58"/>
      <c s="551" r="D58"/>
      <c s="551" r="E58"/>
      <c s="551" r="F58"/>
      <c s="551" r="G58"/>
      <c s="551" r="H58"/>
      <c s="551" r="I58"/>
      <c s="551" r="J58"/>
      <c s="551" r="K58"/>
    </row>
    <row r="59">
      <c s="551" r="A59"/>
      <c s="551" r="B59"/>
      <c s="773" r="C59"/>
      <c s="551" r="D59"/>
      <c s="551" r="E59"/>
      <c s="551" r="F59"/>
      <c s="551" r="G59"/>
      <c s="551" r="H59"/>
      <c s="551" r="I59"/>
      <c s="551" r="J59"/>
      <c s="551" r="K59"/>
    </row>
    <row r="60">
      <c s="710" r="A60"/>
      <c s="710" r="B60"/>
      <c s="710" r="C60"/>
      <c s="710" r="D60"/>
      <c s="710" r="E60"/>
      <c s="710" r="F60"/>
      <c s="710" r="G60"/>
      <c s="710" r="H60"/>
      <c s="710" r="I60"/>
      <c s="710" r="J60"/>
      <c s="710" r="K60"/>
    </row>
    <row r="61">
      <c s="710" r="A61"/>
      <c s="710" r="B61"/>
      <c s="710" r="C61"/>
      <c s="710" r="D61"/>
      <c s="710" r="E61"/>
      <c s="710" r="F61"/>
      <c s="710" r="G61"/>
      <c s="710" r="H61"/>
      <c s="710" r="I61"/>
      <c s="710" r="J61"/>
      <c s="710" r="K61"/>
    </row>
    <row customHeight="1" r="62" ht="15.75">
      <c s="710" r="A62"/>
      <c s="260" r="B62"/>
      <c s="710" r="C62"/>
      <c s="710" r="D62"/>
      <c s="710" r="E62"/>
      <c s="710" r="F62"/>
      <c s="710" r="G62"/>
      <c s="710" r="H62"/>
      <c s="710" r="I62"/>
      <c s="710" r="J62"/>
      <c s="710" r="K62"/>
    </row>
    <row customHeight="1" r="63" ht="15.75">
      <c s="710" r="A63"/>
      <c s="260" r="B63"/>
      <c s="710" r="C63"/>
      <c s="710" r="D63"/>
      <c s="710" r="E63"/>
      <c s="710" r="F63"/>
      <c s="710" r="G63"/>
      <c s="710" r="H63"/>
      <c s="710" r="I63"/>
      <c s="710" r="J63"/>
      <c s="710" r="K63"/>
    </row>
    <row customHeight="1" r="64" ht="15.75">
      <c s="710" r="A64"/>
      <c s="260" r="B64"/>
      <c s="710" r="C64"/>
      <c s="710" r="D64"/>
      <c s="710" r="E64"/>
      <c s="710" r="F64"/>
      <c s="710" r="G64"/>
      <c s="710" r="H64"/>
      <c s="710" r="I64"/>
      <c s="710" r="J64"/>
      <c s="710" r="K64"/>
    </row>
    <row customHeight="1" r="65" ht="15.75">
      <c s="710" r="A65"/>
      <c s="260" r="B65"/>
      <c s="710" r="C65"/>
      <c s="710" r="D65"/>
      <c s="710" r="E65"/>
      <c s="710" r="F65"/>
      <c s="710" r="G65"/>
      <c s="710" r="H65"/>
      <c s="710" r="I65"/>
      <c s="710" r="J65"/>
      <c s="710" r="K65"/>
    </row>
    <row r="66">
      <c s="710" r="A66"/>
      <c s="571" r="B66"/>
      <c s="710" r="C66"/>
      <c s="710" r="D66"/>
      <c s="710" r="E66"/>
      <c s="710" r="F66"/>
      <c s="710" r="G66"/>
      <c s="710" r="H66"/>
      <c s="710" r="I66"/>
      <c s="710" r="J66"/>
      <c s="710" r="K66"/>
    </row>
    <row r="67">
      <c s="710" r="A67"/>
      <c s="571" r="B67"/>
      <c s="710" r="C67"/>
      <c s="710" r="D67"/>
      <c s="710" r="E67"/>
      <c s="710" r="F67"/>
      <c s="710" r="G67"/>
      <c s="710" r="H67"/>
      <c s="710" r="I67"/>
      <c s="710" r="J67"/>
      <c s="710" r="K67"/>
    </row>
    <row r="68">
      <c s="710" r="A68"/>
      <c s="571" r="B68"/>
      <c s="710" r="C68"/>
      <c s="710" r="D68"/>
      <c s="710" r="E68"/>
      <c s="710" r="F68"/>
      <c s="710" r="G68"/>
      <c s="710" r="H68"/>
      <c s="710" r="I68"/>
      <c s="710" r="J68"/>
      <c s="710" r="K68"/>
    </row>
    <row r="69">
      <c s="710" r="A69"/>
      <c s="571" r="B69"/>
      <c s="710" r="C69"/>
      <c s="710" r="D69"/>
      <c s="710" r="E69"/>
      <c s="710" r="F69"/>
      <c s="710" r="G69"/>
      <c s="710" r="H69"/>
      <c s="710" r="I69"/>
      <c s="710" r="J69"/>
      <c s="710" r="K69"/>
    </row>
    <row r="70">
      <c s="710" r="A70"/>
      <c s="571" r="B70"/>
      <c s="710" r="C70"/>
      <c s="710" r="D70"/>
      <c s="710" r="E70"/>
      <c s="710" r="F70"/>
      <c s="710" r="G70"/>
      <c s="710" r="H70"/>
      <c s="710" r="I70"/>
      <c s="710" r="J70"/>
      <c s="710" r="K70"/>
    </row>
    <row r="71">
      <c s="710" r="A71"/>
      <c s="571" r="B71"/>
      <c s="710" r="C71"/>
      <c s="710" r="D71"/>
      <c s="710" r="E71"/>
      <c s="710" r="F71"/>
      <c s="710" r="G71"/>
      <c s="710" r="H71"/>
      <c s="710" r="I71"/>
      <c s="710" r="J71"/>
      <c s="710" r="K71"/>
    </row>
    <row r="72">
      <c s="710" r="A72"/>
      <c s="571" r="B72"/>
      <c s="710" r="C72"/>
      <c s="710" r="D72"/>
      <c s="710" r="E72"/>
      <c s="710" r="F72"/>
      <c s="710" r="G72"/>
      <c s="710" r="H72"/>
      <c s="710" r="I72"/>
      <c s="710" r="J72"/>
      <c s="710" r="K72"/>
    </row>
    <row r="73">
      <c s="710" r="A73"/>
      <c s="571" r="B73"/>
      <c s="710" r="C73"/>
      <c s="710" r="D73"/>
      <c s="710" r="E73"/>
      <c s="710" r="F73"/>
      <c s="710" r="G73"/>
      <c s="710" r="H73"/>
      <c s="710" r="I73"/>
      <c s="710" r="J73"/>
      <c s="710" r="K73"/>
    </row>
    <row r="74">
      <c s="710" r="A74"/>
      <c s="571" r="B74"/>
      <c s="710" r="C74"/>
      <c s="710" r="D74"/>
      <c s="710" r="E74"/>
      <c s="710" r="F74"/>
      <c s="710" r="G74"/>
      <c s="710" r="H74"/>
      <c s="710" r="I74"/>
      <c s="710" r="J74"/>
      <c s="710" r="K74"/>
    </row>
    <row r="75">
      <c s="710" r="A75"/>
      <c s="710" r="B75"/>
      <c s="710" r="C75"/>
      <c s="710" r="D75"/>
      <c s="710" r="E75"/>
      <c s="710" r="F75"/>
      <c s="710" r="G75"/>
      <c s="710" r="H75"/>
      <c s="710" r="I75"/>
      <c s="710" r="J75"/>
      <c s="710" r="K75"/>
    </row>
  </sheetData>
  <mergeCells count="5">
    <mergeCell ref="C12:D12"/>
    <mergeCell ref="C14:D14"/>
    <mergeCell ref="C16:D16"/>
    <mergeCell ref="C18:D18"/>
    <mergeCell ref="C20:D20"/>
  </mergeCells>
  <legacy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3" style="125" width="9.14"/>
    <col min="4" customWidth="1" max="4" style="125" width="74.71"/>
    <col min="5" customWidth="1" max="5" style="125" width="10.43"/>
    <col min="6" customWidth="1" max="6" style="125" width="9.57"/>
    <col min="7" customWidth="1" max="7" style="125" width="8.57"/>
    <col min="8" customWidth="1" max="8" style="125" width="9.43"/>
    <col min="9" customWidth="1" max="9" style="125" width="9.86"/>
    <col min="10" customWidth="1" max="11" style="125" width="9.14"/>
    <col min="12" customWidth="1" max="13" style="125" width="12.71"/>
    <col min="14" customWidth="1" max="14" style="125" width="9.86"/>
    <col min="15" customWidth="1" max="18" style="125" width="9.43"/>
    <col min="19" customWidth="1" max="25" style="125" width="9.14"/>
    <col min="26" customWidth="1" max="26" style="642" width="14.14"/>
    <col min="27" customWidth="1" max="28" style="125" width="9.14"/>
    <col min="29" customWidth="1" max="29" style="761" width="9.14"/>
    <col min="30" customWidth="1" max="30" style="341" width="9.14"/>
  </cols>
  <sheetData>
    <row r="1">
      <c s="125" r="A1"/>
      <c s="125" r="B1"/>
      <c s="125" r="C1"/>
      <c s="125" r="D1"/>
      <c s="125" r="E1"/>
      <c s="125" r="F1"/>
      <c s="125" r="G1"/>
      <c s="125" r="H1"/>
      <c s="125" r="I1"/>
      <c s="125" r="J1"/>
      <c s="125" r="K1"/>
      <c s="125" r="L1"/>
      <c s="125" r="M1"/>
      <c s="125" r="N1"/>
      <c s="642" r="O1"/>
      <c s="642" r="P1"/>
      <c s="642" r="Q1"/>
      <c s="642" r="R1"/>
      <c s="642" r="S1"/>
      <c s="125" r="T1"/>
      <c s="125" r="U1"/>
      <c s="125" r="V1"/>
      <c s="125" r="W1"/>
      <c s="125" r="X1"/>
      <c s="125" r="Y1"/>
      <c s="642" r="Z1"/>
      <c s="125" r="AA1"/>
      <c s="125" r="AB1"/>
      <c s="761" r="AC1"/>
      <c s="341" r="AD1"/>
    </row>
    <row r="2">
      <c s="125" r="A2"/>
      <c s="125" r="B2"/>
      <c s="125" r="C2"/>
      <c s="125" r="D2"/>
      <c s="125" r="E2"/>
      <c s="125" r="F2"/>
      <c s="125" r="G2"/>
      <c s="125" r="H2"/>
      <c s="125" r="I2"/>
      <c s="125" r="J2"/>
      <c s="125" r="K2"/>
      <c s="125" r="L2"/>
      <c s="125" r="M2"/>
      <c s="125" r="N2"/>
      <c s="642" r="O2"/>
      <c s="642" r="P2"/>
      <c s="642" r="Q2"/>
      <c s="642" r="R2"/>
      <c s="642" r="S2"/>
      <c s="125" r="T2"/>
      <c t="s" s="125" r="U2">
        <v>2</v>
      </c>
      <c s="125" r="V2"/>
      <c t="s" s="125" r="W2">
        <v>2</v>
      </c>
      <c t="s" s="125" r="X2">
        <v>2</v>
      </c>
      <c t="s" s="125" r="Y2">
        <v>2</v>
      </c>
      <c t="s" s="125" r="Z2">
        <v>2</v>
      </c>
      <c t="s" s="125" r="AA2">
        <v>2</v>
      </c>
      <c t="s" s="125" r="AB2">
        <v>2</v>
      </c>
      <c t="s" s="125" r="AC2">
        <v>2</v>
      </c>
      <c t="s" s="125" r="AD2">
        <v>2</v>
      </c>
    </row>
    <row customHeight="1" r="3" ht="13.5">
      <c s="125" r="A3"/>
      <c s="361" r="B3"/>
      <c s="361" r="C3"/>
      <c s="361" r="D3"/>
      <c s="361" r="E3"/>
      <c s="361" r="F3"/>
      <c s="361" r="G3"/>
      <c s="361" r="H3"/>
      <c s="361" r="I3"/>
      <c s="361" r="J3"/>
      <c s="125" r="K3"/>
      <c s="361" r="L3"/>
      <c s="361" r="M3"/>
      <c s="361" r="N3"/>
      <c s="854" r="O3"/>
      <c s="854" r="P3"/>
      <c s="854" r="Q3"/>
      <c s="854" r="R3"/>
      <c s="854" r="S3"/>
      <c s="125" r="T3"/>
      <c s="361" r="U3"/>
      <c s="361" r="V3"/>
      <c s="361" r="W3"/>
      <c s="361" r="X3"/>
      <c s="361" r="Y3"/>
      <c s="854" r="Z3"/>
      <c s="361" r="AA3"/>
      <c s="361" r="AB3"/>
      <c s="320" r="AC3"/>
      <c s="531" r="AD3"/>
    </row>
    <row customHeight="1" r="4" ht="14.25">
      <c s="822" r="A4"/>
      <c s="632" r="B4"/>
      <c s="313" r="C4"/>
      <c s="313" r="D4"/>
      <c s="313" r="E4"/>
      <c s="313" r="F4"/>
      <c s="313" r="G4"/>
      <c s="313" r="H4"/>
      <c s="313" r="I4"/>
      <c s="448" r="J4">
        <v>1</v>
      </c>
      <c s="702" r="K4"/>
      <c t="s" s="503" r="L4">
        <v>9</v>
      </c>
      <c s="772" r="M4"/>
      <c s="772" r="N4"/>
      <c s="383" r="O4"/>
      <c s="490" r="P4"/>
      <c s="490" r="Q4"/>
      <c s="490" r="R4"/>
      <c s="437" r="S4"/>
      <c s="702" r="T4"/>
      <c t="s" s="659" r="U4">
        <v>10</v>
      </c>
      <c s="561" r="V4"/>
      <c s="561" r="W4"/>
      <c s="561" r="X4"/>
      <c s="561" r="Y4"/>
      <c s="120" r="Z4"/>
      <c s="561" r="AA4"/>
      <c s="561" r="AB4"/>
      <c s="774" r="AC4"/>
      <c s="521" r="AD4"/>
    </row>
    <row customHeight="1" r="5" ht="13.5">
      <c s="822" r="A5"/>
      <c s="332" r="B5"/>
      <c s="149" r="C5"/>
      <c s="149" r="D5"/>
      <c s="149" r="E5"/>
      <c s="149" r="F5"/>
      <c s="149" r="G5"/>
      <c s="149" r="H5"/>
      <c s="149" r="I5"/>
      <c s="602" r="J5"/>
      <c s="136" r="K5"/>
      <c s="898" r="L5"/>
      <c s="746" r="M5"/>
      <c s="746" r="N5"/>
      <c s="746" r="O5"/>
      <c s="746" r="P5"/>
      <c s="746" r="Q5"/>
      <c s="746" r="R5"/>
      <c s="781" r="S5"/>
      <c s="702" r="T5"/>
      <c t="s" s="279" r="U5">
        <v>11</v>
      </c>
      <c s="536" r="V5"/>
      <c s="536" r="W5"/>
      <c s="536" r="X5"/>
      <c s="536" r="Y5"/>
      <c s="536" r="Z5"/>
      <c s="536" r="AA5"/>
      <c s="536" r="AB5"/>
      <c s="536" r="AC5"/>
      <c s="204" r="AD5"/>
    </row>
    <row r="6">
      <c s="822" r="A6"/>
      <c s="406" r="B6"/>
      <c t="s" s="729" r="C6">
        <v>12</v>
      </c>
      <c s="566" r="D6"/>
      <c s="566" r="E6"/>
      <c s="566" r="F6"/>
      <c s="566" r="G6"/>
      <c s="566" r="H6"/>
      <c s="566" r="I6"/>
      <c s="418" r="J6"/>
      <c s="702" r="K6"/>
      <c s="738" r="L6"/>
      <c t="s" s="94" r="M6">
        <v>13</v>
      </c>
      <c t="str" s="10" r="N6">
        <f>IF(ISBLANK(E21),"---",E21)</f>
        <v>---</v>
      </c>
      <c s="664" r="O6"/>
      <c s="664" r="P6"/>
      <c s="664" r="Q6"/>
      <c s="664" r="R6"/>
      <c s="726" r="S6"/>
      <c s="702" r="T6"/>
      <c s="178" r="U6"/>
      <c s="863" r="V6"/>
      <c s="863" r="W6"/>
      <c s="863" r="X6"/>
      <c t="s" s="863" r="Y6">
        <v>14</v>
      </c>
      <c t="str" s="693" r="Z6">
        <f>Summary!N6</f>
        <v>---</v>
      </c>
      <c s="640" r="AA6"/>
      <c s="640" r="AB6"/>
      <c s="863" r="AC6"/>
      <c s="847" r="AD6"/>
    </row>
    <row r="7">
      <c s="822" r="A7"/>
      <c s="406" r="B7"/>
      <c s="756" r="C7"/>
      <c s="756" r="D7"/>
      <c s="756" r="E7"/>
      <c s="756" r="F7"/>
      <c s="756" r="G7"/>
      <c s="756" r="H7"/>
      <c s="756" r="I7"/>
      <c s="418" r="J7"/>
      <c s="702" r="K7"/>
      <c s="908" r="L7"/>
      <c t="s" s="812" r="M7">
        <v>15</v>
      </c>
      <c t="str" s="582" r="N7">
        <f>IF(ISBLANK(E28),"---",E28)</f>
        <v>---</v>
      </c>
      <c s="551" r="O7"/>
      <c s="551" r="P7"/>
      <c s="551" r="Q7"/>
      <c s="551" r="R7"/>
      <c s="671" r="S7"/>
      <c s="702" r="T7"/>
      <c s="908" r="U7"/>
      <c s="8" r="V7"/>
      <c s="8" r="W7"/>
      <c s="8" r="X7"/>
      <c t="s" s="8" r="Y7">
        <v>16</v>
      </c>
      <c t="str" s="472" r="Z7">
        <f>Summary!N7</f>
        <v>---</v>
      </c>
      <c s="551" r="AA7"/>
      <c s="551" r="AB7"/>
      <c s="8" r="AC7"/>
      <c s="323" r="AD7"/>
    </row>
    <row r="8">
      <c s="822" r="A8"/>
      <c s="406" r="B8"/>
      <c s="886" r="C8"/>
      <c t="s" s="886" r="D8">
        <v>17</v>
      </c>
      <c s="886" r="E8"/>
      <c s="886" r="F8"/>
      <c s="886" r="G8"/>
      <c s="886" r="H8"/>
      <c s="886" r="I8"/>
      <c s="418" r="J8"/>
      <c s="702" r="K8"/>
      <c s="908" r="L8"/>
      <c t="s" s="812" r="M8">
        <v>18</v>
      </c>
      <c t="str" s="207" r="N8">
        <f>IF(ISBLANK(E30),"---",E30)</f>
        <v>---</v>
      </c>
      <c s="304" r="O8"/>
      <c s="304" r="P8"/>
      <c s="304" r="Q8"/>
      <c s="304" r="R8"/>
      <c s="12" r="S8"/>
      <c s="702" r="T8"/>
      <c s="908" r="U8"/>
      <c s="8" r="V8"/>
      <c s="8" r="W8"/>
      <c s="8" r="X8"/>
      <c t="s" s="8" r="Y8">
        <v>19</v>
      </c>
      <c t="str" s="472" r="Z8">
        <f>Summary!N8</f>
        <v>---</v>
      </c>
      <c s="551" r="AA8"/>
      <c s="551" r="AB8"/>
      <c t="s" s="8" r="AC8">
        <v>2</v>
      </c>
      <c s="323" r="AD8"/>
    </row>
    <row r="9">
      <c s="822" r="A9"/>
      <c s="406" r="B9"/>
      <c s="886" r="C9"/>
      <c s="886" r="D9"/>
      <c s="886" r="E9"/>
      <c s="886" r="F9"/>
      <c s="886" r="G9"/>
      <c s="886" r="H9"/>
      <c s="886" r="I9"/>
      <c s="418" r="J9"/>
      <c s="702" r="K9"/>
      <c s="908" r="L9"/>
      <c s="8" r="M9"/>
      <c s="207" r="N9"/>
      <c s="304" r="O9"/>
      <c s="304" r="P9"/>
      <c s="304" r="Q9"/>
      <c s="304" r="R9"/>
      <c s="12" r="S9"/>
      <c s="702" r="T9"/>
      <c s="908" r="U9"/>
      <c s="8" r="V9"/>
      <c s="8" r="W9"/>
      <c s="8" r="X9"/>
      <c t="s" s="8" r="Y9">
        <v>20</v>
      </c>
      <c t="str" s="111" r="Z9">
        <f>Summary!N11</f>
        <v>---</v>
      </c>
      <c s="551" r="AA9"/>
      <c s="551" r="AB9"/>
      <c s="8" r="AC9"/>
      <c s="323" r="AD9"/>
    </row>
    <row r="10">
      <c s="822" r="A10"/>
      <c s="406" r="B10"/>
      <c s="886" r="C10"/>
      <c t="s" s="886" r="D10">
        <v>21</v>
      </c>
      <c s="886" r="E10"/>
      <c s="886" r="F10"/>
      <c s="886" r="G10"/>
      <c s="886" r="H10"/>
      <c s="886" r="I10"/>
      <c s="418" r="J10"/>
      <c s="702" r="K10"/>
      <c s="908" r="L10"/>
      <c s="8" r="M10"/>
      <c s="207" r="N10"/>
      <c s="304" r="O10"/>
      <c s="304" r="P10"/>
      <c s="304" r="Q10"/>
      <c s="304" r="R10"/>
      <c s="12" r="S10"/>
      <c s="702" r="T10"/>
      <c s="908" r="U10"/>
      <c s="8" r="V10"/>
      <c s="8" r="W10"/>
      <c s="8" r="X10"/>
      <c t="s" s="8" r="Y10">
        <v>22</v>
      </c>
      <c t="str" s="111" r="Z10">
        <f>Summary!N12</f>
        <v>---</v>
      </c>
      <c s="551" r="AA10"/>
      <c s="551" r="AB10"/>
      <c s="8" r="AC10"/>
      <c s="323" r="AD10"/>
    </row>
    <row r="11">
      <c s="822" r="A11"/>
      <c s="406" r="B11"/>
      <c s="886" r="C11"/>
      <c t="s" s="886" r="D11">
        <v>23</v>
      </c>
      <c s="886" r="E11"/>
      <c s="886" r="F11"/>
      <c s="886" r="G11"/>
      <c s="886" r="H11"/>
      <c s="886" r="I11"/>
      <c s="418" r="J11"/>
      <c s="702" r="K11"/>
      <c s="908" r="L11"/>
      <c t="s" s="812" r="M11">
        <v>24</v>
      </c>
      <c t="str" s="353" r="N11">
        <f>IF((((E39+F39)+G39)&lt;&gt;0),((E39+(F39/60))+(G39/3600)),"---")</f>
        <v>---</v>
      </c>
      <c s="551" r="O11"/>
      <c s="551" r="P11"/>
      <c s="551" r="Q11"/>
      <c s="551" r="R11"/>
      <c s="671" r="S11"/>
      <c s="702" r="T11"/>
      <c s="908" r="U11"/>
      <c s="8" r="V11"/>
      <c s="8" r="W11"/>
      <c s="8" r="X11"/>
      <c t="s" s="8" r="Y11">
        <v>25</v>
      </c>
      <c t="str" s="472" r="Z11">
        <f>Summary!N14</f>
        <v>---</v>
      </c>
      <c s="551" r="AA11"/>
      <c s="551" r="AB11"/>
      <c s="8" r="AC11"/>
      <c s="323" r="AD11"/>
    </row>
    <row r="12">
      <c s="822" r="A12"/>
      <c s="406" r="B12"/>
      <c s="886" r="C12"/>
      <c s="886" r="D12"/>
      <c s="886" r="E12"/>
      <c s="886" r="F12"/>
      <c s="886" r="G12"/>
      <c s="886" r="H12"/>
      <c s="886" r="I12"/>
      <c s="418" r="J12"/>
      <c s="702" r="K12"/>
      <c s="908" r="L12"/>
      <c t="s" s="812" r="M12">
        <v>26</v>
      </c>
      <c t="str" s="353" r="N12">
        <f>IF((((E40+F40)+G40)&lt;&gt;0),((E40+(F40/60))+(G40/3600)),"---")</f>
        <v>---</v>
      </c>
      <c s="551" r="O12"/>
      <c s="551" r="P12"/>
      <c s="551" r="Q12"/>
      <c s="551" r="R12"/>
      <c s="671" r="S12"/>
      <c s="702" r="T12"/>
      <c s="908" r="U12"/>
      <c s="8" r="V12"/>
      <c s="8" r="W12"/>
      <c s="8" r="X12"/>
      <c t="s" s="8" r="Y12">
        <v>27</v>
      </c>
      <c t="str" s="335" r="Z12">
        <f>Summary!N15</f>
        <v>---</v>
      </c>
      <c s="551" r="AA12"/>
      <c s="551" r="AB12"/>
      <c s="8" r="AC12"/>
      <c s="323" r="AD12"/>
    </row>
    <row r="13">
      <c s="822" r="A13"/>
      <c s="406" r="B13"/>
      <c s="886" r="C13"/>
      <c t="s" s="886" r="D13">
        <v>28</v>
      </c>
      <c s="886" r="E13"/>
      <c s="886" r="F13"/>
      <c s="886" r="G13"/>
      <c s="886" r="H13"/>
      <c s="886" r="I13"/>
      <c s="418" r="J13"/>
      <c s="702" r="K13"/>
      <c s="908" r="L13"/>
      <c t="s" s="812" r="M13">
        <v>29</v>
      </c>
      <c t="str" s="624" r="N13">
        <f>IF(ISBLANK(E34),"---",E34)</f>
        <v>---</v>
      </c>
      <c s="551" r="O13"/>
      <c s="551" r="P13"/>
      <c s="551" r="Q13"/>
      <c s="551" r="R13"/>
      <c s="671" r="S13"/>
      <c s="702" r="T13"/>
      <c s="908" r="U13"/>
      <c s="8" r="V13"/>
      <c s="8" r="W13"/>
      <c s="8" r="X13"/>
      <c t="s" s="8" r="Y13">
        <v>30</v>
      </c>
      <c t="str" s="472" r="Z13">
        <f>Summary!N16</f>
        <v>---</v>
      </c>
      <c s="551" r="AA13"/>
      <c s="551" r="AB13"/>
      <c s="8" r="AC13"/>
      <c s="323" r="AD13"/>
    </row>
    <row r="14">
      <c s="822" r="A14"/>
      <c s="406" r="B14"/>
      <c s="886" r="C14"/>
      <c t="s" s="886" r="D14">
        <v>31</v>
      </c>
      <c s="886" r="E14"/>
      <c s="886" r="F14"/>
      <c s="886" r="G14"/>
      <c s="886" r="H14"/>
      <c s="886" r="I14"/>
      <c s="418" r="J14"/>
      <c s="702" r="K14"/>
      <c s="908" r="L14"/>
      <c t="s" s="812" r="M14">
        <v>32</v>
      </c>
      <c t="str" s="582" r="N14">
        <f>IF(ISBLANK(E36),"---",E36)</f>
        <v>---</v>
      </c>
      <c s="551" r="O14"/>
      <c s="551" r="P14"/>
      <c s="551" r="Q14"/>
      <c s="551" r="R14"/>
      <c s="671" r="S14"/>
      <c s="702" r="T14"/>
      <c s="908" r="U14"/>
      <c s="8" r="V14"/>
      <c s="8" r="W14"/>
      <c s="8" r="X14"/>
      <c t="s" s="8" r="Y14">
        <v>33</v>
      </c>
      <c t="str" s="472" r="Z14">
        <f>Summary!N20</f>
        <v>---</v>
      </c>
      <c s="551" r="AA14"/>
      <c s="551" r="AB14"/>
      <c s="8" r="AC14"/>
      <c s="323" r="AD14"/>
    </row>
    <row r="15">
      <c s="822" r="A15"/>
      <c s="406" r="B15"/>
      <c s="886" r="C15"/>
      <c s="886" r="D15"/>
      <c s="886" r="E15"/>
      <c s="886" r="F15"/>
      <c s="886" r="G15"/>
      <c s="886" r="H15"/>
      <c s="886" r="I15"/>
      <c s="418" r="J15"/>
      <c s="702" r="K15"/>
      <c s="908" r="L15"/>
      <c t="s" s="812" r="M15">
        <v>34</v>
      </c>
      <c t="str" s="717" r="N15">
        <f>IF(ISBLANK(D44),"---",D44)</f>
        <v>---</v>
      </c>
      <c s="551" r="O15"/>
      <c s="551" r="P15"/>
      <c s="551" r="Q15"/>
      <c s="551" r="R15"/>
      <c s="671" r="S15"/>
      <c s="702" r="T15"/>
      <c s="908" r="U15"/>
      <c s="8" r="V15"/>
      <c s="8" r="W15"/>
      <c s="8" r="X15"/>
      <c t="s" s="8" r="Y15">
        <v>35</v>
      </c>
      <c t="str" s="472" r="Z15">
        <f>Summary!N21</f>
        <v>---</v>
      </c>
      <c s="551" r="AA15"/>
      <c s="551" r="AB15"/>
      <c s="8" r="AC15"/>
      <c s="323" r="AD15"/>
    </row>
    <row r="16">
      <c s="822" r="A16"/>
      <c s="406" r="B16"/>
      <c s="886" r="C16"/>
      <c t="s" s="886" r="D16">
        <v>36</v>
      </c>
      <c s="886" r="E16"/>
      <c s="886" r="F16"/>
      <c s="886" r="G16"/>
      <c s="886" r="H16"/>
      <c s="886" r="I16"/>
      <c s="418" r="J16"/>
      <c s="702" r="K16"/>
      <c s="908" r="L16"/>
      <c t="s" s="812" r="M16">
        <v>37</v>
      </c>
      <c t="str" s="207" r="N16">
        <f>IF(ISBLANK(D46),"---",D46)</f>
        <v>---</v>
      </c>
      <c s="304" r="O16"/>
      <c s="304" r="P16"/>
      <c s="304" r="Q16"/>
      <c s="304" r="R16"/>
      <c s="671" r="S16"/>
      <c s="702" r="T16"/>
      <c s="908" r="U16"/>
      <c s="8" r="V16"/>
      <c s="8" r="W16"/>
      <c s="8" r="X16"/>
      <c t="s" s="8" r="Y16">
        <v>38</v>
      </c>
      <c t="str" s="472" r="Z16">
        <f>IF((J4=2),"SI","English")</f>
        <v>English</v>
      </c>
      <c s="551" r="AA16"/>
      <c s="551" r="AB16"/>
      <c s="8" r="AC16"/>
      <c s="323" r="AD16"/>
    </row>
    <row r="17">
      <c s="822" r="A17"/>
      <c s="406" r="B17"/>
      <c s="886" r="C17"/>
      <c s="886" r="D17"/>
      <c s="886" r="E17"/>
      <c s="886" r="F17"/>
      <c s="886" r="G17"/>
      <c s="886" r="H17"/>
      <c s="886" r="I17"/>
      <c s="418" r="J17"/>
      <c s="702" r="K17"/>
      <c s="908" r="L17"/>
      <c s="8" r="M17"/>
      <c s="207" r="N17"/>
      <c s="304" r="O17"/>
      <c s="304" r="P17"/>
      <c s="304" r="Q17"/>
      <c s="304" r="R17"/>
      <c s="671" r="S17"/>
      <c s="702" r="T17"/>
      <c s="20" r="U17"/>
      <c s="538" r="V17"/>
      <c s="538" r="W17"/>
      <c s="538" r="X17"/>
      <c t="s" s="538" r="Y17">
        <v>39</v>
      </c>
      <c t="str" s="545" r="Z17">
        <f>Summary!N22</f>
        <v>---</v>
      </c>
      <c s="414" r="AA17"/>
      <c s="414" r="AB17"/>
      <c s="538" r="AC17"/>
      <c s="167" r="AD17"/>
    </row>
    <row customHeight="1" r="18" ht="15.0">
      <c s="822" r="A18"/>
      <c s="406" r="B18"/>
      <c s="886" r="C18"/>
      <c s="886" r="D18"/>
      <c s="886" r="E18"/>
      <c s="886" r="F18"/>
      <c s="886" r="G18"/>
      <c s="886" r="H18"/>
      <c s="886" r="I18"/>
      <c s="418" r="J18"/>
      <c s="702" r="K18"/>
      <c s="908" r="L18"/>
      <c s="8" r="M18"/>
      <c s="207" r="N18"/>
      <c s="304" r="O18"/>
      <c s="304" r="P18"/>
      <c s="304" r="Q18"/>
      <c s="304" r="R18"/>
      <c s="671" r="S18"/>
      <c s="702" r="T18"/>
      <c t="s" s="646" r="U18">
        <v>40</v>
      </c>
      <c s="135" r="V18"/>
      <c s="135" r="W18"/>
      <c s="135" r="X18"/>
      <c s="135" r="Y18"/>
      <c s="740" r="Z18"/>
      <c s="112" r="AA18"/>
      <c s="442" r="AB18"/>
      <c s="338" r="AC18"/>
      <c s="442" r="AD18"/>
    </row>
    <row r="19">
      <c s="822" r="A19"/>
      <c s="406" r="B19"/>
      <c s="886" r="C19"/>
      <c s="886" r="D19"/>
      <c s="886" r="E19"/>
      <c s="886" r="F19"/>
      <c s="886" r="G19"/>
      <c s="886" r="H19"/>
      <c s="886" r="I19"/>
      <c s="418" r="J19"/>
      <c s="702" r="K19"/>
      <c s="908" r="L19"/>
      <c s="8" r="M19"/>
      <c s="207" r="N19"/>
      <c s="304" r="O19"/>
      <c s="304" r="P19"/>
      <c s="304" r="Q19"/>
      <c s="304" r="R19"/>
      <c s="671" r="S19"/>
      <c s="702" r="T19"/>
      <c s="738" r="U19"/>
      <c s="829" r="V19"/>
      <c s="829" r="W19"/>
      <c s="664" r="X19"/>
      <c t="s" s="520" r="Y19">
        <v>41</v>
      </c>
      <c t="str" s="281" r="Z19">
        <f>Materials!E67</f>
        <v>---</v>
      </c>
      <c s="51" r="AA19"/>
      <c s="125" r="AB19"/>
      <c s="761" r="AC19"/>
      <c s="125" r="AD19"/>
    </row>
    <row r="20">
      <c s="822" r="A20"/>
      <c s="406" r="B20"/>
      <c t="s" s="729" r="C20">
        <v>42</v>
      </c>
      <c s="566" r="D20"/>
      <c s="566" r="E20"/>
      <c s="566" r="F20"/>
      <c s="566" r="G20"/>
      <c s="566" r="H20"/>
      <c s="566" r="I20"/>
      <c s="836" r="J20"/>
      <c t="s" s="702" r="K20">
        <v>2</v>
      </c>
      <c s="908" r="L20"/>
      <c t="s" s="812" r="M20">
        <v>43</v>
      </c>
      <c t="str" s="582" r="N20">
        <f>IF(ISBLANK(E25),"---",E25)</f>
        <v>---</v>
      </c>
      <c s="551" r="O20"/>
      <c s="551" r="P20"/>
      <c s="551" r="Q20"/>
      <c s="551" r="R20"/>
      <c s="671" r="S20"/>
      <c s="702" r="T20"/>
      <c s="908" r="U20"/>
      <c s="551" r="V20"/>
      <c s="551" r="W20"/>
      <c s="551" r="X20"/>
      <c t="s" s="621" r="Y20">
        <v>44</v>
      </c>
      <c t="str" s="22" r="Z20">
        <f>Materials!E57</f>
        <v>---</v>
      </c>
      <c s="51" r="AA20"/>
      <c s="125" r="AB20"/>
      <c s="761" r="AC20"/>
      <c s="125" r="AD20"/>
    </row>
    <row r="21">
      <c s="822" r="A21"/>
      <c s="406" r="B21"/>
      <c s="756" r="C21"/>
      <c t="s" s="7" r="D21">
        <v>45</v>
      </c>
      <c s="827" r="E21"/>
      <c s="199" r="F21"/>
      <c s="199" r="G21"/>
      <c s="199" r="H21"/>
      <c s="868" r="I21"/>
      <c s="716" r="J21"/>
      <c s="702" r="K21"/>
      <c s="908" r="L21"/>
      <c t="str" s="812" r="M21">
        <f>IF((J4=2),"Drainage area (sq.km):","Drainage area (sq.mi.):")</f>
        <v>Drainage area (sq.mi.):</v>
      </c>
      <c t="str" s="582" r="N21">
        <f>IF(ISBLANK(E23),"---",E23)</f>
        <v>---</v>
      </c>
      <c s="551" r="O21"/>
      <c s="551" r="P21"/>
      <c s="551" r="Q21"/>
      <c s="551" r="R21"/>
      <c s="671" r="S21"/>
      <c s="702" r="T21"/>
      <c s="908" r="U21"/>
      <c s="551" r="V21"/>
      <c s="551" r="W21"/>
      <c s="551" r="X21"/>
      <c t="s" s="621" r="Y21">
        <v>46</v>
      </c>
      <c t="str" s="328" r="Z21">
        <f>Materials!E48</f>
        <v>---</v>
      </c>
      <c s="51" r="AA21"/>
      <c s="125" r="AB21"/>
      <c s="761" r="AC21"/>
      <c s="125" r="AD21"/>
    </row>
    <row r="22">
      <c s="822" r="A22"/>
      <c s="406" r="B22"/>
      <c s="886" r="C22"/>
      <c s="886" r="D22"/>
      <c s="127" r="E22"/>
      <c s="430" r="F22"/>
      <c s="430" r="G22"/>
      <c s="430" r="H22"/>
      <c s="430" r="I22"/>
      <c s="836" r="J22"/>
      <c s="702" r="K22"/>
      <c s="908" r="L22"/>
      <c t="s" s="390" r="M22">
        <v>39</v>
      </c>
      <c t="str" s="176" r="N22">
        <f>IF(ISBLANK(D51),"---",D51)</f>
        <v>---</v>
      </c>
      <c s="453" r="O22"/>
      <c s="453" r="P22"/>
      <c s="453" r="Q22"/>
      <c s="453" r="R22"/>
      <c s="671" r="S22"/>
      <c s="702" r="T22"/>
      <c s="908" r="U22"/>
      <c s="551" r="V22"/>
      <c s="551" r="W22"/>
      <c s="551" r="X22"/>
      <c t="s" s="8" r="Y22">
        <v>47</v>
      </c>
      <c t="str" s="328" r="Z22">
        <f>Materials!E49</f>
        <v>---</v>
      </c>
      <c s="51" r="AA22"/>
      <c s="125" r="AB22"/>
      <c s="761" r="AC22"/>
      <c s="125" r="AD22"/>
    </row>
    <row r="23">
      <c s="822" r="A23"/>
      <c s="406" r="B23"/>
      <c s="886" r="C23"/>
      <c t="str" s="836" r="D23">
        <f>IF((J4=2),"drainage area (sq.km):","drainage area (sq.mi.):")</f>
        <v>drainage area (sq.mi.):</v>
      </c>
      <c s="429" r="E23"/>
      <c s="406" r="F23"/>
      <c s="886" r="G23"/>
      <c s="886" r="H23"/>
      <c s="886" r="I23"/>
      <c s="418" r="J23"/>
      <c s="702" r="K23"/>
      <c s="908" r="L23"/>
      <c s="37" r="M23"/>
      <c s="176" r="N23"/>
      <c s="453" r="O23"/>
      <c s="453" r="P23"/>
      <c s="453" r="Q23"/>
      <c s="453" r="R23"/>
      <c s="671" r="S23"/>
      <c s="702" r="T23"/>
      <c s="908" r="U23"/>
      <c s="551" r="V23"/>
      <c s="551" r="W23"/>
      <c s="551" r="X23"/>
      <c t="s" s="8" r="Y23">
        <v>48</v>
      </c>
      <c t="str" s="328" r="Z23">
        <f>Materials!E50</f>
        <v>---</v>
      </c>
      <c s="51" r="AA23"/>
      <c s="125" r="AB23"/>
      <c s="761" r="AC23"/>
      <c s="125" r="AD23"/>
    </row>
    <row r="24">
      <c s="822" r="A24"/>
      <c s="406" r="B24"/>
      <c s="886" r="C24"/>
      <c s="886" r="D24"/>
      <c s="127" r="E24"/>
      <c s="886" r="F24"/>
      <c s="886" r="G24"/>
      <c s="886" r="H24"/>
      <c s="886" r="I24"/>
      <c s="418" r="J24"/>
      <c s="702" r="K24"/>
      <c s="908" r="L24"/>
      <c s="37" r="M24"/>
      <c s="176" r="N24"/>
      <c s="453" r="O24"/>
      <c s="453" r="P24"/>
      <c s="453" r="Q24"/>
      <c s="453" r="R24"/>
      <c s="671" r="S24"/>
      <c s="702" r="T24"/>
      <c s="908" r="U24"/>
      <c s="551" r="V24"/>
      <c s="551" r="W24"/>
      <c s="551" r="X24"/>
      <c t="s" s="8" r="Y24">
        <v>49</v>
      </c>
      <c t="str" s="328" r="Z24">
        <f>Materials!E51</f>
        <v>---</v>
      </c>
      <c s="51" r="AA24"/>
      <c s="125" r="AB24"/>
      <c s="761" r="AC24"/>
      <c s="125" r="AD24"/>
    </row>
    <row r="25">
      <c s="822" r="A25"/>
      <c s="406" r="B25"/>
      <c s="886" r="C25"/>
      <c t="s" s="836" r="D25">
        <v>33</v>
      </c>
      <c s="429" r="E25"/>
      <c s="406" r="F25"/>
      <c s="886" r="G25"/>
      <c s="886" r="H25"/>
      <c s="886" r="I25"/>
      <c s="418" r="J25"/>
      <c s="702" r="K25"/>
      <c s="908" r="L25"/>
      <c s="37" r="M25"/>
      <c s="176" r="N25"/>
      <c s="453" r="O25"/>
      <c s="453" r="P25"/>
      <c s="453" r="Q25"/>
      <c s="453" r="R25"/>
      <c s="671" r="S25"/>
      <c s="702" r="T25"/>
      <c s="908" r="U25"/>
      <c s="551" r="V25"/>
      <c s="551" r="W25"/>
      <c s="551" r="X25"/>
      <c t="s" s="8" r="Y25">
        <v>50</v>
      </c>
      <c t="str" s="328" r="Z25">
        <f>Materials!E52</f>
        <v>---</v>
      </c>
      <c s="51" r="AA25"/>
      <c s="125" r="AB25"/>
      <c s="761" r="AC25"/>
      <c s="125" r="AD25"/>
    </row>
    <row r="26">
      <c s="822" r="A26"/>
      <c s="406" r="B26"/>
      <c s="886" r="C26"/>
      <c s="886" r="D26"/>
      <c s="756" r="E26"/>
      <c s="886" r="F26"/>
      <c s="886" r="G26"/>
      <c s="886" r="H26"/>
      <c s="886" r="I26"/>
      <c s="418" r="J26"/>
      <c s="702" r="K26"/>
      <c s="908" r="L26"/>
      <c s="37" r="M26"/>
      <c s="176" r="N26"/>
      <c s="453" r="O26"/>
      <c s="453" r="P26"/>
      <c s="453" r="Q26"/>
      <c s="453" r="R26"/>
      <c s="671" r="S26"/>
      <c s="702" r="T26"/>
      <c s="908" r="U26"/>
      <c s="551" r="V26"/>
      <c s="551" r="W26"/>
      <c s="551" r="X26"/>
      <c t="s" s="8" r="Y26">
        <v>51</v>
      </c>
      <c t="str" s="328" r="Z26">
        <f>Materials!E53</f>
        <v>---</v>
      </c>
      <c s="51" r="AA26"/>
      <c s="125" r="AB26"/>
      <c s="761" r="AC26"/>
      <c s="125" r="AD26"/>
    </row>
    <row r="27">
      <c s="822" r="A27"/>
      <c s="406" r="B27"/>
      <c t="s" s="729" r="C27">
        <v>52</v>
      </c>
      <c s="566" r="D27"/>
      <c s="566" r="E27"/>
      <c s="566" r="F27"/>
      <c s="566" r="G27"/>
      <c s="566" r="H27"/>
      <c s="566" r="I27"/>
      <c s="418" r="J27"/>
      <c s="702" r="K27"/>
      <c s="20" r="L27"/>
      <c s="298" r="M27"/>
      <c s="489" r="N27"/>
      <c s="455" r="O27"/>
      <c s="455" r="P27"/>
      <c s="455" r="Q27"/>
      <c s="455" r="R27"/>
      <c s="397" r="S27"/>
      <c s="702" r="T27"/>
      <c s="908" r="U27"/>
      <c s="551" r="V27"/>
      <c s="551" r="W27"/>
      <c s="551" r="X27"/>
      <c t="s" s="8" r="Y27">
        <v>53</v>
      </c>
      <c t="str" s="224" r="Z27">
        <f>Materials!E54</f>
        <v>---</v>
      </c>
      <c s="51" r="AA27"/>
      <c s="125" r="AB27"/>
      <c s="761" r="AC27"/>
      <c s="125" r="AD27"/>
    </row>
    <row r="28">
      <c s="822" r="A28"/>
      <c s="406" r="B28"/>
      <c s="756" r="C28"/>
      <c t="s" s="731" r="D28">
        <v>16</v>
      </c>
      <c s="827" r="E28"/>
      <c s="199" r="F28"/>
      <c s="199" r="G28"/>
      <c s="199" r="H28"/>
      <c s="868" r="I28"/>
      <c s="734" r="J28"/>
      <c s="702" r="K28"/>
      <c t="s" s="720" r="L28">
        <v>54</v>
      </c>
      <c s="467" r="M28"/>
      <c s="467" r="N28"/>
      <c s="467" r="O28"/>
      <c t="str" s="572" r="P28">
        <f>Dimension!G86</f>
        <v>bankfull channel</v>
      </c>
      <c s="467" r="Q28"/>
      <c s="467" r="R28"/>
      <c s="494" r="S28"/>
      <c s="702" r="T28"/>
      <c s="908" r="U28"/>
      <c s="551" r="V28"/>
      <c s="551" r="W28"/>
      <c s="551" r="X28"/>
      <c t="s" s="8" r="Y28">
        <v>55</v>
      </c>
      <c t="str" s="224" r="Z28">
        <f>Materials!E55</f>
        <v>---</v>
      </c>
      <c s="51" r="AA28"/>
      <c s="125" r="AB28"/>
      <c s="761" r="AC28"/>
      <c s="125" r="AD28"/>
    </row>
    <row customHeight="1" r="29" ht="13.5">
      <c s="822" r="A29"/>
      <c s="406" r="B29"/>
      <c s="886" r="C29"/>
      <c s="886" r="D29"/>
      <c s="127" r="E29"/>
      <c s="127" r="F29"/>
      <c s="127" r="G29"/>
      <c s="127" r="H29"/>
      <c s="127" r="I29"/>
      <c s="418" r="J29"/>
      <c s="702" r="K29"/>
      <c s="465" r="L29"/>
      <c s="310" r="M29"/>
      <c s="480" r="N29"/>
      <c t="str" s="209" r="O29">
        <f>Dimension!F87</f>
        <v>typical</v>
      </c>
      <c t="str" s="53" r="P29">
        <f>Dimension!G87</f>
        <v>min</v>
      </c>
      <c t="str" s="209" r="Q29">
        <f>Dimension!H87</f>
        <v>max</v>
      </c>
      <c s="209" r="R29"/>
      <c s="14" r="S29"/>
      <c s="702" r="T29"/>
      <c s="908" r="U29"/>
      <c s="551" r="V29"/>
      <c s="551" r="W29"/>
      <c s="551" r="X29"/>
      <c t="s" s="8" r="Y29">
        <v>56</v>
      </c>
      <c t="str" s="215" r="Z29">
        <f>Materials!E56</f>
        <v>---</v>
      </c>
      <c s="51" r="AA29"/>
      <c s="125" r="AB29"/>
      <c s="761" r="AC29"/>
      <c s="125" r="AD29"/>
    </row>
    <row r="30">
      <c s="822" r="A30"/>
      <c s="406" r="B30"/>
      <c s="886" r="C30"/>
      <c t="s" s="836" r="D30">
        <v>19</v>
      </c>
      <c s="705" r="E30"/>
      <c s="160" r="F30"/>
      <c s="160" r="G30"/>
      <c s="160" r="H30"/>
      <c s="106" r="I30"/>
      <c s="734" r="J30"/>
      <c s="702" r="K30"/>
      <c t="s" s="738" r="L30">
        <v>57</v>
      </c>
      <c s="664" r="M30"/>
      <c t="str" s="94" r="N30">
        <f>"width flood prone area "&amp;IF((J4=2),"(m)","(ft)")</f>
        <v>width flood prone area (ft)</v>
      </c>
      <c t="str" s="527" r="O30">
        <f>Dimension!F88</f>
        <v>---</v>
      </c>
      <c t="str" s="148" r="P30">
        <f>Dimension!G88</f>
        <v>---</v>
      </c>
      <c t="str" s="544" r="Q30">
        <f>Dimension!H88</f>
        <v>---</v>
      </c>
      <c s="544" r="R30"/>
      <c s="346" r="S30"/>
      <c s="702" r="T30"/>
      <c s="908" r="U30"/>
      <c s="551" r="V30"/>
      <c s="551" r="W30"/>
      <c s="551" r="X30"/>
      <c t="s" s="8" r="Y30">
        <v>58</v>
      </c>
      <c t="str" s="540" r="Z30">
        <f>Materials!E58</f>
        <v>---</v>
      </c>
      <c s="51" r="AA30"/>
      <c s="125" r="AB30"/>
      <c s="761" r="AC30"/>
      <c s="125" r="AD30"/>
    </row>
    <row r="31">
      <c s="822" r="A31"/>
      <c s="406" r="B31"/>
      <c s="886" r="C31"/>
      <c s="886" r="D31"/>
      <c s="705" r="E31"/>
      <c s="160" r="F31"/>
      <c s="160" r="G31"/>
      <c s="160" r="H31"/>
      <c s="106" r="I31"/>
      <c s="734" r="J31"/>
      <c s="702" r="K31"/>
      <c s="56" r="L31"/>
      <c s="673" r="M31"/>
      <c t="str" s="369" r="N31">
        <f>"low bank height "&amp;IF((J4=2),"(m)","(ft)")</f>
        <v>low bank height (ft)</v>
      </c>
      <c t="str" s="833" r="O31">
        <f>Dimension!F89</f>
        <v>---</v>
      </c>
      <c t="str" s="445" r="P31">
        <f>Dimension!G89</f>
        <v>---</v>
      </c>
      <c t="str" s="347" r="Q31">
        <f>Dimension!H89</f>
        <v>---</v>
      </c>
      <c s="347" r="R31"/>
      <c s="629" r="S31"/>
      <c s="702" r="T31"/>
      <c s="908" r="U31"/>
      <c s="551" r="V31"/>
      <c s="551" r="W31"/>
      <c s="551" r="X31"/>
      <c t="s" s="8" r="Y31">
        <v>59</v>
      </c>
      <c t="str" s="540" r="Z31">
        <f>Materials!E59</f>
        <v>---</v>
      </c>
      <c s="51" r="AA31"/>
      <c s="125" r="AB31"/>
      <c s="761" r="AC31"/>
      <c s="125" r="AD31"/>
    </row>
    <row r="32">
      <c s="822" r="A32"/>
      <c s="406" r="B32"/>
      <c s="886" r="C32"/>
      <c s="886" r="D32"/>
      <c s="705" r="E32"/>
      <c s="160" r="F32"/>
      <c s="160" r="G32"/>
      <c s="160" r="H32"/>
      <c s="106" r="I32"/>
      <c s="734" r="J32"/>
      <c s="702" r="K32"/>
      <c t="s" s="678" r="L32">
        <v>60</v>
      </c>
      <c s="402" r="M32"/>
      <c t="str" s="129" r="N32">
        <f>"x-area bankfull  "&amp;IF((J4=2),"(sq.m.)","(sq.ft.)")</f>
        <v>x-area bankfull  (sq.ft.)</v>
      </c>
      <c t="str" s="242" r="O32">
        <f>Dimension!F90</f>
        <v>---</v>
      </c>
      <c t="str" s="668" r="P32">
        <f>Dimension!G90</f>
        <v>---</v>
      </c>
      <c t="str" s="366" r="Q32">
        <f>Dimension!H90</f>
        <v>---</v>
      </c>
      <c s="366" r="R32"/>
      <c s="456" r="S32"/>
      <c s="702" r="T32"/>
      <c s="908" r="U32"/>
      <c s="551" r="V32"/>
      <c s="551" r="W32"/>
      <c s="551" r="X32"/>
      <c t="s" s="8" r="Y32">
        <v>61</v>
      </c>
      <c t="str" s="540" r="Z32">
        <f>Materials!E60</f>
        <v>---</v>
      </c>
      <c s="51" r="AA32"/>
      <c s="125" r="AB32"/>
      <c s="761" r="AC32"/>
      <c s="125" r="AD32"/>
    </row>
    <row r="33">
      <c s="822" r="A33"/>
      <c s="406" r="B33"/>
      <c s="886" r="C33"/>
      <c s="886" r="D33"/>
      <c s="127" r="E33"/>
      <c s="127" r="F33"/>
      <c s="756" r="G33"/>
      <c s="756" r="H33"/>
      <c s="756" r="I33"/>
      <c s="418" r="J33"/>
      <c s="702" r="K33"/>
      <c s="908" r="L33"/>
      <c s="551" r="M33"/>
      <c t="str" s="812" r="N33">
        <f>"width bankfull "&amp;IF((J4=2),"(m)","(ft)")</f>
        <v>width bankfull (ft)</v>
      </c>
      <c t="str" s="719" r="O33">
        <f>Dimension!F91</f>
        <v>---</v>
      </c>
      <c t="str" s="692" r="P33">
        <f>Dimension!G91</f>
        <v>---</v>
      </c>
      <c t="str" s="286" r="Q33">
        <f>Dimension!H91</f>
        <v>---</v>
      </c>
      <c s="286" r="R33"/>
      <c s="224" r="S33"/>
      <c s="702" r="T33"/>
      <c s="908" r="U33"/>
      <c s="551" r="V33"/>
      <c s="551" r="W33"/>
      <c s="551" r="X33"/>
      <c t="s" s="8" r="Y33">
        <v>62</v>
      </c>
      <c t="str" s="540" r="Z33">
        <f>Materials!E61</f>
        <v>---</v>
      </c>
      <c s="51" r="AA33"/>
      <c s="125" r="AB33"/>
      <c s="761" r="AC33"/>
      <c s="125" r="AD33"/>
    </row>
    <row r="34">
      <c s="822" r="A34"/>
      <c s="406" r="B34"/>
      <c s="886" r="C34"/>
      <c t="s" s="836" r="D34">
        <v>63</v>
      </c>
      <c s="827" r="E34"/>
      <c s="868" r="F34"/>
      <c s="666" r="G34"/>
      <c s="679" r="H34"/>
      <c s="679" r="I34"/>
      <c s="418" r="J34"/>
      <c s="702" r="K34"/>
      <c s="908" r="L34"/>
      <c s="551" r="M34"/>
      <c t="str" s="812" r="N34">
        <f>"mean depth "&amp;IF((J4=2),"(m)","(ft)")</f>
        <v>mean depth (ft)</v>
      </c>
      <c t="str" s="128" r="O34">
        <f>Dimension!F92</f>
        <v>---</v>
      </c>
      <c t="str" s="692" r="P34">
        <f>Dimension!G92</f>
        <v>---</v>
      </c>
      <c t="str" s="286" r="Q34">
        <f>Dimension!H92</f>
        <v>---</v>
      </c>
      <c s="52" r="R34"/>
      <c s="328" r="S34"/>
      <c s="702" r="T34"/>
      <c s="908" r="U34"/>
      <c s="551" r="V34"/>
      <c s="551" r="W34"/>
      <c s="551" r="X34"/>
      <c t="s" s="8" r="Y34">
        <v>64</v>
      </c>
      <c t="str" s="540" r="Z34">
        <f>Materials!E62</f>
        <v>---</v>
      </c>
      <c s="51" r="AA34"/>
      <c s="125" r="AB34"/>
      <c s="761" r="AC34"/>
      <c s="125" r="AD34"/>
    </row>
    <row r="35">
      <c s="822" r="A35"/>
      <c s="406" r="B35"/>
      <c s="886" r="C35"/>
      <c s="886" r="D35"/>
      <c s="127" r="E35"/>
      <c s="127" r="F35"/>
      <c s="588" r="G35"/>
      <c s="588" r="H35"/>
      <c s="588" r="I35"/>
      <c s="418" r="J35"/>
      <c s="702" r="K35"/>
      <c s="908" r="L35"/>
      <c s="551" r="M35"/>
      <c t="str" s="812" r="N35">
        <f>"max depth "&amp;IF((J4=2),"(m)","(ft)")</f>
        <v>max depth (ft)</v>
      </c>
      <c t="str" s="719" r="O35">
        <f>Dimension!F93</f>
        <v>---</v>
      </c>
      <c t="str" s="692" r="P35">
        <f>Dimension!G93</f>
        <v>---</v>
      </c>
      <c t="str" s="286" r="Q35">
        <f>Dimension!H93</f>
        <v>---</v>
      </c>
      <c s="286" r="R35"/>
      <c s="224" r="S35"/>
      <c s="702" r="T35"/>
      <c s="908" r="U35"/>
      <c s="551" r="V35"/>
      <c s="551" r="W35"/>
      <c s="551" r="X35"/>
      <c t="s" s="8" r="Y35">
        <v>65</v>
      </c>
      <c t="str" s="540" r="Z35">
        <f>Materials!E63</f>
        <v>---</v>
      </c>
      <c s="51" r="AA35"/>
      <c s="125" r="AB35"/>
      <c s="761" r="AC35"/>
      <c s="125" r="AD35"/>
    </row>
    <row r="36">
      <c s="822" r="A36"/>
      <c s="406" r="B36"/>
      <c s="886" r="C36"/>
      <c t="s" s="836" r="D36">
        <v>25</v>
      </c>
      <c s="827" r="E36"/>
      <c s="868" r="F36"/>
      <c s="309" r="G36"/>
      <c s="861" r="H36"/>
      <c s="861" r="I36"/>
      <c s="418" r="J36"/>
      <c s="702" r="K36"/>
      <c s="56" r="L36"/>
      <c s="673" r="M36"/>
      <c t="str" s="369" r="N36">
        <f>"hydraulic radius "&amp;IF((J4=2),"(m)","(ft)")</f>
        <v>hydraulic radius (ft)</v>
      </c>
      <c t="str" s="833" r="O36">
        <f>Dimension!F94</f>
        <v>---</v>
      </c>
      <c s="445" r="P36"/>
      <c s="347" r="Q36"/>
      <c s="347" r="R36"/>
      <c s="629" r="S36"/>
      <c s="702" r="T36"/>
      <c s="908" r="U36"/>
      <c s="551" r="V36"/>
      <c s="551" r="W36"/>
      <c s="551" r="X36"/>
      <c t="s" s="8" r="Y36">
        <v>66</v>
      </c>
      <c t="str" s="540" r="Z36">
        <f>Materials!E64</f>
        <v>---</v>
      </c>
      <c s="51" r="AA36"/>
      <c s="125" r="AB36"/>
      <c s="761" r="AC36"/>
      <c s="125" r="AD36"/>
    </row>
    <row r="37">
      <c s="822" r="A37"/>
      <c s="406" r="B37"/>
      <c s="886" r="C37"/>
      <c s="886" r="D37"/>
      <c s="756" r="E37"/>
      <c s="756" r="F37"/>
      <c s="588" r="G37"/>
      <c s="861" r="H37"/>
      <c s="861" r="I37"/>
      <c s="418" r="J37"/>
      <c s="702" r="K37"/>
      <c t="s" s="678" r="L37">
        <v>67</v>
      </c>
      <c s="402" r="M37"/>
      <c t="str" s="129" r="N37">
        <f>"x-area pool "&amp;IF((J4=2),"(sq.m.)","(sq.ft.)")</f>
        <v>x-area pool (sq.ft.)</v>
      </c>
      <c t="str" s="242" r="O37">
        <f>Dimension!F95</f>
        <v>---</v>
      </c>
      <c t="str" s="668" r="P37">
        <f>Dimension!G95</f>
        <v>---</v>
      </c>
      <c t="str" s="366" r="Q37">
        <f>Dimension!H95</f>
        <v>---</v>
      </c>
      <c s="366" r="R37"/>
      <c s="456" r="S37"/>
      <c s="702" r="T37"/>
      <c s="908" r="U37"/>
      <c s="551" r="V37"/>
      <c s="551" r="W37"/>
      <c s="551" r="X37"/>
      <c t="s" s="8" r="Y37">
        <v>68</v>
      </c>
      <c t="str" s="540" r="Z37">
        <f>Materials!E65</f>
        <v>---</v>
      </c>
      <c s="51" r="AA37"/>
      <c s="125" r="AB37"/>
      <c s="761" r="AC37"/>
      <c s="125" r="AD37"/>
    </row>
    <row r="38">
      <c s="822" r="A38"/>
      <c s="406" r="B38"/>
      <c s="886" r="C38"/>
      <c s="482" r="D38"/>
      <c t="s" s="529" r="E38">
        <v>69</v>
      </c>
      <c t="s" s="529" r="F38">
        <v>70</v>
      </c>
      <c t="s" s="529" r="G38">
        <v>71</v>
      </c>
      <c s="861" r="H38"/>
      <c s="861" r="I38"/>
      <c s="418" r="J38"/>
      <c s="702" r="K38"/>
      <c s="908" r="L38"/>
      <c s="551" r="M38"/>
      <c t="str" s="812" r="N38">
        <f>"width pool "&amp;IF((J4=2),"(m)","(ft)")</f>
        <v>width pool (ft)</v>
      </c>
      <c t="str" s="719" r="O38">
        <f>Dimension!F96</f>
        <v>---</v>
      </c>
      <c t="str" s="692" r="P38">
        <f>Dimension!G96</f>
        <v>---</v>
      </c>
      <c t="str" s="286" r="Q38">
        <f>Dimension!H96</f>
        <v>---</v>
      </c>
      <c s="286" r="R38"/>
      <c s="224" r="S38"/>
      <c s="702" r="T38"/>
      <c s="908" r="U38"/>
      <c s="551" r="V38"/>
      <c s="551" r="W38"/>
      <c s="551" r="X38"/>
      <c t="s" s="8" r="Y38">
        <v>72</v>
      </c>
      <c t="str" s="540" r="Z38">
        <f>Materials!E66</f>
        <v>---</v>
      </c>
      <c s="51" r="AA38"/>
      <c s="125" r="AB38"/>
      <c s="761" r="AC38"/>
      <c s="125" r="AD38"/>
    </row>
    <row r="39">
      <c s="822" r="A39"/>
      <c s="406" r="B39"/>
      <c s="886" r="C39"/>
      <c t="s" s="836" r="D39">
        <v>20</v>
      </c>
      <c s="458" r="E39"/>
      <c s="458" r="F39"/>
      <c s="458" r="G39"/>
      <c t="str" s="596" r="H39">
        <f>IF(AND(ISBLANK(F39),ISBLANK(G39)),"",((((G39/60)+F39)/60)+E39))</f>
        <v/>
      </c>
      <c s="861" r="I39"/>
      <c s="418" r="J39"/>
      <c s="702" r="K39"/>
      <c s="908" r="L39"/>
      <c s="551" r="M39"/>
      <c t="str" s="812" r="N39">
        <f>"max depth pool "&amp;IF((J4=2),"(m)","(ft)")</f>
        <v>max depth pool (ft)</v>
      </c>
      <c t="str" s="719" r="O39">
        <f>Dimension!F97</f>
        <v>---</v>
      </c>
      <c t="str" s="692" r="P39">
        <f>Dimension!G97</f>
        <v>---</v>
      </c>
      <c t="str" s="286" r="Q39">
        <f>Dimension!H97</f>
        <v>---</v>
      </c>
      <c s="286" r="R39"/>
      <c s="224" r="S39"/>
      <c s="702" r="T39"/>
      <c s="908" r="U39"/>
      <c s="551" r="V39"/>
      <c s="551" r="W39"/>
      <c s="551" r="X39"/>
      <c t="s" s="621" r="Y39">
        <v>73</v>
      </c>
      <c t="str" s="328" r="Z39">
        <f>Materials!F48</f>
        <v>---</v>
      </c>
      <c s="51" r="AA39"/>
      <c s="125" r="AB39"/>
      <c s="761" r="AC39"/>
      <c s="125" r="AD39"/>
    </row>
    <row r="40">
      <c s="822" r="A40"/>
      <c s="406" r="B40"/>
      <c s="886" r="C40"/>
      <c t="s" s="836" r="D40">
        <v>22</v>
      </c>
      <c s="458" r="E40"/>
      <c s="458" r="F40"/>
      <c s="458" r="G40"/>
      <c t="str" s="596" r="H40">
        <f>IF(AND(ISBLANK(F40),ISBLANK(G40)),"",((((G40/60)+F40)/60)+E40))</f>
        <v/>
      </c>
      <c s="861" r="I40"/>
      <c s="418" r="J40"/>
      <c s="702" r="K40"/>
      <c s="56" r="L40"/>
      <c s="673" r="M40"/>
      <c t="str" s="369" r="N40">
        <f>"hydraulic radius "&amp;IF((J4=2),"(m)","(ft)")</f>
        <v>hydraulic radius (ft)</v>
      </c>
      <c t="str" s="350" r="O40">
        <f>Dimension!F98</f>
        <v>---</v>
      </c>
      <c s="606" r="P40"/>
      <c s="542" r="Q40"/>
      <c s="542" r="R40"/>
      <c s="601" r="S40"/>
      <c s="702" r="T40"/>
      <c s="908" r="U40"/>
      <c s="551" r="V40"/>
      <c s="551" r="W40"/>
      <c s="551" r="X40"/>
      <c t="s" s="8" r="Y40">
        <v>74</v>
      </c>
      <c t="str" s="328" r="Z40">
        <f>Materials!F49</f>
        <v>---</v>
      </c>
      <c s="51" r="AA40"/>
      <c s="125" r="AB40"/>
      <c s="761" r="AC40"/>
      <c s="125" r="AD40"/>
    </row>
    <row r="41">
      <c s="822" r="A41"/>
      <c s="406" r="B41"/>
      <c s="886" r="C41"/>
      <c s="886" r="D41"/>
      <c s="756" r="E41"/>
      <c s="134" r="F41"/>
      <c s="134" r="G41"/>
      <c s="861" r="H41"/>
      <c s="588" r="I41"/>
      <c s="418" r="J41"/>
      <c s="702" r="K41"/>
      <c t="str" s="887" r="L41">
        <f>Dimension!B99</f>
        <v>dimensionless ratios:</v>
      </c>
      <c s="29" r="M41"/>
      <c s="29" r="N41"/>
      <c t="s" s="202" r="O41">
        <v>75</v>
      </c>
      <c t="s" s="370" r="P41">
        <v>76</v>
      </c>
      <c t="s" s="264" r="Q41">
        <v>77</v>
      </c>
      <c s="264" r="R41"/>
      <c s="422" r="S41"/>
      <c s="702" r="T41"/>
      <c s="908" r="U41"/>
      <c s="551" r="V41"/>
      <c s="551" r="W41"/>
      <c s="551" r="X41"/>
      <c t="s" s="8" r="Y41">
        <v>78</v>
      </c>
      <c t="str" s="328" r="Z41">
        <f>Materials!F50</f>
        <v>---</v>
      </c>
      <c s="51" r="AA41"/>
      <c s="125" r="AB41"/>
      <c s="761" r="AC41"/>
      <c s="125" r="AD41"/>
    </row>
    <row r="42">
      <c s="822" r="A42"/>
      <c s="406" r="B42"/>
      <c s="886" r="C42"/>
      <c s="886" r="D42"/>
      <c s="849" r="E42"/>
      <c s="886" r="F42"/>
      <c s="588" r="G42"/>
      <c s="861" r="H42"/>
      <c s="588" r="I42"/>
      <c s="418" r="J42"/>
      <c s="702" r="K42"/>
      <c s="178" r="L42"/>
      <c s="640" r="M42"/>
      <c t="s" s="727" r="N42">
        <v>79</v>
      </c>
      <c t="str" s="126" r="O42">
        <f>Dimension!F100</f>
        <v>---</v>
      </c>
      <c t="str" s="55" r="P42">
        <f>Dimension!G100</f>
        <v>---</v>
      </c>
      <c t="str" s="485" r="Q42">
        <f>Dimension!H100</f>
        <v>---</v>
      </c>
      <c s="485" r="R42"/>
      <c s="564" r="S42"/>
      <c s="702" r="T42"/>
      <c s="908" r="U42"/>
      <c s="551" r="V42"/>
      <c s="551" r="W42"/>
      <c s="551" r="X42"/>
      <c t="s" s="8" r="Y42">
        <v>80</v>
      </c>
      <c t="str" s="328" r="Z42">
        <f>Materials!F51</f>
        <v>---</v>
      </c>
      <c s="51" r="AA42"/>
      <c s="125" r="AB42"/>
      <c s="761" r="AC42"/>
      <c s="125" r="AD42"/>
    </row>
    <row r="43">
      <c s="822" r="A43"/>
      <c s="406" r="B43"/>
      <c t="s" s="729" r="C43">
        <v>81</v>
      </c>
      <c s="566" r="D43"/>
      <c s="566" r="E43"/>
      <c s="566" r="F43"/>
      <c s="566" r="G43"/>
      <c s="566" r="H43"/>
      <c s="588" r="I43"/>
      <c s="418" r="J43"/>
      <c s="702" r="K43"/>
      <c s="908" r="L43"/>
      <c s="551" r="M43"/>
      <c t="s" s="812" r="N43">
        <v>82</v>
      </c>
      <c t="str" s="719" r="O43">
        <f>Dimension!F101</f>
        <v>---</v>
      </c>
      <c t="str" s="692" r="P43">
        <f>Dimension!G101</f>
        <v>---</v>
      </c>
      <c t="str" s="286" r="Q43">
        <f>Dimension!H101</f>
        <v>---</v>
      </c>
      <c s="744" r="R43"/>
      <c s="866" r="S43"/>
      <c s="702" r="T43"/>
      <c s="908" r="U43"/>
      <c s="551" r="V43"/>
      <c s="551" r="W43"/>
      <c s="551" r="X43"/>
      <c t="s" s="8" r="Y43">
        <v>83</v>
      </c>
      <c t="str" s="328" r="Z43">
        <f>Materials!F52</f>
        <v>---</v>
      </c>
      <c s="51" r="AA43"/>
      <c s="125" r="AB43"/>
      <c s="761" r="AC43"/>
      <c s="125" r="AD43"/>
    </row>
    <row r="44">
      <c s="822" r="A44"/>
      <c s="406" r="B44"/>
      <c t="s" s="7" r="C44">
        <v>27</v>
      </c>
      <c s="653" r="D44"/>
      <c s="412" r="E44"/>
      <c s="412" r="F44"/>
      <c s="412" r="G44"/>
      <c s="834" r="H44"/>
      <c s="363" r="I44"/>
      <c s="441" r="J44"/>
      <c s="702" r="K44"/>
      <c s="908" r="L44"/>
      <c s="551" r="M44"/>
      <c t="s" s="812" r="N44">
        <v>84</v>
      </c>
      <c t="str" s="719" r="O44">
        <f>Dimension!F103</f>
        <v>---</v>
      </c>
      <c t="str" s="692" r="P44">
        <f>Dimension!G103</f>
        <v>---</v>
      </c>
      <c t="str" s="286" r="Q44">
        <f>Dimension!H103</f>
        <v>---</v>
      </c>
      <c s="286" r="R44"/>
      <c s="224" r="S44"/>
      <c s="702" r="T44"/>
      <c s="908" r="U44"/>
      <c s="551" r="V44"/>
      <c s="551" r="W44"/>
      <c s="551" r="X44"/>
      <c t="s" s="8" r="Y44">
        <v>85</v>
      </c>
      <c t="str" s="328" r="Z44">
        <f>Materials!F53</f>
        <v>---</v>
      </c>
      <c s="51" r="AA44"/>
      <c s="125" r="AB44"/>
      <c s="761" r="AC44"/>
      <c s="125" r="AD44"/>
    </row>
    <row r="45">
      <c s="822" r="A45"/>
      <c s="406" r="B45"/>
      <c s="886" r="C45"/>
      <c s="127" r="D45"/>
      <c s="127" r="E45"/>
      <c s="127" r="F45"/>
      <c s="127" r="G45"/>
      <c s="127" r="H45"/>
      <c s="886" r="I45"/>
      <c s="418" r="J45"/>
      <c s="702" r="K45"/>
      <c s="56" r="L45"/>
      <c s="673" r="M45"/>
      <c t="s" s="369" r="N45">
        <v>86</v>
      </c>
      <c t="str" s="833" r="O45">
        <f>Dimension!F102</f>
        <v>---</v>
      </c>
      <c t="str" s="445" r="P45">
        <f>Dimension!G102</f>
        <v>---</v>
      </c>
      <c t="str" s="347" r="Q45">
        <f>Dimension!H102</f>
        <v>---</v>
      </c>
      <c s="562" r="R45"/>
      <c s="580" r="S45"/>
      <c s="702" r="T45"/>
      <c s="908" r="U45"/>
      <c s="551" r="V45"/>
      <c s="551" r="W45"/>
      <c s="551" r="X45"/>
      <c t="s" s="8" r="Y45">
        <v>87</v>
      </c>
      <c t="str" s="540" r="Z45">
        <f>Materials!F58</f>
        <v>---</v>
      </c>
      <c s="51" r="AA45"/>
      <c s="125" r="AB45"/>
      <c s="761" r="AC45"/>
      <c s="125" r="AD45"/>
    </row>
    <row r="46">
      <c s="822" r="A46"/>
      <c s="406" r="B46"/>
      <c t="s" s="836" r="C46">
        <v>30</v>
      </c>
      <c s="705" r="D46"/>
      <c s="160" r="E46"/>
      <c s="160" r="F46"/>
      <c s="160" r="G46"/>
      <c s="106" r="H46"/>
      <c s="363" r="I46"/>
      <c s="441" r="J46"/>
      <c s="702" r="K46"/>
      <c s="678" r="L46"/>
      <c s="402" r="M46"/>
      <c t="s" s="129" r="N46">
        <v>88</v>
      </c>
      <c t="str" s="242" r="O46">
        <f>Dimension!F104</f>
        <v>---</v>
      </c>
      <c t="str" s="668" r="P46">
        <f>Dimension!G104</f>
        <v>---</v>
      </c>
      <c t="str" s="366" r="Q46">
        <f>Dimension!H104</f>
        <v>---</v>
      </c>
      <c s="366" r="R46"/>
      <c s="456" r="S46"/>
      <c s="702" r="T46"/>
      <c s="908" r="U46"/>
      <c s="551" r="V46"/>
      <c s="551" r="W46"/>
      <c s="551" r="X46"/>
      <c t="s" s="8" r="Y46">
        <v>89</v>
      </c>
      <c t="str" s="540" r="Z46">
        <f>Materials!F59</f>
        <v>---</v>
      </c>
      <c s="51" r="AA46"/>
      <c s="125" r="AB46"/>
      <c s="761" r="AC46"/>
      <c s="125" r="AD46"/>
    </row>
    <row r="47">
      <c s="822" r="A47"/>
      <c s="406" r="B47"/>
      <c s="482" r="C47"/>
      <c s="705" r="D47"/>
      <c s="160" r="E47"/>
      <c s="160" r="F47"/>
      <c s="160" r="G47"/>
      <c s="106" r="H47"/>
      <c s="309" r="I47"/>
      <c s="823" r="J47"/>
      <c s="702" r="K47"/>
      <c s="908" r="L47"/>
      <c s="551" r="M47"/>
      <c t="s" s="812" r="N47">
        <v>90</v>
      </c>
      <c t="str" s="719" r="O47">
        <f>Dimension!F105</f>
        <v>---</v>
      </c>
      <c t="str" s="692" r="P47">
        <f>Dimension!G105</f>
        <v>---</v>
      </c>
      <c t="str" s="286" r="Q47">
        <f>Dimension!H105</f>
        <v>---</v>
      </c>
      <c s="286" r="R47"/>
      <c s="224" r="S47"/>
      <c s="702" r="T47"/>
      <c s="908" r="U47"/>
      <c s="551" r="V47"/>
      <c s="551" r="W47"/>
      <c s="551" r="X47"/>
      <c t="s" s="8" r="Y47">
        <v>91</v>
      </c>
      <c t="str" s="540" r="Z47">
        <f>Materials!F60</f>
        <v>---</v>
      </c>
      <c s="51" r="AA47"/>
      <c s="125" r="AB47"/>
      <c s="761" r="AC47"/>
      <c s="125" r="AD47"/>
    </row>
    <row r="48">
      <c s="822" r="A48"/>
      <c s="406" r="B48"/>
      <c s="482" r="C48"/>
      <c s="705" r="D48"/>
      <c s="160" r="E48"/>
      <c s="160" r="F48"/>
      <c s="160" r="G48"/>
      <c s="106" r="H48"/>
      <c s="406" r="I48"/>
      <c s="418" r="J48"/>
      <c s="702" r="K48"/>
      <c s="20" r="L48"/>
      <c s="414" r="M48"/>
      <c t="s" s="393" r="N48">
        <v>92</v>
      </c>
      <c t="str" s="350" r="O48">
        <f>Dimension!F106</f>
        <v>---</v>
      </c>
      <c t="str" s="169" r="P48">
        <f>Dimension!G106</f>
        <v>---</v>
      </c>
      <c t="str" s="893" r="Q48">
        <f>Dimension!H106</f>
        <v>---</v>
      </c>
      <c s="893" r="R48"/>
      <c s="509" r="S48"/>
      <c s="702" r="T48"/>
      <c s="908" r="U48"/>
      <c s="551" r="V48"/>
      <c s="551" r="W48"/>
      <c s="551" r="X48"/>
      <c t="s" s="8" r="Y48">
        <v>93</v>
      </c>
      <c t="str" s="540" r="Z48">
        <f>Materials!F61</f>
        <v>---</v>
      </c>
      <c s="51" r="AA48"/>
      <c s="125" r="AB48"/>
      <c s="761" r="AC48"/>
      <c s="125" r="AD48"/>
    </row>
    <row r="49">
      <c s="822" r="A49"/>
      <c s="406" r="B49"/>
      <c s="482" r="C49"/>
      <c s="705" r="D49"/>
      <c s="160" r="E49"/>
      <c s="160" r="F49"/>
      <c s="160" r="G49"/>
      <c s="106" r="H49"/>
      <c s="406" r="I49"/>
      <c s="418" r="J49"/>
      <c s="702" r="K49"/>
      <c t="str" s="577" r="L49">
        <f>Dimension!B107</f>
        <v>hydraulics:</v>
      </c>
      <c s="697" r="M49"/>
      <c s="201" r="N49"/>
      <c t="s" s="202" r="O49">
        <v>75</v>
      </c>
      <c t="s" s="201" r="P49">
        <v>76</v>
      </c>
      <c t="s" s="202" r="Q49">
        <v>77</v>
      </c>
      <c s="201" r="R49"/>
      <c s="590" r="S49"/>
      <c s="702" r="T49"/>
      <c s="908" r="U49"/>
      <c s="551" r="V49"/>
      <c s="551" r="W49"/>
      <c s="551" r="X49"/>
      <c t="s" s="8" r="Y49">
        <v>94</v>
      </c>
      <c t="str" s="540" r="Z49">
        <f>Materials!F62</f>
        <v>---</v>
      </c>
      <c s="51" r="AA49"/>
      <c s="125" r="AB49"/>
      <c s="761" r="AC49"/>
      <c s="125" r="AD49"/>
    </row>
    <row r="50">
      <c s="822" r="A50"/>
      <c s="406" r="B50"/>
      <c s="886" r="C50"/>
      <c s="613" r="D50"/>
      <c s="127" r="E50"/>
      <c s="127" r="F50"/>
      <c s="127" r="G50"/>
      <c s="851" r="H50"/>
      <c s="861" r="I50"/>
      <c s="823" r="J50"/>
      <c s="702" r="K50"/>
      <c s="178" r="L50"/>
      <c s="640" r="M50"/>
      <c t="str" s="727" r="N50">
        <f>"discharge rate "&amp;IF((J4=2),"(cms)","(cfs)")</f>
        <v>discharge rate (cfs)</v>
      </c>
      <c t="str" s="126" r="O50">
        <f>Dimension!F108</f>
        <v>#VALUE!:cantParseText:---</v>
      </c>
      <c t="str" s="55" r="P50">
        <f>'Dimension Estimated Values'!S6</f>
        <v>---</v>
      </c>
      <c t="str" s="485" r="Q50">
        <f>'Dimension Estimated Values'!S7</f>
        <v>---</v>
      </c>
      <c s="485" r="R50"/>
      <c s="564" r="S50"/>
      <c s="702" r="T50"/>
      <c s="908" r="U50"/>
      <c s="551" r="V50"/>
      <c s="551" r="W50"/>
      <c s="551" r="X50"/>
      <c t="s" s="8" r="Y50">
        <v>95</v>
      </c>
      <c t="str" s="540" r="Z50">
        <f>Materials!F63</f>
        <v>---</v>
      </c>
      <c s="51" r="AA50"/>
      <c s="125" r="AB50"/>
      <c s="761" r="AC50"/>
      <c s="125" r="AD50"/>
    </row>
    <row r="51">
      <c s="822" r="A51"/>
      <c s="406" r="B51"/>
      <c t="s" s="334" r="C51">
        <v>39</v>
      </c>
      <c s="343" r="D51"/>
      <c s="675" r="E51"/>
      <c s="675" r="F51"/>
      <c s="675" r="G51"/>
      <c s="102" r="H51"/>
      <c s="151" r="I51"/>
      <c s="741" r="J51"/>
      <c s="702" r="K51"/>
      <c s="874" r="L51"/>
      <c s="753" r="M51"/>
      <c t="s" s="190" r="N51">
        <v>96</v>
      </c>
      <c t="str" s="778" r="O51">
        <f>Dimension!F109</f>
        <v>---</v>
      </c>
      <c s="542" r="P51"/>
      <c s="203" r="Q51"/>
      <c s="753" r="R51"/>
      <c s="270" r="S51"/>
      <c s="702" r="T51"/>
      <c s="908" r="U51"/>
      <c s="551" r="V51"/>
      <c s="551" r="W51"/>
      <c s="551" r="X51"/>
      <c t="s" s="8" r="Y51">
        <v>97</v>
      </c>
      <c t="str" s="540" r="Z51">
        <f>Materials!F64</f>
        <v>---</v>
      </c>
      <c s="51" r="AA51"/>
      <c s="125" r="AB51"/>
      <c s="761" r="AC51"/>
      <c s="125" r="AD51"/>
    </row>
    <row customHeight="1" r="52" ht="13.5">
      <c s="822" r="A52"/>
      <c s="406" r="B52"/>
      <c s="578" r="C52"/>
      <c s="343" r="D52"/>
      <c s="675" r="E52"/>
      <c s="675" r="F52"/>
      <c s="675" r="G52"/>
      <c s="102" r="H52"/>
      <c s="604" r="I52"/>
      <c s="31" r="J52"/>
      <c s="702" r="K52"/>
      <c s="61" r="L52"/>
      <c s="560" r="M52"/>
      <c s="416" r="N52"/>
      <c t="s" s="331" r="O52">
        <v>98</v>
      </c>
      <c t="s" s="35" r="P52">
        <v>76</v>
      </c>
      <c t="s" s="869" r="Q52">
        <v>77</v>
      </c>
      <c s="869" r="R52"/>
      <c t="str" s="339" r="S52">
        <f>Dimension!H110</f>
        <v>pool</v>
      </c>
      <c s="702" r="T52"/>
      <c s="908" r="U52"/>
      <c s="551" r="V52"/>
      <c s="551" r="W52"/>
      <c s="551" r="X52"/>
      <c t="s" s="8" r="Y52">
        <v>99</v>
      </c>
      <c t="str" s="540" r="Z52">
        <f>Materials!F65</f>
        <v>---</v>
      </c>
      <c s="51" r="AA52"/>
      <c s="125" r="AB52"/>
      <c s="761" r="AC52"/>
      <c s="125" r="AD52"/>
    </row>
    <row r="53">
      <c s="822" r="A53"/>
      <c s="406" r="B53"/>
      <c s="578" r="C53"/>
      <c s="343" r="D53"/>
      <c s="675" r="E53"/>
      <c s="675" r="F53"/>
      <c s="675" r="G53"/>
      <c s="102" r="H53"/>
      <c s="604" r="I53"/>
      <c s="31" r="J53"/>
      <c s="702" r="K53"/>
      <c s="908" r="L53"/>
      <c s="551" r="M53"/>
      <c t="str" s="812" r="N53">
        <f>"velocity "&amp;IF((J4=2),"(m/s)","(ft/s)")</f>
        <v>velocity (ft/s)</v>
      </c>
      <c t="str" s="527" r="O53">
        <f>Dimension!F111</f>
        <v>---</v>
      </c>
      <c t="str" s="148" r="P53">
        <f>'Dimension Estimated Values'!R6</f>
        <v>---</v>
      </c>
      <c t="str" s="544" r="Q53">
        <f>'Dimension Estimated Values'!R7</f>
        <v>---</v>
      </c>
      <c s="544" r="R53"/>
      <c t="str" s="346" r="S53">
        <f>Dimension!H111</f>
        <v>---</v>
      </c>
      <c s="702" r="T53"/>
      <c s="908" r="U53"/>
      <c s="551" r="V53"/>
      <c s="551" r="W53"/>
      <c s="551" r="X53"/>
      <c t="s" s="8" r="Y53">
        <v>100</v>
      </c>
      <c t="str" s="540" r="Z53">
        <f>Materials!F66</f>
        <v>---</v>
      </c>
      <c s="51" r="AA53"/>
      <c s="125" r="AB53"/>
      <c s="761" r="AC53"/>
      <c s="125" r="AD53"/>
    </row>
    <row r="54">
      <c s="822" r="A54"/>
      <c s="406" r="B54"/>
      <c s="578" r="C54"/>
      <c s="343" r="D54"/>
      <c s="675" r="E54"/>
      <c s="675" r="F54"/>
      <c s="675" r="G54"/>
      <c s="102" r="H54"/>
      <c s="415" r="I54"/>
      <c s="663" r="J54"/>
      <c s="702" r="K54"/>
      <c s="908" r="L54"/>
      <c s="551" r="M54"/>
      <c t="s" s="812" r="N54">
        <v>101</v>
      </c>
      <c t="str" s="128" r="O54">
        <f>Dimension!F112</f>
        <v>---</v>
      </c>
      <c t="str" s="78" r="P54">
        <f>'Dimension Estimated Values'!W6</f>
        <v>---</v>
      </c>
      <c t="str" s="605" r="Q54">
        <f>'Dimension Estimated Values'!W7</f>
        <v>---</v>
      </c>
      <c s="605" r="R54"/>
      <c t="str" s="22" r="S54">
        <f>Dimension!H112</f>
        <v>---</v>
      </c>
      <c s="702" r="T54"/>
      <c s="908" r="U54"/>
      <c s="551" r="V54"/>
      <c s="551" r="W54"/>
      <c s="551" r="X54"/>
      <c t="s" s="621" r="Y54">
        <v>102</v>
      </c>
      <c t="str" s="328" r="Z54">
        <f>Materials!G48</f>
        <v>---</v>
      </c>
      <c s="51" r="AA54"/>
      <c s="125" r="AB54"/>
      <c s="761" r="AC54"/>
      <c s="125" r="AD54"/>
    </row>
    <row r="55">
      <c s="822" r="A55"/>
      <c s="406" r="B55"/>
      <c s="578" r="C55"/>
      <c s="343" r="D55"/>
      <c s="675" r="E55"/>
      <c s="675" r="F55"/>
      <c s="675" r="G55"/>
      <c s="102" r="H55"/>
      <c s="415" r="I55"/>
      <c s="663" r="J55"/>
      <c s="702" r="K55"/>
      <c s="908" r="L55"/>
      <c s="551" r="M55"/>
      <c t="str" s="812" r="N55">
        <f>"shear stress  "&amp;IF((J4=2),"(N/sq.m.)","(lbs/sq.ft.)")</f>
        <v>shear stress  (lbs/sq.ft.)</v>
      </c>
      <c t="str" s="76" r="O55">
        <f>Dimension!F113</f>
        <v>---</v>
      </c>
      <c t="str" s="105" r="P55">
        <f>'Dimension Estimated Values'!T6</f>
        <v>---</v>
      </c>
      <c t="str" s="706" r="Q55">
        <f>'Dimension Estimated Values'!T7</f>
        <v>---</v>
      </c>
      <c s="706" r="R55"/>
      <c t="str" s="215" r="S55">
        <f>Dimension!H113</f>
        <v>---</v>
      </c>
      <c s="702" r="T55"/>
      <c s="908" r="U55"/>
      <c s="551" r="V55"/>
      <c s="551" r="W55"/>
      <c s="551" r="X55"/>
      <c t="s" s="8" r="Y55">
        <v>103</v>
      </c>
      <c t="str" s="328" r="Z55">
        <f>Materials!G49</f>
        <v>---</v>
      </c>
      <c s="51" r="AA55"/>
      <c s="125" r="AB55"/>
      <c s="761" r="AC55"/>
      <c s="125" r="AD55"/>
    </row>
    <row r="56">
      <c s="822" r="A56"/>
      <c s="406" r="B56"/>
      <c s="578" r="C56"/>
      <c s="343" r="D56"/>
      <c s="675" r="E56"/>
      <c s="675" r="F56"/>
      <c s="675" r="G56"/>
      <c s="102" r="H56"/>
      <c s="415" r="I56"/>
      <c s="663" r="J56"/>
      <c s="702" r="K56"/>
      <c s="908" r="L56"/>
      <c s="551" r="M56"/>
      <c t="str" s="812" r="N56">
        <f>"shear velocity "&amp;IF((J4=2),"(m/s)","(ft/s)")</f>
        <v>shear velocity (ft/s)</v>
      </c>
      <c t="str" s="76" r="O56">
        <f>Dimension!F114</f>
        <v>---</v>
      </c>
      <c t="str" s="105" r="P56">
        <f>'Dimension Estimated Values'!U6</f>
        <v>---</v>
      </c>
      <c t="str" s="706" r="Q56">
        <f>'Dimension Estimated Values'!U7</f>
        <v>---</v>
      </c>
      <c s="706" r="R56"/>
      <c t="str" s="215" r="S56">
        <f>Dimension!H114</f>
        <v>---</v>
      </c>
      <c s="702" r="T56"/>
      <c s="908" r="U56"/>
      <c s="551" r="V56"/>
      <c s="551" r="W56"/>
      <c s="551" r="X56"/>
      <c t="s" s="8" r="Y56">
        <v>104</v>
      </c>
      <c t="str" s="328" r="Z56">
        <f>Materials!G50</f>
        <v>---</v>
      </c>
      <c s="51" r="AA56"/>
      <c s="125" r="AB56"/>
      <c s="761" r="AC56"/>
      <c s="125" r="AD56"/>
    </row>
    <row customHeight="1" r="57" ht="13.5">
      <c s="822" r="A57"/>
      <c s="695" r="B57"/>
      <c s="159" r="C57"/>
      <c s="373" r="D57"/>
      <c s="373" r="E57"/>
      <c s="373" r="F57"/>
      <c s="373" r="G57"/>
      <c s="373" r="H57"/>
      <c s="159" r="I57"/>
      <c s="751" r="J57"/>
      <c s="702" r="K57"/>
      <c s="908" r="L57"/>
      <c s="551" r="M57"/>
      <c t="str" s="812" r="N57">
        <f>"stream power "&amp;IF((J4=2),"(N/s)","(lb/s)")</f>
        <v>stream power (lb/s)</v>
      </c>
      <c t="str" s="719" r="O57">
        <f>Dimension!F115</f>
        <v>---</v>
      </c>
      <c t="str" s="692" r="P57">
        <f>IF(OR(ISTEXT('Dimension Estimated Values'!S6),ISTEXT(O51)),"---",((62.4*'Dimension Estimated Values'!S6)*(O51/100)))</f>
        <v>---</v>
      </c>
      <c t="str" s="286" r="Q57">
        <f>IF(OR(ISTEXT('Dimension Estimated Values'!S7),ISTEXT(O51)),"---",((62.4*'Dimension Estimated Values'!S7)*(O51/100)))</f>
        <v>---</v>
      </c>
      <c s="286" r="R57"/>
      <c s="224" r="S57"/>
      <c s="702" r="T57"/>
      <c s="908" r="U57"/>
      <c s="551" r="V57"/>
      <c s="551" r="W57"/>
      <c s="551" r="X57"/>
      <c t="s" s="8" r="Y57">
        <v>105</v>
      </c>
      <c t="str" s="328" r="Z57">
        <f>Materials!G51</f>
        <v>---</v>
      </c>
      <c s="51" r="AA57"/>
      <c s="125" r="AB57"/>
      <c s="761" r="AC57"/>
      <c s="125" r="AD57"/>
    </row>
    <row customHeight="1" r="58" ht="13.5">
      <c s="125" r="A58"/>
      <c s="442" r="B58"/>
      <c s="442" r="C58"/>
      <c s="442" r="D58"/>
      <c s="442" r="E58"/>
      <c s="442" r="F58"/>
      <c s="442" r="G58"/>
      <c s="442" r="H58"/>
      <c s="442" r="I58"/>
      <c s="442" r="J58"/>
      <c s="822" r="K58"/>
      <c s="908" r="L58"/>
      <c s="551" r="M58"/>
      <c t="str" s="812" r="N58">
        <f>"unit stream power  "&amp;IF((J4=2),"(W/sq.m.)","(lb/ft/s)")</f>
        <v>unit stream power  (lb/ft/s)</v>
      </c>
      <c t="str" s="76" r="O58">
        <f>Dimension!F116</f>
        <v>---</v>
      </c>
      <c t="str" s="105" r="P58">
        <f>'Dimension Estimated Values'!V6</f>
        <v>---</v>
      </c>
      <c t="str" s="706" r="Q58">
        <f>'Dimension Estimated Values'!V7</f>
        <v>---</v>
      </c>
      <c s="706" r="R58"/>
      <c s="215" r="S58"/>
      <c s="702" r="T58"/>
      <c s="908" r="U58"/>
      <c s="551" r="V58"/>
      <c s="551" r="W58"/>
      <c s="551" r="X58"/>
      <c t="s" s="8" r="Y58">
        <v>106</v>
      </c>
      <c t="str" s="328" r="Z58">
        <f>Materials!G52</f>
        <v>---</v>
      </c>
      <c s="51" r="AA58"/>
      <c s="125" r="AB58"/>
      <c s="761" r="AC58"/>
      <c s="125" r="AD58"/>
    </row>
    <row r="59">
      <c s="125" r="A59"/>
      <c s="125" r="B59"/>
      <c s="125" r="C59"/>
      <c s="125" r="D59"/>
      <c s="125" r="E59"/>
      <c s="125" r="F59"/>
      <c s="125" r="G59"/>
      <c s="125" r="H59"/>
      <c s="125" r="I59"/>
      <c s="125" r="J59"/>
      <c s="822" r="K59"/>
      <c s="908" r="L59"/>
      <c s="551" r="M59"/>
      <c t="s" s="812" r="N59">
        <v>107</v>
      </c>
      <c t="str" s="719" r="O59">
        <f>Dimension!F117</f>
        <v>---</v>
      </c>
      <c t="str" s="214" r="P59">
        <f>IF(OR(ISNUMBER(P34),(Materials!I52&gt;0)),"---",(P34/(Materials!I52*0.003281)))</f>
        <v>---</v>
      </c>
      <c t="str" s="286" r="Q59">
        <f>IF(OR(ISNUMBER(Q34),(Materials!I52&gt;0)),"---",(Q34/(Materials!I52*0.003281)))</f>
        <v>---</v>
      </c>
      <c s="286" r="R59"/>
      <c s="22" r="S59"/>
      <c s="702" r="T59"/>
      <c s="908" r="U59"/>
      <c s="551" r="V59"/>
      <c s="551" r="W59"/>
      <c s="551" r="X59"/>
      <c t="s" s="8" r="Y59">
        <v>108</v>
      </c>
      <c t="str" s="328" r="Z59">
        <f>Materials!G53</f>
        <v>---</v>
      </c>
      <c s="51" r="AA59"/>
      <c s="125" r="AB59"/>
      <c s="761" r="AC59"/>
      <c s="125" r="AD59"/>
    </row>
    <row r="60">
      <c s="125" r="A60"/>
      <c s="125" r="B60"/>
      <c s="125" r="C60"/>
      <c s="125" r="D60"/>
      <c s="125" r="E60"/>
      <c s="125" r="F60"/>
      <c s="125" r="G60"/>
      <c s="125" r="H60"/>
      <c s="125" r="I60"/>
      <c s="125" r="J60"/>
      <c s="822" r="K60"/>
      <c s="908" r="L60"/>
      <c s="551" r="M60"/>
      <c t="s" s="812" r="N60">
        <v>109</v>
      </c>
      <c t="str" s="719" r="O60">
        <f>Dimension!F118</f>
        <v>---</v>
      </c>
      <c t="str" s="692" r="P60">
        <f>'Dimension Estimated Values'!X6</f>
        <v>---</v>
      </c>
      <c t="str" s="286" r="Q60">
        <f>'Dimension Estimated Values'!X7</f>
        <v>---</v>
      </c>
      <c s="286" r="R60"/>
      <c s="224" r="S60"/>
      <c s="702" r="T60"/>
      <c s="908" r="U60"/>
      <c s="551" r="V60"/>
      <c s="551" r="W60"/>
      <c s="551" r="X60"/>
      <c t="s" s="8" r="Y60">
        <v>110</v>
      </c>
      <c t="str" s="540" r="Z60">
        <f>Materials!G58</f>
        <v>---</v>
      </c>
      <c s="51" r="AA60"/>
      <c s="125" r="AB60"/>
      <c s="761" r="AC60"/>
      <c s="125" r="AD60"/>
    </row>
    <row r="61">
      <c s="125" r="A61"/>
      <c s="125" r="B61"/>
      <c s="125" r="C61"/>
      <c s="125" r="D61"/>
      <c s="125" r="E61"/>
      <c s="125" r="F61"/>
      <c s="125" r="G61"/>
      <c s="125" r="H61"/>
      <c s="125" r="I61"/>
      <c s="125" r="J61"/>
      <c s="822" r="K61"/>
      <c s="908" r="L61"/>
      <c s="551" r="M61"/>
      <c t="s" s="812" r="N61">
        <v>111</v>
      </c>
      <c t="str" s="719" r="O61">
        <f>Dimension!F119</f>
        <v>---</v>
      </c>
      <c t="str" s="692" r="P61">
        <f>'Dimension Estimated Values'!Y6</f>
        <v>---</v>
      </c>
      <c t="str" s="286" r="Q61">
        <f>'Dimension Estimated Values'!Y7</f>
        <v>---</v>
      </c>
      <c s="286" r="R61"/>
      <c s="224" r="S61"/>
      <c s="702" r="T61"/>
      <c s="908" r="U61"/>
      <c s="551" r="V61"/>
      <c s="551" r="W61"/>
      <c s="551" r="X61"/>
      <c t="s" s="8" r="Y61">
        <v>112</v>
      </c>
      <c t="str" s="540" r="Z61">
        <f>Materials!G59</f>
        <v>---</v>
      </c>
      <c s="51" r="AA61"/>
      <c s="125" r="AB61"/>
      <c s="761" r="AC61"/>
      <c s="125" r="AD61"/>
    </row>
    <row r="62">
      <c s="125" r="A62"/>
      <c s="125" r="B62"/>
      <c s="125" r="C62"/>
      <c s="125" r="D62"/>
      <c s="125" r="E62"/>
      <c s="125" r="F62"/>
      <c s="125" r="G62"/>
      <c s="125" r="H62"/>
      <c s="125" r="I62"/>
      <c s="125" r="J62"/>
      <c s="822" r="K62"/>
      <c s="20" r="L62"/>
      <c s="414" r="M62"/>
      <c t="str" s="393" r="N62">
        <f>Dimension!E120</f>
        <v>Shield's parameter</v>
      </c>
      <c t="str" s="325" r="O62">
        <f>Dimension!F120</f>
        <v>---</v>
      </c>
      <c s="169" r="P62"/>
      <c s="893" r="Q62"/>
      <c s="893" r="R62"/>
      <c s="509" r="S62"/>
      <c s="702" r="T62"/>
      <c s="908" r="U62"/>
      <c s="551" r="V62"/>
      <c s="551" r="W62"/>
      <c s="551" r="X62"/>
      <c t="s" s="8" r="Y62">
        <v>113</v>
      </c>
      <c t="str" s="540" r="Z62">
        <f>Materials!G60</f>
        <v>---</v>
      </c>
      <c s="51" r="AA62"/>
      <c s="125" r="AB62"/>
      <c s="761" r="AC62"/>
      <c s="125" r="AD62"/>
    </row>
    <row r="63">
      <c s="125" r="A63"/>
      <c s="125" r="B63"/>
      <c s="125" r="C63"/>
      <c t="s" s="125" r="D63">
        <v>2</v>
      </c>
      <c s="125" r="E63"/>
      <c s="125" r="F63"/>
      <c s="125" r="G63"/>
      <c s="125" r="H63"/>
      <c s="125" r="I63"/>
      <c s="125" r="J63"/>
      <c s="822" r="K63"/>
      <c t="s" s="720" r="L63">
        <v>114</v>
      </c>
      <c s="493" r="M63"/>
      <c s="493" r="N63"/>
      <c s="467" r="O63"/>
      <c s="467" r="P63"/>
      <c s="541" r="Q63"/>
      <c s="467" r="R63"/>
      <c s="494" r="S63"/>
      <c s="702" r="T63"/>
      <c s="908" r="U63"/>
      <c s="551" r="V63"/>
      <c s="551" r="W63"/>
      <c s="551" r="X63"/>
      <c t="s" s="8" r="Y63">
        <v>115</v>
      </c>
      <c t="str" s="540" r="Z63">
        <f>Materials!G61</f>
        <v>---</v>
      </c>
      <c s="51" r="AA63"/>
      <c s="125" r="AB63"/>
      <c s="761" r="AC63"/>
      <c s="125" r="AD63"/>
    </row>
    <row customHeight="1" r="64" ht="13.5">
      <c s="125" r="A64"/>
      <c s="125" r="B64"/>
      <c s="125" r="C64"/>
      <c s="125" r="D64"/>
      <c s="125" r="E64"/>
      <c s="125" r="F64"/>
      <c s="125" r="G64"/>
      <c s="125" r="H64"/>
      <c s="125" r="I64"/>
      <c s="125" r="J64"/>
      <c s="822" r="K64"/>
      <c s="465" r="L64"/>
      <c s="310" r="M64"/>
      <c s="310" r="N64"/>
      <c t="s" s="209" r="O64">
        <v>75</v>
      </c>
      <c t="s" s="53" r="P64">
        <v>76</v>
      </c>
      <c t="s" s="209" r="Q64">
        <v>77</v>
      </c>
      <c s="480" r="R64"/>
      <c s="277" r="S64"/>
      <c s="702" r="T64"/>
      <c s="908" r="U64"/>
      <c s="551" r="V64"/>
      <c s="551" r="W64"/>
      <c s="551" r="X64"/>
      <c t="s" s="8" r="Y64">
        <v>116</v>
      </c>
      <c t="str" s="540" r="Z64">
        <f>Materials!G62</f>
        <v>---</v>
      </c>
      <c s="51" r="AA64"/>
      <c s="125" r="AB64"/>
      <c s="761" r="AC64"/>
      <c s="125" r="AD64"/>
    </row>
    <row r="65">
      <c s="125" r="A65"/>
      <c s="125" r="B65"/>
      <c s="125" r="C65"/>
      <c t="s" s="125" r="D65">
        <v>2</v>
      </c>
      <c s="125" r="E65"/>
      <c s="125" r="F65"/>
      <c s="125" r="G65"/>
      <c s="125" r="H65"/>
      <c s="125" r="I65"/>
      <c s="125" r="J65"/>
      <c s="822" r="K65"/>
      <c s="738" r="L65"/>
      <c s="664" r="M65"/>
      <c t="str" s="94" r="N65">
        <f>"meander length "&amp;IF((J4=2),"(m)","(ft)")</f>
        <v>meander length (ft)</v>
      </c>
      <c t="str" s="527" r="O65">
        <f>Pattern!F64</f>
        <v>---</v>
      </c>
      <c t="str" s="148" r="P65">
        <f>Pattern!H64</f>
        <v>---</v>
      </c>
      <c t="str" s="544" r="Q65">
        <f>Pattern!I64</f>
        <v>---</v>
      </c>
      <c s="664" r="R65"/>
      <c s="726" r="S65"/>
      <c s="702" r="T65"/>
      <c s="908" r="U65"/>
      <c s="551" r="V65"/>
      <c s="551" r="W65"/>
      <c s="551" r="X65"/>
      <c t="s" s="621" r="Y65">
        <v>117</v>
      </c>
      <c t="str" s="328" r="Z65">
        <f>Materials!I48</f>
        <v>---</v>
      </c>
      <c s="51" r="AA65"/>
      <c s="125" r="AB65"/>
      <c s="761" r="AC65"/>
      <c s="125" r="AD65"/>
    </row>
    <row r="66">
      <c s="125" r="A66"/>
      <c s="125" r="B66"/>
      <c s="125" r="C66"/>
      <c s="125" r="D66"/>
      <c s="125" r="E66"/>
      <c s="125" r="F66"/>
      <c s="125" r="G66"/>
      <c s="125" r="H66"/>
      <c s="125" r="I66"/>
      <c t="s" s="125" r="J66">
        <v>2</v>
      </c>
      <c s="822" r="K66"/>
      <c s="908" r="L66"/>
      <c s="551" r="M66"/>
      <c t="str" s="812" r="N66">
        <f>"belt width "&amp;IF((J4=2),"(m)","(ft)")</f>
        <v>belt width (ft)</v>
      </c>
      <c t="str" s="719" r="O66">
        <f>Pattern!F65</f>
        <v>---</v>
      </c>
      <c t="str" s="692" r="P66">
        <f>Pattern!H65</f>
        <v>---</v>
      </c>
      <c t="str" s="286" r="Q66">
        <f>Pattern!I65</f>
        <v>---</v>
      </c>
      <c s="551" r="R66"/>
      <c s="671" r="S66"/>
      <c s="702" r="T66"/>
      <c s="908" r="U66"/>
      <c s="551" r="V66"/>
      <c s="551" r="W66"/>
      <c s="551" r="X66"/>
      <c t="s" s="8" r="Y66">
        <v>118</v>
      </c>
      <c t="str" s="328" r="Z66">
        <f>Materials!I49</f>
        <v>---</v>
      </c>
      <c s="51" r="AA66"/>
      <c s="125" r="AB66"/>
      <c s="761" r="AC66"/>
      <c s="125" r="AD66"/>
    </row>
    <row r="67">
      <c s="125" r="A67"/>
      <c s="125" r="B67"/>
      <c s="125" r="C67"/>
      <c s="125" r="D67"/>
      <c s="125" r="E67"/>
      <c s="125" r="F67"/>
      <c s="125" r="G67"/>
      <c s="125" r="H67"/>
      <c s="125" r="I67"/>
      <c s="125" r="J67"/>
      <c s="822" r="K67"/>
      <c s="908" r="L67"/>
      <c s="551" r="M67"/>
      <c t="str" s="812" r="N67">
        <f>"amplitude "&amp;IF((J4=2),"(m)","(ft)")</f>
        <v>amplitude (ft)</v>
      </c>
      <c t="str" s="719" r="O67">
        <f>Pattern!F66</f>
        <v>---</v>
      </c>
      <c t="str" s="692" r="P67">
        <f>Pattern!H66</f>
        <v>---</v>
      </c>
      <c t="str" s="286" r="Q67">
        <f>Pattern!I66</f>
        <v>---</v>
      </c>
      <c s="551" r="R67"/>
      <c s="671" r="S67"/>
      <c s="702" r="T67"/>
      <c s="908" r="U67"/>
      <c s="551" r="V67"/>
      <c s="551" r="W67"/>
      <c s="551" r="X67"/>
      <c t="s" s="8" r="Y67">
        <v>119</v>
      </c>
      <c t="str" s="328" r="Z67">
        <f>Materials!I50</f>
        <v>---</v>
      </c>
      <c s="51" r="AA67"/>
      <c s="125" r="AB67"/>
      <c s="761" r="AC67"/>
      <c s="125" r="AD67"/>
    </row>
    <row r="68">
      <c s="125" r="A68"/>
      <c s="125" r="B68"/>
      <c s="125" r="C68"/>
      <c s="125" r="D68"/>
      <c s="125" r="E68"/>
      <c s="125" r="F68"/>
      <c s="125" r="G68"/>
      <c s="125" r="H68"/>
      <c s="125" r="I68"/>
      <c s="125" r="J68"/>
      <c s="822" r="K68"/>
      <c s="908" r="L68"/>
      <c s="551" r="M68"/>
      <c t="str" s="812" r="N68">
        <f>"radius "&amp;IF((J4=2),"(m)","(ft)")</f>
        <v>radius (ft)</v>
      </c>
      <c t="str" s="719" r="O68">
        <f>Pattern!F67</f>
        <v>---</v>
      </c>
      <c t="str" s="692" r="P68">
        <f>Pattern!H67</f>
        <v>---</v>
      </c>
      <c t="str" s="286" r="Q68">
        <f>Pattern!I67</f>
        <v>---</v>
      </c>
      <c s="551" r="R68"/>
      <c s="671" r="S68"/>
      <c s="702" r="T68"/>
      <c s="908" r="U68"/>
      <c s="551" r="V68"/>
      <c s="551" r="W68"/>
      <c s="551" r="X68"/>
      <c t="s" s="8" r="Y68">
        <v>120</v>
      </c>
      <c t="str" s="328" r="Z68">
        <f>Materials!I51</f>
        <v>---</v>
      </c>
      <c s="51" r="AA68"/>
      <c s="125" r="AB68"/>
      <c s="761" r="AC68"/>
      <c s="125" r="AD68"/>
    </row>
    <row r="69">
      <c s="125" r="A69"/>
      <c s="125" r="B69"/>
      <c s="125" r="C69"/>
      <c s="125" r="D69"/>
      <c s="125" r="E69"/>
      <c s="125" r="F69"/>
      <c s="125" r="G69"/>
      <c s="125" r="H69"/>
      <c s="125" r="I69"/>
      <c s="125" r="J69"/>
      <c s="822" r="K69"/>
      <c s="908" r="L69"/>
      <c s="551" r="M69"/>
      <c t="s" s="812" r="N69">
        <v>121</v>
      </c>
      <c t="str" s="719" r="O69">
        <f>Pattern!F68</f>
        <v>---</v>
      </c>
      <c t="str" s="692" r="P69">
        <f>Pattern!H68</f>
        <v>---</v>
      </c>
      <c t="str" s="286" r="Q69">
        <f>Pattern!I68</f>
        <v>---</v>
      </c>
      <c s="551" r="R69"/>
      <c s="671" r="S69"/>
      <c s="702" r="T69"/>
      <c s="908" r="U69"/>
      <c s="551" r="V69"/>
      <c s="551" r="W69"/>
      <c s="551" r="X69"/>
      <c t="s" s="8" r="Y69">
        <v>122</v>
      </c>
      <c t="str" s="328" r="Z69">
        <f>Materials!I52</f>
        <v>---</v>
      </c>
      <c s="51" r="AA69"/>
      <c s="125" r="AB69"/>
      <c s="761" r="AC69"/>
      <c s="125" r="AD69"/>
    </row>
    <row r="70">
      <c s="125" r="A70"/>
      <c s="125" r="B70"/>
      <c s="125" r="C70"/>
      <c s="125" r="D70"/>
      <c s="125" r="E70"/>
      <c s="125" r="F70"/>
      <c s="125" r="G70"/>
      <c s="125" r="H70"/>
      <c s="125" r="I70"/>
      <c s="125" r="J70"/>
      <c s="822" r="K70"/>
      <c s="908" r="L70"/>
      <c s="551" r="M70"/>
      <c t="str" s="812" r="N70">
        <f>"stream length "&amp;IF((J4=2),"(m)","(ft)")</f>
        <v>stream length (ft)</v>
      </c>
      <c t="str" s="719" r="O70">
        <f>Pattern!F69</f>
        <v>---</v>
      </c>
      <c s="8" r="P70"/>
      <c s="52" r="Q70"/>
      <c s="551" r="R70"/>
      <c s="671" r="S70"/>
      <c s="702" r="T70"/>
      <c s="908" r="U70"/>
      <c s="551" r="V70"/>
      <c s="551" r="W70"/>
      <c s="551" r="X70"/>
      <c t="s" s="8" r="Y70">
        <v>123</v>
      </c>
      <c t="str" s="328" r="Z70">
        <f>Materials!I53</f>
        <v>---</v>
      </c>
      <c s="51" r="AA70"/>
      <c s="125" r="AB70"/>
      <c s="761" r="AC70"/>
      <c s="125" r="AD70"/>
    </row>
    <row r="71">
      <c s="125" r="A71"/>
      <c s="125" r="B71"/>
      <c s="125" r="C71"/>
      <c s="125" r="D71"/>
      <c s="125" r="E71"/>
      <c s="125" r="F71"/>
      <c s="125" r="G71"/>
      <c s="125" r="H71"/>
      <c s="125" r="I71"/>
      <c s="125" r="J71"/>
      <c s="822" r="K71"/>
      <c s="874" r="L71"/>
      <c s="753" r="M71"/>
      <c t="str" s="190" r="N71">
        <f>"valley length "&amp;IF((J4=2),"(m)","(ft)")</f>
        <v>valley length (ft)</v>
      </c>
      <c t="str" s="396" r="O71">
        <f>Pattern!F70</f>
        <v>---</v>
      </c>
      <c s="18" r="P71"/>
      <c s="255" r="Q71"/>
      <c s="753" r="R71"/>
      <c s="270" r="S71"/>
      <c s="702" r="T71"/>
      <c s="908" r="U71"/>
      <c s="551" r="V71"/>
      <c s="551" r="W71"/>
      <c s="551" r="X71"/>
      <c t="s" s="8" r="Y71">
        <v>124</v>
      </c>
      <c t="str" s="224" r="Z71">
        <f>Materials!I54</f>
        <v>---</v>
      </c>
      <c s="51" r="AA71"/>
      <c s="125" r="AB71"/>
      <c s="761" r="AC71"/>
      <c s="125" r="AD71"/>
    </row>
    <row r="72">
      <c s="125" r="A72"/>
      <c s="125" r="B72"/>
      <c s="125" r="C72"/>
      <c s="125" r="D72"/>
      <c s="125" r="E72"/>
      <c s="125" r="F72"/>
      <c s="125" r="G72"/>
      <c s="125" r="H72"/>
      <c s="125" r="I72"/>
      <c s="125" r="J72"/>
      <c s="822" r="K72"/>
      <c s="61" r="L72"/>
      <c s="560" r="M72"/>
      <c t="s" s="263" r="N72">
        <v>125</v>
      </c>
      <c t="str" s="474" r="O72">
        <f>Pattern!F71</f>
        <v>---</v>
      </c>
      <c s="464" r="P72"/>
      <c s="123" r="Q72"/>
      <c s="560" r="R72"/>
      <c s="612" r="S72"/>
      <c s="702" r="T72"/>
      <c s="908" r="U72"/>
      <c s="551" r="V72"/>
      <c s="551" r="W72"/>
      <c s="551" r="X72"/>
      <c t="s" s="8" r="Y72">
        <v>126</v>
      </c>
      <c t="str" s="224" r="Z72">
        <f>Materials!I55</f>
        <v>---</v>
      </c>
      <c s="51" r="AA72"/>
      <c s="125" r="AB72"/>
      <c s="761" r="AC72"/>
      <c s="125" r="AD72"/>
    </row>
    <row r="73">
      <c s="125" r="A73"/>
      <c s="125" r="B73"/>
      <c s="125" r="C73"/>
      <c s="125" r="D73"/>
      <c s="125" r="E73"/>
      <c s="125" r="F73"/>
      <c s="125" r="G73"/>
      <c s="125" r="H73"/>
      <c s="125" r="I73"/>
      <c s="125" r="J73"/>
      <c s="822" r="K73"/>
      <c s="908" r="L73"/>
      <c s="551" r="M73"/>
      <c t="s" s="812" r="N73">
        <v>127</v>
      </c>
      <c t="str" s="719" r="O73">
        <f>Pattern!F72</f>
        <v>---</v>
      </c>
      <c t="str" s="692" r="P73">
        <f>Pattern!H72</f>
        <v>---</v>
      </c>
      <c t="str" s="286" r="Q73">
        <f>Pattern!I72</f>
        <v>---</v>
      </c>
      <c s="551" r="R73"/>
      <c s="671" r="S73"/>
      <c s="702" r="T73"/>
      <c s="908" r="U73"/>
      <c s="551" r="V73"/>
      <c s="551" r="W73"/>
      <c s="551" r="X73"/>
      <c t="s" s="8" r="Y73">
        <v>128</v>
      </c>
      <c t="str" s="215" r="Z73">
        <f>Materials!I56</f>
        <v>---</v>
      </c>
      <c s="51" r="AA73"/>
      <c s="125" r="AB73"/>
      <c s="761" r="AC73"/>
      <c s="125" r="AD73"/>
    </row>
    <row r="74">
      <c s="125" r="A74"/>
      <c s="125" r="B74"/>
      <c s="125" r="C74"/>
      <c s="125" r="D74"/>
      <c s="125" r="E74"/>
      <c s="125" r="F74"/>
      <c s="125" r="G74"/>
      <c s="125" r="H74"/>
      <c s="125" r="I74"/>
      <c s="125" r="J74"/>
      <c s="822" r="K74"/>
      <c s="908" r="L74"/>
      <c s="551" r="M74"/>
      <c t="s" s="812" r="N74">
        <v>129</v>
      </c>
      <c t="str" s="719" r="O74">
        <f>Pattern!F73</f>
        <v>---</v>
      </c>
      <c t="str" s="692" r="P74">
        <f>Pattern!H73</f>
        <v>---</v>
      </c>
      <c t="str" s="286" r="Q74">
        <f>Pattern!I73</f>
        <v>---</v>
      </c>
      <c s="551" r="R74"/>
      <c s="671" r="S74"/>
      <c s="702" r="T74"/>
      <c s="908" r="U74"/>
      <c s="551" r="V74"/>
      <c s="551" r="W74"/>
      <c s="551" r="X74"/>
      <c t="s" s="8" r="Y74">
        <v>130</v>
      </c>
      <c t="str" s="540" r="Z74">
        <f>Materials!I58</f>
        <v>---</v>
      </c>
      <c s="51" r="AA74"/>
      <c s="125" r="AB74"/>
      <c s="761" r="AC74"/>
      <c s="125" r="AD74"/>
    </row>
    <row r="75">
      <c s="125" r="A75"/>
      <c s="125" r="B75"/>
      <c s="125" r="C75"/>
      <c s="125" r="D75"/>
      <c s="125" r="E75"/>
      <c s="125" r="F75"/>
      <c s="125" r="G75"/>
      <c s="125" r="H75"/>
      <c s="125" r="I75"/>
      <c s="125" r="J75"/>
      <c s="822" r="K75"/>
      <c s="20" r="L75"/>
      <c s="414" r="M75"/>
      <c t="s" s="393" r="N75">
        <v>131</v>
      </c>
      <c t="str" s="350" r="O75">
        <f>Pattern!F74</f>
        <v>---</v>
      </c>
      <c t="str" s="169" r="P75">
        <f>Pattern!H74</f>
        <v>---</v>
      </c>
      <c t="str" s="893" r="Q75">
        <f>Pattern!I74</f>
        <v>---</v>
      </c>
      <c s="414" r="R75"/>
      <c s="397" r="S75"/>
      <c s="702" r="T75"/>
      <c s="908" r="U75"/>
      <c s="551" r="V75"/>
      <c s="551" r="W75"/>
      <c s="551" r="X75"/>
      <c t="s" s="8" r="Y75">
        <v>132</v>
      </c>
      <c t="str" s="540" r="Z75">
        <f>Materials!I59</f>
        <v>---</v>
      </c>
      <c s="51" r="AA75"/>
      <c s="125" r="AB75"/>
      <c s="761" r="AC75"/>
      <c s="125" r="AD75"/>
    </row>
    <row r="76">
      <c s="125" r="A76"/>
      <c s="125" r="B76"/>
      <c s="125" r="C76"/>
      <c s="125" r="D76"/>
      <c s="125" r="E76"/>
      <c s="125" r="F76"/>
      <c s="125" r="G76"/>
      <c s="125" r="H76"/>
      <c s="125" r="I76"/>
      <c s="125" r="J76"/>
      <c s="822" r="K76"/>
      <c t="s" s="720" r="L76">
        <v>133</v>
      </c>
      <c s="467" r="M76"/>
      <c s="467" r="N76"/>
      <c s="467" r="O76"/>
      <c s="467" r="P76"/>
      <c s="541" r="Q76"/>
      <c s="467" r="R76"/>
      <c s="494" r="S76"/>
      <c s="702" r="T76"/>
      <c s="908" r="U76"/>
      <c s="551" r="V76"/>
      <c s="551" r="W76"/>
      <c s="551" r="X76"/>
      <c t="s" s="8" r="Y76">
        <v>134</v>
      </c>
      <c t="str" s="540" r="Z76">
        <f>Materials!I60</f>
        <v>---</v>
      </c>
      <c s="51" r="AA76"/>
      <c s="125" r="AB76"/>
      <c s="761" r="AC76"/>
      <c s="125" r="AD76"/>
    </row>
    <row customHeight="1" r="77" ht="13.5">
      <c s="125" r="A77"/>
      <c s="125" r="B77"/>
      <c s="125" r="C77"/>
      <c s="125" r="D77"/>
      <c s="125" r="E77"/>
      <c s="125" r="F77"/>
      <c s="125" r="G77"/>
      <c s="125" r="H77"/>
      <c s="125" r="I77"/>
      <c s="125" r="J77"/>
      <c s="822" r="K77"/>
      <c s="875" r="L77"/>
      <c s="480" r="M77"/>
      <c s="480" r="N77"/>
      <c t="str" s="209" r="O77">
        <f>Profile!F60</f>
        <v>typical</v>
      </c>
      <c t="str" s="53" r="P77">
        <f>Profile!H60</f>
        <v>min</v>
      </c>
      <c t="str" s="209" r="Q77">
        <f>Profile!I60</f>
        <v>max</v>
      </c>
      <c s="209" r="R77"/>
      <c s="14" r="S77"/>
      <c s="702" r="T77"/>
      <c s="908" r="U77"/>
      <c s="551" r="V77"/>
      <c s="551" r="W77"/>
      <c s="551" r="X77"/>
      <c t="s" s="8" r="Y77">
        <v>135</v>
      </c>
      <c t="str" s="540" r="Z77">
        <f>Materials!I61</f>
        <v>---</v>
      </c>
      <c s="51" r="AA77"/>
      <c s="125" r="AB77"/>
      <c s="761" r="AC77"/>
      <c s="125" r="AD77"/>
    </row>
    <row r="78">
      <c s="125" r="A78"/>
      <c s="125" r="B78"/>
      <c s="125" r="C78"/>
      <c s="125" r="D78"/>
      <c s="125" r="E78"/>
      <c s="125" r="F78"/>
      <c s="125" r="G78"/>
      <c s="125" r="H78"/>
      <c s="125" r="I78"/>
      <c s="125" r="J78"/>
      <c s="822" r="K78"/>
      <c s="738" r="L78"/>
      <c s="664" r="M78"/>
      <c t="str" s="94" r="N78">
        <f>"pool-pool spacing "&amp;IF((J4=2),"(m)","(ft)")</f>
        <v>pool-pool spacing (ft)</v>
      </c>
      <c t="str" s="527" r="O78">
        <f>Profile!F62</f>
        <v>---</v>
      </c>
      <c t="str" s="148" r="P78">
        <f>Profile!H62</f>
        <v>---</v>
      </c>
      <c t="str" s="544" r="Q78">
        <f>Profile!I62</f>
        <v>---</v>
      </c>
      <c s="664" r="R78"/>
      <c s="726" r="S78"/>
      <c s="702" r="T78"/>
      <c s="908" r="U78"/>
      <c s="551" r="V78"/>
      <c s="551" r="W78"/>
      <c s="551" r="X78"/>
      <c t="s" s="8" r="Y78">
        <v>136</v>
      </c>
      <c t="str" s="540" r="Z78">
        <f>Materials!I62</f>
        <v>---</v>
      </c>
      <c s="51" r="AA78"/>
      <c s="125" r="AB78"/>
      <c s="761" r="AC78"/>
      <c s="125" r="AD78"/>
    </row>
    <row r="79">
      <c s="125" r="A79"/>
      <c s="125" r="B79"/>
      <c s="125" r="C79"/>
      <c s="125" r="D79"/>
      <c s="125" r="E79"/>
      <c s="125" r="F79"/>
      <c s="125" r="G79"/>
      <c s="125" r="H79"/>
      <c s="125" r="I79"/>
      <c s="125" r="J79"/>
      <c s="822" r="K79"/>
      <c s="908" r="L79"/>
      <c s="551" r="M79"/>
      <c t="str" s="812" r="N79">
        <f>"riffle length "&amp;IF((J4=2),"(m)","(ft)")</f>
        <v>riffle length (ft)</v>
      </c>
      <c t="str" s="719" r="O79">
        <f>Profile!F63</f>
        <v>---</v>
      </c>
      <c t="str" s="692" r="P79">
        <f>Profile!H63</f>
        <v>---</v>
      </c>
      <c t="str" s="286" r="Q79">
        <f>Profile!I63</f>
        <v>---</v>
      </c>
      <c s="551" r="R79"/>
      <c s="671" r="S79"/>
      <c s="702" r="T79"/>
      <c s="908" r="U79"/>
      <c s="551" r="V79"/>
      <c s="551" r="W79"/>
      <c s="551" r="X79"/>
      <c t="s" s="8" r="Y79">
        <v>137</v>
      </c>
      <c t="str" s="540" r="Z79">
        <f>Materials!I63</f>
        <v>---</v>
      </c>
      <c s="51" r="AA79"/>
      <c s="125" r="AB79"/>
      <c s="761" r="AC79"/>
      <c s="125" r="AD79"/>
    </row>
    <row r="80">
      <c s="125" r="A80"/>
      <c s="125" r="B80"/>
      <c s="125" r="C80"/>
      <c s="125" r="D80"/>
      <c s="125" r="E80"/>
      <c s="125" r="F80"/>
      <c s="125" r="G80"/>
      <c s="125" r="H80"/>
      <c s="125" r="I80"/>
      <c s="125" r="J80"/>
      <c s="822" r="K80"/>
      <c s="908" r="L80"/>
      <c s="551" r="M80"/>
      <c t="str" s="812" r="N80">
        <f>"pool length "&amp;IF((J4=2),"(m)","(ft)")</f>
        <v>pool length (ft)</v>
      </c>
      <c t="str" s="719" r="O80">
        <f>Profile!F64</f>
        <v>---</v>
      </c>
      <c t="str" s="692" r="P80">
        <f>Profile!H64</f>
        <v>---</v>
      </c>
      <c t="str" s="286" r="Q80">
        <f>Profile!I64</f>
        <v>---</v>
      </c>
      <c s="551" r="R80"/>
      <c s="671" r="S80"/>
      <c s="702" r="T80"/>
      <c s="908" r="U80"/>
      <c s="551" r="V80"/>
      <c s="551" r="W80"/>
      <c s="551" r="X80"/>
      <c t="s" s="8" r="Y80">
        <v>138</v>
      </c>
      <c t="str" s="540" r="Z80">
        <f>Materials!I64</f>
        <v>---</v>
      </c>
      <c s="51" r="AA80"/>
      <c s="125" r="AB80"/>
      <c s="761" r="AC80"/>
      <c s="125" r="AD80"/>
    </row>
    <row r="81">
      <c s="125" r="A81"/>
      <c s="125" r="B81"/>
      <c s="125" r="C81"/>
      <c s="125" r="D81"/>
      <c s="125" r="E81"/>
      <c s="125" r="F81"/>
      <c s="125" r="G81"/>
      <c s="125" r="H81"/>
      <c s="125" r="I81"/>
      <c s="125" r="J81"/>
      <c s="822" r="K81"/>
      <c s="908" r="L81"/>
      <c s="551" r="M81"/>
      <c t="str" s="812" r="N81">
        <f>"run length "&amp;IF((J4=2),"(m)","(ft)")</f>
        <v>run length (ft)</v>
      </c>
      <c t="str" s="719" r="O81">
        <f>Profile!F65</f>
        <v>---</v>
      </c>
      <c t="str" s="692" r="P81">
        <f>Profile!H65</f>
        <v>---</v>
      </c>
      <c t="str" s="286" r="Q81">
        <f>Profile!I65</f>
        <v>---</v>
      </c>
      <c s="551" r="R81"/>
      <c s="671" r="S81"/>
      <c s="702" r="T81"/>
      <c s="908" r="U81"/>
      <c s="551" r="V81"/>
      <c s="551" r="W81"/>
      <c s="551" r="X81"/>
      <c t="s" s="8" r="Y81">
        <v>139</v>
      </c>
      <c t="str" s="540" r="Z81">
        <f>Materials!I65</f>
        <v>---</v>
      </c>
      <c s="51" r="AA81"/>
      <c s="125" r="AB81"/>
      <c s="761" r="AC81"/>
      <c s="125" r="AD81"/>
    </row>
    <row customHeight="1" r="82" ht="13.5">
      <c s="125" r="A82"/>
      <c s="125" r="B82"/>
      <c s="125" r="C82"/>
      <c s="125" r="D82"/>
      <c s="125" r="E82"/>
      <c s="125" r="F82"/>
      <c s="125" r="G82"/>
      <c s="125" r="H82"/>
      <c s="125" r="I82"/>
      <c s="125" r="J82"/>
      <c s="822" r="K82"/>
      <c s="874" r="L82"/>
      <c s="753" r="M82"/>
      <c t="str" s="190" r="N82">
        <f>"glide length "&amp;IF((J4=2),"(m)","(ft)")</f>
        <v>glide length (ft)</v>
      </c>
      <c t="str" s="396" r="O82">
        <f>Profile!F66</f>
        <v>---</v>
      </c>
      <c t="str" s="606" r="P82">
        <f>Profile!H66</f>
        <v>---</v>
      </c>
      <c t="str" s="542" r="Q82">
        <f>Profile!I66</f>
        <v>---</v>
      </c>
      <c s="753" r="R82"/>
      <c s="270" r="S82"/>
      <c s="702" r="T82"/>
      <c s="408" r="U82"/>
      <c s="246" r="V82"/>
      <c s="246" r="W82"/>
      <c s="246" r="X82"/>
      <c t="s" s="152" r="Y82">
        <v>140</v>
      </c>
      <c t="str" s="784" r="Z82">
        <f>Materials!I66</f>
        <v>---</v>
      </c>
      <c s="51" r="AA82"/>
      <c s="125" r="AB82"/>
      <c s="761" r="AC82"/>
      <c s="125" r="AD82"/>
    </row>
    <row customHeight="1" r="83" ht="13.5">
      <c s="125" r="A83"/>
      <c s="125" r="B83"/>
      <c s="125" r="C83"/>
      <c s="125" r="D83"/>
      <c s="125" r="E83"/>
      <c s="125" r="F83"/>
      <c s="125" r="G83"/>
      <c s="125" r="H83"/>
      <c s="125" r="I83"/>
      <c s="125" r="J83"/>
      <c s="822" r="K83"/>
      <c s="61" r="L83"/>
      <c s="560" r="M83"/>
      <c t="s" s="263" r="N83">
        <v>96</v>
      </c>
      <c t="str" s="131" r="O83">
        <f>Profile!F67</f>
        <v>---</v>
      </c>
      <c s="416" r="P83"/>
      <c s="608" r="Q83"/>
      <c s="560" r="R83"/>
      <c s="612" r="S83"/>
      <c s="702" r="T83"/>
      <c t="s" s="254" r="U83">
        <v>133</v>
      </c>
      <c s="308" r="V83"/>
      <c s="308" r="W83"/>
      <c s="308" r="X83"/>
      <c s="308" r="Y83"/>
      <c s="132" r="Z83"/>
      <c s="51" r="AA83"/>
      <c s="125" r="AB83"/>
      <c s="761" r="AC83"/>
      <c s="125" r="AD83"/>
    </row>
    <row r="84">
      <c s="125" r="A84"/>
      <c s="125" r="B84"/>
      <c s="125" r="C84"/>
      <c s="125" r="D84"/>
      <c s="125" r="E84"/>
      <c s="125" r="F84"/>
      <c s="125" r="G84"/>
      <c t="s" s="125" r="H84">
        <v>2</v>
      </c>
      <c s="125" r="I84"/>
      <c s="125" r="J84"/>
      <c s="822" r="K84"/>
      <c s="908" r="L84"/>
      <c s="551" r="M84"/>
      <c t="s" s="812" r="N84">
        <v>141</v>
      </c>
      <c t="str" s="289" r="O84">
        <f>Profile!F68</f>
        <v>---</v>
      </c>
      <c t="str" s="8" r="P84">
        <f>Profile!H68</f>
        <v>---</v>
      </c>
      <c t="str" s="52" r="Q84">
        <f>Profile!I68</f>
        <v>---</v>
      </c>
      <c s="551" r="R84"/>
      <c s="671" r="S84"/>
      <c s="702" r="T84"/>
      <c s="738" r="U84"/>
      <c s="664" r="V84"/>
      <c s="664" r="W84"/>
      <c s="664" r="X84"/>
      <c t="s" s="520" r="Y84">
        <v>142</v>
      </c>
      <c t="str" s="346" r="Z84">
        <f>Profile!F62</f>
        <v>---</v>
      </c>
      <c s="51" r="AA84"/>
      <c s="125" r="AB84"/>
      <c s="761" r="AC84"/>
      <c s="125" r="AD84"/>
    </row>
    <row r="85">
      <c s="125" r="A85"/>
      <c s="125" r="B85"/>
      <c s="125" r="C85"/>
      <c s="125" r="D85"/>
      <c s="125" r="E85"/>
      <c s="125" r="F85"/>
      <c s="125" r="G85"/>
      <c s="125" r="H85"/>
      <c s="125" r="I85"/>
      <c s="125" r="J85"/>
      <c s="822" r="K85"/>
      <c s="908" r="L85"/>
      <c s="551" r="M85"/>
      <c t="s" s="812" r="N85">
        <v>143</v>
      </c>
      <c t="str" s="289" r="O85">
        <f>Profile!F69</f>
        <v>---</v>
      </c>
      <c t="str" s="8" r="P85">
        <f>Profile!H69</f>
        <v>---</v>
      </c>
      <c t="str" s="52" r="Q85">
        <f>Profile!I69</f>
        <v>---</v>
      </c>
      <c s="551" r="R85"/>
      <c s="671" r="S85"/>
      <c s="702" r="T85"/>
      <c s="908" r="U85"/>
      <c s="551" r="V85"/>
      <c s="551" r="W85"/>
      <c s="551" r="X85"/>
      <c t="s" s="8" r="Y85">
        <v>144</v>
      </c>
      <c t="str" s="328" r="Z85">
        <f>Profile!H62</f>
        <v>---</v>
      </c>
      <c s="51" r="AA85"/>
      <c s="125" r="AB85"/>
      <c s="761" r="AC85"/>
      <c s="125" r="AD85"/>
    </row>
    <row r="86">
      <c s="125" r="A86"/>
      <c s="125" r="B86"/>
      <c s="125" r="C86"/>
      <c s="125" r="D86"/>
      <c s="125" r="E86"/>
      <c s="125" r="F86"/>
      <c s="125" r="G86"/>
      <c s="125" r="H86"/>
      <c s="125" r="I86"/>
      <c s="125" r="J86"/>
      <c s="822" r="K86"/>
      <c s="908" r="L86"/>
      <c s="551" r="M86"/>
      <c t="s" s="812" r="N86">
        <v>145</v>
      </c>
      <c t="str" s="289" r="O86">
        <f>Profile!F70</f>
        <v>---</v>
      </c>
      <c t="str" s="8" r="P86">
        <f>Profile!H70</f>
        <v>---</v>
      </c>
      <c t="str" s="52" r="Q86">
        <f>Profile!I70</f>
        <v>---</v>
      </c>
      <c s="551" r="R86"/>
      <c s="671" r="S86"/>
      <c s="702" r="T86"/>
      <c s="908" r="U86"/>
      <c s="551" r="V86"/>
      <c s="551" r="W86"/>
      <c s="551" r="X86"/>
      <c t="s" s="8" r="Y86">
        <v>146</v>
      </c>
      <c t="str" s="328" r="Z86">
        <f>Profile!I62</f>
        <v>---</v>
      </c>
      <c s="51" r="AA86"/>
      <c s="125" r="AB86"/>
      <c s="761" r="AC86"/>
      <c s="125" r="AD86"/>
    </row>
    <row r="87">
      <c s="125" r="A87"/>
      <c s="125" r="B87"/>
      <c s="125" r="C87"/>
      <c s="125" r="D87"/>
      <c s="125" r="E87"/>
      <c s="761" r="F87"/>
      <c s="288" r="G87"/>
      <c s="288" r="H87"/>
      <c s="288" r="I87"/>
      <c s="125" r="J87"/>
      <c s="822" r="K87"/>
      <c s="778" r="L87"/>
      <c s="255" r="M87"/>
      <c t="s" s="190" r="N87">
        <v>147</v>
      </c>
      <c t="str" s="778" r="O87">
        <f>Profile!F71</f>
        <v>---</v>
      </c>
      <c t="str" s="18" r="P87">
        <f>Profile!H71</f>
        <v>---</v>
      </c>
      <c t="str" s="255" r="Q87">
        <f>Profile!I71</f>
        <v>---</v>
      </c>
      <c s="753" r="R87"/>
      <c s="270" r="S87"/>
      <c s="702" r="T87"/>
      <c s="908" r="U87"/>
      <c s="551" r="V87"/>
      <c s="551" r="W87"/>
      <c s="551" r="X87"/>
      <c t="s" s="621" r="Y87">
        <v>148</v>
      </c>
      <c t="str" s="224" r="Z87">
        <f>Profile!F63</f>
        <v>---</v>
      </c>
      <c s="51" r="AA87"/>
      <c s="125" r="AB87"/>
      <c s="761" r="AC87"/>
      <c s="125" r="AD87"/>
    </row>
    <row r="88">
      <c s="125" r="A88"/>
      <c s="125" r="B88"/>
      <c s="125" r="C88"/>
      <c s="125" r="D88"/>
      <c s="125" r="E88"/>
      <c s="761" r="F88"/>
      <c s="288" r="G88"/>
      <c s="288" r="H88"/>
      <c s="288" r="I88"/>
      <c s="125" r="J88"/>
      <c s="822" r="K88"/>
      <c s="61" r="L88"/>
      <c s="560" r="M88"/>
      <c t="s" s="263" r="N88">
        <v>149</v>
      </c>
      <c t="str" s="131" r="O88">
        <f>Profile!F72</f>
        <v>---</v>
      </c>
      <c s="416" r="P88"/>
      <c s="608" r="Q88"/>
      <c s="560" r="R88"/>
      <c s="612" r="S88"/>
      <c s="702" r="T88"/>
      <c s="908" r="U88"/>
      <c s="551" r="V88"/>
      <c s="551" r="W88"/>
      <c s="551" r="X88"/>
      <c t="s" s="8" r="Y88">
        <v>150</v>
      </c>
      <c t="str" s="328" r="Z88">
        <f>Profile!H63</f>
        <v>---</v>
      </c>
      <c s="51" r="AA88"/>
      <c s="125" r="AB88"/>
      <c s="761" r="AC88"/>
      <c s="125" r="AD88"/>
    </row>
    <row r="89">
      <c s="125" r="A89"/>
      <c s="125" r="B89"/>
      <c s="125" r="C89"/>
      <c s="125" r="D89"/>
      <c s="125" r="E89"/>
      <c s="761" r="F89"/>
      <c s="288" r="G89"/>
      <c s="288" r="H89"/>
      <c s="288" r="I89"/>
      <c s="125" r="J89"/>
      <c s="822" r="K89"/>
      <c s="778" r="L89"/>
      <c s="753" r="M89"/>
      <c t="s" s="190" r="N89">
        <v>151</v>
      </c>
      <c t="str" s="396" r="O89">
        <f>Profile!F73</f>
        <v>---</v>
      </c>
      <c s="18" r="P89"/>
      <c s="255" r="Q89"/>
      <c s="753" r="R89"/>
      <c s="270" r="S89"/>
      <c s="702" r="T89"/>
      <c s="908" r="U89"/>
      <c s="551" r="V89"/>
      <c s="551" r="W89"/>
      <c s="551" r="X89"/>
      <c t="s" s="8" r="Y89">
        <v>152</v>
      </c>
      <c t="str" s="328" r="Z89">
        <f>Profile!I63</f>
        <v>---</v>
      </c>
      <c s="51" r="AA89"/>
      <c s="125" r="AB89"/>
      <c s="761" r="AC89"/>
      <c s="125" r="AD89"/>
    </row>
    <row r="90">
      <c s="125" r="A90"/>
      <c s="125" r="B90"/>
      <c s="125" r="C90"/>
      <c s="125" r="D90"/>
      <c s="125" r="E90"/>
      <c s="761" r="F90"/>
      <c s="288" r="G90"/>
      <c s="288" r="H90"/>
      <c s="288" r="I90"/>
      <c s="125" r="J90"/>
      <c s="822" r="K90"/>
      <c s="61" r="L90"/>
      <c s="560" r="M90"/>
      <c t="s" s="237" r="N90">
        <v>153</v>
      </c>
      <c t="str" s="131" r="O90">
        <f>Profile!F74</f>
        <v>---</v>
      </c>
      <c t="str" s="416" r="P90">
        <f>Profile!H74</f>
        <v>---</v>
      </c>
      <c t="str" s="608" r="Q90">
        <f>Profile!I74</f>
        <v>---</v>
      </c>
      <c s="560" r="R90"/>
      <c s="612" r="S90"/>
      <c s="702" r="T90"/>
      <c s="908" r="U90"/>
      <c s="551" r="V90"/>
      <c s="551" r="W90"/>
      <c s="551" r="X90"/>
      <c t="s" s="621" r="Y90">
        <v>154</v>
      </c>
      <c t="str" s="224" r="Z90">
        <f>Profile!F64</f>
        <v>---</v>
      </c>
      <c s="51" r="AA90"/>
      <c s="125" r="AB90"/>
      <c s="761" r="AC90"/>
      <c s="125" r="AD90"/>
    </row>
    <row r="91">
      <c s="125" r="A91"/>
      <c s="125" r="B91"/>
      <c s="125" r="C91"/>
      <c s="125" r="D91"/>
      <c s="125" r="E91"/>
      <c s="761" r="F91"/>
      <c s="288" r="G91"/>
      <c s="288" r="H91"/>
      <c s="288" r="I91"/>
      <c s="125" r="J91"/>
      <c s="822" r="K91"/>
      <c s="908" r="L91"/>
      <c s="551" r="M91"/>
      <c t="s" s="850" r="N91">
        <v>155</v>
      </c>
      <c t="str" s="289" r="O91">
        <f>Profile!F75</f>
        <v>---</v>
      </c>
      <c t="str" s="8" r="P91">
        <f>Profile!H75</f>
        <v>---</v>
      </c>
      <c t="str" s="52" r="Q91">
        <f>Profile!I75</f>
        <v>---</v>
      </c>
      <c s="551" r="R91"/>
      <c s="671" r="S91"/>
      <c s="702" r="T91"/>
      <c s="908" r="U91"/>
      <c s="551" r="V91"/>
      <c s="551" r="W91"/>
      <c s="551" r="X91"/>
      <c t="s" s="8" r="Y91">
        <v>156</v>
      </c>
      <c t="str" s="328" r="Z91">
        <f>Profile!H64</f>
        <v>---</v>
      </c>
      <c s="51" r="AA91"/>
      <c s="125" r="AB91"/>
      <c s="761" r="AC91"/>
      <c s="125" r="AD91"/>
    </row>
    <row r="92">
      <c s="125" r="A92"/>
      <c s="125" r="B92"/>
      <c s="125" r="C92"/>
      <c s="125" r="D92"/>
      <c s="125" r="E92"/>
      <c s="761" r="F92"/>
      <c s="288" r="G92"/>
      <c s="288" r="H92"/>
      <c s="288" r="I92"/>
      <c s="125" r="J92"/>
      <c s="822" r="K92"/>
      <c s="908" r="L92"/>
      <c s="551" r="M92"/>
      <c t="s" s="850" r="N92">
        <v>157</v>
      </c>
      <c t="str" s="289" r="O92">
        <f>Profile!F76</f>
        <v>---</v>
      </c>
      <c t="str" s="8" r="P92">
        <f>Profile!H76</f>
        <v>---</v>
      </c>
      <c t="str" s="52" r="Q92">
        <f>Profile!I76</f>
        <v>---</v>
      </c>
      <c s="551" r="R92"/>
      <c s="671" r="S92"/>
      <c s="702" r="T92"/>
      <c s="908" r="U92"/>
      <c s="551" r="V92"/>
      <c s="551" r="W92"/>
      <c s="551" r="X92"/>
      <c t="s" s="8" r="Y92">
        <v>158</v>
      </c>
      <c t="str" s="328" r="Z92">
        <f>Profile!I64</f>
        <v>---</v>
      </c>
      <c s="51" r="AA92"/>
      <c s="125" r="AB92"/>
      <c s="761" r="AC92"/>
      <c s="125" r="AD92"/>
    </row>
    <row r="93">
      <c s="125" r="A93"/>
      <c s="125" r="B93"/>
      <c s="125" r="C93"/>
      <c s="125" r="D93"/>
      <c s="125" r="E93"/>
      <c s="761" r="F93"/>
      <c s="288" r="G93"/>
      <c s="288" r="H93"/>
      <c s="288" r="I93"/>
      <c s="125" r="J93"/>
      <c s="822" r="K93"/>
      <c s="908" r="L93"/>
      <c s="551" r="M93"/>
      <c t="s" s="850" r="N93">
        <v>159</v>
      </c>
      <c t="str" s="289" r="O93">
        <f>Profile!F77</f>
        <v>---</v>
      </c>
      <c t="str" s="8" r="P93">
        <f>Profile!H77</f>
        <v>---</v>
      </c>
      <c t="str" s="52" r="Q93">
        <f>Profile!I77</f>
        <v>---</v>
      </c>
      <c s="551" r="R93"/>
      <c s="671" r="S93"/>
      <c s="702" r="T93"/>
      <c s="908" r="U93"/>
      <c s="551" r="V93"/>
      <c s="551" r="W93"/>
      <c s="551" r="X93"/>
      <c t="s" s="621" r="Y93">
        <v>160</v>
      </c>
      <c t="str" s="224" r="Z93">
        <f>Profile!F65</f>
        <v>---</v>
      </c>
      <c s="51" r="AA93"/>
      <c s="125" r="AB93"/>
      <c s="761" r="AC93"/>
      <c s="125" r="AD93"/>
    </row>
    <row r="94">
      <c s="125" r="A94"/>
      <c s="125" r="B94"/>
      <c s="125" r="C94"/>
      <c s="125" r="D94"/>
      <c s="125" r="E94"/>
      <c s="125" r="F94"/>
      <c s="125" r="G94"/>
      <c s="125" r="H94"/>
      <c s="125" r="I94"/>
      <c s="125" r="J94"/>
      <c s="822" r="K94"/>
      <c s="908" r="L94"/>
      <c s="551" r="M94"/>
      <c t="s" s="812" r="N94">
        <v>161</v>
      </c>
      <c t="str" s="289" r="O94">
        <f>Profile!F78</f>
        <v>---</v>
      </c>
      <c t="str" s="8" r="P94">
        <f>Profile!H78</f>
        <v>---</v>
      </c>
      <c t="str" s="52" r="Q94">
        <f>Profile!I78</f>
        <v>---</v>
      </c>
      <c s="551" r="R94"/>
      <c s="671" r="S94"/>
      <c s="702" r="T94"/>
      <c s="908" r="U94"/>
      <c s="551" r="V94"/>
      <c s="551" r="W94"/>
      <c s="551" r="X94"/>
      <c t="s" s="8" r="Y94">
        <v>162</v>
      </c>
      <c t="str" s="328" r="Z94">
        <f>Profile!H65</f>
        <v>---</v>
      </c>
      <c s="51" r="AA94"/>
      <c s="125" r="AB94"/>
      <c s="761" r="AC94"/>
      <c s="125" r="AD94"/>
    </row>
    <row r="95">
      <c s="125" r="A95"/>
      <c s="125" r="B95"/>
      <c s="125" r="C95"/>
      <c s="125" r="D95"/>
      <c s="125" r="E95"/>
      <c s="125" r="F95"/>
      <c s="125" r="G95"/>
      <c s="125" r="H95"/>
      <c s="125" r="I95"/>
      <c s="125" r="J95"/>
      <c s="822" r="K95"/>
      <c s="908" r="L95"/>
      <c s="551" r="M95"/>
      <c t="s" s="850" r="N95">
        <v>163</v>
      </c>
      <c t="str" s="289" r="O95">
        <f>Profile!F79</f>
        <v>---</v>
      </c>
      <c t="str" s="8" r="P95">
        <f>Profile!H79</f>
        <v>---</v>
      </c>
      <c t="str" s="52" r="Q95">
        <f>Profile!I79</f>
        <v>---</v>
      </c>
      <c s="551" r="R95"/>
      <c s="671" r="S95"/>
      <c s="702" r="T95"/>
      <c s="908" r="U95"/>
      <c s="551" r="V95"/>
      <c s="551" r="W95"/>
      <c s="551" r="X95"/>
      <c t="s" s="8" r="Y95">
        <v>164</v>
      </c>
      <c t="str" s="328" r="Z95">
        <f>Profile!I65</f>
        <v>---</v>
      </c>
      <c s="51" r="AA95"/>
      <c s="125" r="AB95"/>
      <c s="761" r="AC95"/>
      <c s="341" r="AD95"/>
    </row>
    <row r="96">
      <c s="125" r="A96"/>
      <c s="125" r="B96"/>
      <c s="125" r="C96"/>
      <c s="125" r="D96"/>
      <c s="125" r="E96"/>
      <c s="125" r="F96"/>
      <c s="125" r="G96"/>
      <c s="125" r="H96"/>
      <c s="125" r="I96"/>
      <c s="125" r="J96"/>
      <c s="822" r="K96"/>
      <c s="908" r="L96"/>
      <c s="551" r="M96"/>
      <c t="s" s="850" r="N96">
        <v>165</v>
      </c>
      <c t="str" s="289" r="O96">
        <f>Profile!F80</f>
        <v>---</v>
      </c>
      <c t="str" s="8" r="P96">
        <f>Profile!H80</f>
        <v>---</v>
      </c>
      <c t="str" s="52" r="Q96">
        <f>Profile!I80</f>
        <v>---</v>
      </c>
      <c s="551" r="R96"/>
      <c s="671" r="S96"/>
      <c s="702" r="T96"/>
      <c s="908" r="U96"/>
      <c s="551" r="V96"/>
      <c s="551" r="W96"/>
      <c s="391" r="X96"/>
      <c t="s" s="621" r="Y96">
        <v>166</v>
      </c>
      <c t="str" s="22" r="Z96">
        <f>Profile!F66</f>
        <v>---</v>
      </c>
      <c s="51" r="AA96"/>
      <c s="125" r="AB96"/>
      <c s="761" r="AC96"/>
      <c s="341" r="AD96"/>
    </row>
    <row r="97">
      <c s="125" r="A97"/>
      <c s="125" r="B97"/>
      <c s="125" r="C97"/>
      <c s="125" r="D97"/>
      <c s="125" r="E97"/>
      <c s="125" r="F97"/>
      <c s="125" r="G97"/>
      <c s="125" r="H97"/>
      <c s="125" r="I97"/>
      <c s="125" r="J97"/>
      <c s="822" r="K97"/>
      <c s="908" r="L97"/>
      <c s="551" r="M97"/>
      <c t="s" s="850" r="N97">
        <v>167</v>
      </c>
      <c t="str" s="289" r="O97">
        <f>Profile!F81</f>
        <v>---</v>
      </c>
      <c t="str" s="8" r="P97">
        <f>Profile!H81</f>
        <v>---</v>
      </c>
      <c t="str" s="52" r="Q97">
        <f>Profile!I81</f>
        <v>---</v>
      </c>
      <c s="551" r="R97"/>
      <c s="671" r="S97"/>
      <c s="702" r="T97"/>
      <c s="908" r="U97"/>
      <c s="551" r="V97"/>
      <c s="551" r="W97"/>
      <c s="551" r="X97"/>
      <c t="s" s="8" r="Y97">
        <v>168</v>
      </c>
      <c t="str" s="328" r="Z97">
        <f>Profile!H66</f>
        <v>---</v>
      </c>
      <c s="51" r="AA97"/>
      <c s="125" r="AB97"/>
      <c s="761" r="AC97"/>
      <c s="341" r="AD97"/>
    </row>
    <row customHeight="1" r="98" ht="13.5">
      <c s="125" r="A98"/>
      <c s="125" r="B98"/>
      <c s="125" r="C98"/>
      <c s="125" r="D98"/>
      <c s="125" r="E98"/>
      <c s="125" r="F98"/>
      <c s="125" r="G98"/>
      <c s="125" r="H98"/>
      <c s="125" r="I98"/>
      <c s="125" r="J98"/>
      <c s="822" r="K98"/>
      <c s="20" r="L98"/>
      <c s="414" r="M98"/>
      <c t="s" s="393" r="N98">
        <v>169</v>
      </c>
      <c t="str" s="40" r="O98">
        <f>Profile!F82</f>
        <v>---</v>
      </c>
      <c t="str" s="538" r="P98">
        <f>Profile!H82</f>
        <v>---</v>
      </c>
      <c t="str" s="680" r="Q98">
        <f>Profile!I82</f>
        <v>---</v>
      </c>
      <c s="414" r="R98"/>
      <c s="397" r="S98"/>
      <c s="702" r="T98"/>
      <c s="908" r="U98"/>
      <c s="551" r="V98"/>
      <c s="551" r="W98"/>
      <c s="551" r="X98"/>
      <c t="s" s="8" r="Y98">
        <v>170</v>
      </c>
      <c t="str" s="328" r="Z98">
        <f>Profile!I66</f>
        <v>---</v>
      </c>
      <c s="51" r="AA98"/>
      <c s="125" r="AB98"/>
      <c s="761" r="AC98"/>
      <c s="341" r="AD98"/>
    </row>
    <row customHeight="1" r="99" ht="13.5">
      <c s="125" r="A99"/>
      <c s="125" r="B99"/>
      <c s="125" r="C99"/>
      <c s="125" r="D99"/>
      <c s="125" r="E99"/>
      <c s="125" r="F99"/>
      <c s="125" r="G99"/>
      <c s="125" r="H99"/>
      <c s="125" r="I99"/>
      <c s="125" r="J99"/>
      <c s="822" r="K99"/>
      <c t="s" s="720" r="L99">
        <v>40</v>
      </c>
      <c s="467" r="M99"/>
      <c s="467" r="N99"/>
      <c t="str" s="572" r="O99">
        <f>Materials!E46</f>
        <v/>
      </c>
      <c s="572" r="P99"/>
      <c t="str" s="572" r="Q99">
        <f>Materials!G46</f>
        <v/>
      </c>
      <c s="572" r="R99"/>
      <c t="str" s="888" r="S99">
        <f>Materials!I46</f>
        <v>#VALUE!:cantParseText:---</v>
      </c>
      <c s="702" r="T99"/>
      <c s="908" r="U99"/>
      <c s="551" r="V99"/>
      <c s="551" r="W99"/>
      <c s="551" r="X99"/>
      <c t="s" s="8" r="Y99">
        <v>96</v>
      </c>
      <c t="str" s="328" r="Z99">
        <f>Profile!F67</f>
        <v>---</v>
      </c>
      <c s="51" r="AA99"/>
      <c s="125" r="AB99"/>
      <c s="761" r="AC99"/>
      <c s="341" r="AD99"/>
    </row>
    <row customHeight="1" r="100" ht="13.5">
      <c s="125" r="A100"/>
      <c s="125" r="B100"/>
      <c s="125" r="C100"/>
      <c s="125" r="D100"/>
      <c s="125" r="E100"/>
      <c s="125" r="F100"/>
      <c s="125" r="G100"/>
      <c s="125" r="H100"/>
      <c s="125" r="I100"/>
      <c s="125" r="J100"/>
      <c s="822" r="K100"/>
      <c s="465" r="L100"/>
      <c s="310" r="M100"/>
      <c s="480" r="N100"/>
      <c t="str" s="209" r="O100">
        <f>Materials!E47</f>
        <v/>
      </c>
      <c t="str" s="209" r="P100">
        <f>Materials!F47</f>
        <v>#VALUE!:cantParseText:---</v>
      </c>
      <c t="str" s="556" r="Q100">
        <f>Materials!G47</f>
        <v/>
      </c>
      <c s="209" r="R100"/>
      <c t="str" s="14" r="S100">
        <f>Materials!I47</f>
        <v>#VALUE!:cantParseText:---</v>
      </c>
      <c s="702" r="T100"/>
      <c s="908" r="U100"/>
      <c s="551" r="V100"/>
      <c s="551" r="W100"/>
      <c s="551" r="X100"/>
      <c t="s" s="621" r="Y100">
        <v>141</v>
      </c>
      <c t="str" s="328" r="Z100">
        <f>Profile!F68</f>
        <v>---</v>
      </c>
      <c s="51" r="AA100"/>
      <c s="125" r="AB100"/>
      <c s="761" r="AC100"/>
      <c s="341" r="AD100"/>
    </row>
    <row r="101">
      <c s="125" r="A101"/>
      <c s="125" r="B101"/>
      <c s="125" r="C101"/>
      <c s="125" r="D101"/>
      <c s="125" r="E101"/>
      <c s="125" r="F101"/>
      <c s="125" r="G101"/>
      <c s="125" r="H101"/>
      <c s="125" r="I101"/>
      <c s="125" r="J101"/>
      <c s="822" r="K101"/>
      <c s="738" r="L101"/>
      <c s="664" r="M101"/>
      <c t="s" s="94" r="N101">
        <v>171</v>
      </c>
      <c t="str" s="722" r="O101">
        <f>Materials!E48</f>
        <v>---</v>
      </c>
      <c t="str" s="283" r="P101">
        <f>Materials!F48</f>
        <v>---</v>
      </c>
      <c t="str" s="283" r="Q101">
        <f>Materials!G48</f>
        <v>---</v>
      </c>
      <c s="283" r="R101"/>
      <c t="str" s="281" r="S101">
        <f>Materials!I48</f>
        <v>---</v>
      </c>
      <c s="702" r="T101"/>
      <c s="908" r="U101"/>
      <c s="551" r="V101"/>
      <c s="551" r="W101"/>
      <c s="551" r="X101"/>
      <c t="s" s="8" r="Y101">
        <v>172</v>
      </c>
      <c t="str" s="328" r="Z101">
        <f>Profile!H68</f>
        <v>---</v>
      </c>
      <c s="51" r="AA101"/>
      <c s="125" r="AB101"/>
      <c s="761" r="AC101"/>
      <c s="341" r="AD101"/>
    </row>
    <row r="102">
      <c s="125" r="A102"/>
      <c s="125" r="B102"/>
      <c s="125" r="C102"/>
      <c s="125" r="D102"/>
      <c s="125" r="E102"/>
      <c s="125" r="F102"/>
      <c s="125" r="G102"/>
      <c s="125" r="H102"/>
      <c s="125" r="I102"/>
      <c s="125" r="J102"/>
      <c s="822" r="K102"/>
      <c s="908" r="L102"/>
      <c s="551" r="M102"/>
      <c t="s" s="812" r="N102">
        <v>173</v>
      </c>
      <c t="str" s="309" r="O102">
        <f>Materials!E49</f>
        <v>---</v>
      </c>
      <c t="str" s="861" r="P102">
        <f>Materials!F49</f>
        <v>---</v>
      </c>
      <c t="str" s="861" r="Q102">
        <f>Materials!G49</f>
        <v>---</v>
      </c>
      <c s="861" r="R102"/>
      <c t="str" s="823" r="S102">
        <f>Materials!I49</f>
        <v>---</v>
      </c>
      <c s="702" r="T102"/>
      <c s="908" r="U102"/>
      <c s="551" r="V102"/>
      <c s="551" r="W102"/>
      <c s="551" r="X102"/>
      <c t="s" s="8" r="Y102">
        <v>174</v>
      </c>
      <c t="str" s="328" r="Z102">
        <f>Profile!I68</f>
        <v>---</v>
      </c>
      <c s="51" r="AA102"/>
      <c s="125" r="AB102"/>
      <c s="761" r="AC102"/>
      <c s="341" r="AD102"/>
    </row>
    <row r="103">
      <c s="125" r="A103"/>
      <c s="125" r="B103"/>
      <c s="125" r="C103"/>
      <c s="125" r="D103"/>
      <c s="125" r="E103"/>
      <c s="125" r="F103"/>
      <c s="125" r="G103"/>
      <c s="125" r="H103"/>
      <c s="125" r="I103"/>
      <c s="125" r="J103"/>
      <c s="822" r="K103"/>
      <c s="908" r="L103"/>
      <c s="551" r="M103"/>
      <c t="s" s="812" r="N103">
        <v>175</v>
      </c>
      <c t="str" s="289" r="O103">
        <f>Materials!E50</f>
        <v>---</v>
      </c>
      <c t="str" s="52" r="P103">
        <f>Materials!F50</f>
        <v>---</v>
      </c>
      <c t="str" s="52" r="Q103">
        <f>Materials!G50</f>
        <v>---</v>
      </c>
      <c s="52" r="R103"/>
      <c t="str" s="328" r="S103">
        <f>Materials!I50</f>
        <v>---</v>
      </c>
      <c s="702" r="T103"/>
      <c s="908" r="U103"/>
      <c s="551" r="V103"/>
      <c s="551" r="W103"/>
      <c s="551" r="X103"/>
      <c t="s" s="621" r="Y103">
        <v>143</v>
      </c>
      <c t="str" s="328" r="Z103">
        <f>Profile!F69</f>
        <v>---</v>
      </c>
      <c s="51" r="AA103"/>
      <c s="125" r="AB103"/>
      <c s="761" r="AC103"/>
      <c s="341" r="AD103"/>
    </row>
    <row r="104">
      <c s="125" r="A104"/>
      <c s="125" r="B104"/>
      <c s="125" r="C104"/>
      <c s="125" r="D104"/>
      <c s="125" r="E104"/>
      <c s="125" r="F104"/>
      <c s="125" r="G104"/>
      <c s="125" r="H104"/>
      <c s="125" r="I104"/>
      <c s="125" r="J104"/>
      <c s="822" r="K104"/>
      <c s="908" r="L104"/>
      <c s="551" r="M104"/>
      <c t="s" s="812" r="N104">
        <v>176</v>
      </c>
      <c t="str" s="309" r="O104">
        <f>Materials!E51</f>
        <v>---</v>
      </c>
      <c t="str" s="861" r="P104">
        <f>Materials!F51</f>
        <v>---</v>
      </c>
      <c t="str" s="861" r="Q104">
        <f>Materials!G51</f>
        <v>---</v>
      </c>
      <c s="861" r="R104"/>
      <c t="str" s="823" r="S104">
        <f>Materials!I51</f>
        <v>---</v>
      </c>
      <c s="702" r="T104"/>
      <c s="908" r="U104"/>
      <c s="551" r="V104"/>
      <c s="551" r="W104"/>
      <c s="551" r="X104"/>
      <c t="s" s="8" r="Y104">
        <v>177</v>
      </c>
      <c t="str" s="328" r="Z104">
        <f>Profile!H69</f>
        <v>---</v>
      </c>
      <c s="51" r="AA104"/>
      <c s="125" r="AB104"/>
      <c s="761" r="AC104"/>
      <c s="341" r="AD104"/>
    </row>
    <row r="105">
      <c s="125" r="A105"/>
      <c s="125" r="B105"/>
      <c s="125" r="C105"/>
      <c s="125" r="D105"/>
      <c s="125" r="E105"/>
      <c s="125" r="F105"/>
      <c s="125" r="G105"/>
      <c s="125" r="H105"/>
      <c s="125" r="I105"/>
      <c s="125" r="J105"/>
      <c s="822" r="K105"/>
      <c s="908" r="L105"/>
      <c s="551" r="M105"/>
      <c t="s" s="812" r="N105">
        <v>178</v>
      </c>
      <c t="str" s="289" r="O105">
        <f>Materials!E52</f>
        <v>---</v>
      </c>
      <c t="str" s="52" r="P105">
        <f>Materials!F52</f>
        <v>---</v>
      </c>
      <c t="str" s="52" r="Q105">
        <f>Materials!G52</f>
        <v>---</v>
      </c>
      <c s="52" r="R105"/>
      <c t="str" s="328" r="S105">
        <f>Materials!I52</f>
        <v>---</v>
      </c>
      <c s="702" r="T105"/>
      <c s="908" r="U105"/>
      <c s="551" r="V105"/>
      <c s="551" r="W105"/>
      <c s="551" r="X105"/>
      <c t="s" s="8" r="Y105">
        <v>179</v>
      </c>
      <c t="str" s="328" r="Z105">
        <f>Profile!I69</f>
        <v>---</v>
      </c>
      <c s="51" r="AA105"/>
      <c s="125" r="AB105"/>
      <c s="761" r="AC105"/>
      <c s="341" r="AD105"/>
    </row>
    <row r="106">
      <c s="125" r="A106"/>
      <c s="125" r="B106"/>
      <c s="125" r="C106"/>
      <c s="125" r="D106"/>
      <c s="125" r="E106"/>
      <c s="125" r="F106"/>
      <c s="125" r="G106"/>
      <c s="125" r="H106"/>
      <c s="125" r="I106"/>
      <c s="125" r="J106"/>
      <c s="822" r="K106"/>
      <c s="56" r="L106"/>
      <c s="673" r="M106"/>
      <c t="s" s="369" r="N106">
        <v>180</v>
      </c>
      <c t="str" s="306" r="O106">
        <f>Materials!E53</f>
        <v>---</v>
      </c>
      <c t="str" s="641" r="P106">
        <f>Materials!F53</f>
        <v>---</v>
      </c>
      <c t="str" s="641" r="Q106">
        <f>Materials!G53</f>
        <v>---</v>
      </c>
      <c s="641" r="R106"/>
      <c t="str" s="539" r="S106">
        <f>Materials!I53</f>
        <v>---</v>
      </c>
      <c s="702" r="T106"/>
      <c s="908" r="U106"/>
      <c s="551" r="V106"/>
      <c s="551" r="W106"/>
      <c s="551" r="X106"/>
      <c t="s" s="621" r="Y106">
        <v>145</v>
      </c>
      <c t="str" s="328" r="Z106">
        <f>Profile!F70</f>
        <v>---</v>
      </c>
      <c s="51" r="AA106"/>
      <c s="125" r="AB106"/>
      <c s="761" r="AC106"/>
      <c s="341" r="AD106"/>
    </row>
    <row r="107">
      <c s="125" r="A107"/>
      <c s="125" r="B107"/>
      <c s="125" r="C107"/>
      <c s="125" r="D107"/>
      <c s="125" r="E107"/>
      <c s="125" r="F107"/>
      <c s="125" r="G107"/>
      <c s="125" r="H107"/>
      <c s="125" r="I107"/>
      <c s="125" r="J107"/>
      <c s="822" r="K107"/>
      <c s="678" r="L107"/>
      <c s="402" r="M107"/>
      <c t="s" s="129" r="N107">
        <v>181</v>
      </c>
      <c t="str" s="242" r="O107">
        <f>Materials!E54</f>
        <v>---</v>
      </c>
      <c s="366" r="P107"/>
      <c s="366" r="Q107"/>
      <c s="366" r="R107"/>
      <c t="str" s="456" r="S107">
        <f>Materials!I54</f>
        <v>---</v>
      </c>
      <c s="702" r="T107"/>
      <c s="908" r="U107"/>
      <c s="551" r="V107"/>
      <c s="551" r="W107"/>
      <c s="551" r="X107"/>
      <c t="s" s="8" r="Y107">
        <v>182</v>
      </c>
      <c t="str" s="328" r="Z107">
        <f>Profile!H70</f>
        <v>---</v>
      </c>
      <c s="51" r="AA107"/>
      <c s="125" r="AB107"/>
      <c s="761" r="AC107"/>
      <c s="341" r="AD107"/>
    </row>
    <row r="108">
      <c s="125" r="A108"/>
      <c s="125" r="B108"/>
      <c s="125" r="C108"/>
      <c s="125" r="D108"/>
      <c s="125" r="E108"/>
      <c s="125" r="F108"/>
      <c s="125" r="G108"/>
      <c s="125" r="H108"/>
      <c s="125" r="I108"/>
      <c s="125" r="J108"/>
      <c s="822" r="K108"/>
      <c s="908" r="L108"/>
      <c s="551" r="M108"/>
      <c t="s" s="812" r="N108">
        <v>183</v>
      </c>
      <c t="str" s="363" r="O108">
        <f>Materials!E55</f>
        <v>---</v>
      </c>
      <c s="588" r="P108"/>
      <c s="588" r="Q108"/>
      <c s="588" r="R108"/>
      <c t="str" s="441" r="S108">
        <f>Materials!I55</f>
        <v>---</v>
      </c>
      <c s="702" r="T108"/>
      <c s="908" r="U108"/>
      <c s="551" r="V108"/>
      <c s="551" r="W108"/>
      <c s="551" r="X108"/>
      <c t="s" s="8" r="Y108">
        <v>184</v>
      </c>
      <c t="str" s="328" r="Z108">
        <f>Profile!I70</f>
        <v>---</v>
      </c>
      <c s="51" r="AA108"/>
      <c s="125" r="AB108"/>
      <c s="761" r="AC108"/>
      <c s="341" r="AD108"/>
    </row>
    <row r="109">
      <c s="125" r="A109"/>
      <c s="125" r="B109"/>
      <c s="125" r="C109"/>
      <c s="125" r="D109"/>
      <c s="125" r="E109"/>
      <c s="125" r="F109"/>
      <c s="125" r="G109"/>
      <c s="125" r="H109"/>
      <c t="s" s="125" r="I109">
        <v>2</v>
      </c>
      <c s="125" r="J109"/>
      <c s="822" r="K109"/>
      <c s="908" r="L109"/>
      <c s="551" r="M109"/>
      <c t="s" s="812" r="N109">
        <v>185</v>
      </c>
      <c t="str" s="719" r="O109">
        <f>Materials!E56</f>
        <v>---</v>
      </c>
      <c s="286" r="P109"/>
      <c s="286" r="Q109"/>
      <c s="286" r="R109"/>
      <c t="str" s="224" r="S109">
        <f>Materials!I56</f>
        <v>---</v>
      </c>
      <c s="702" r="T109"/>
      <c s="908" r="U109"/>
      <c s="551" r="V109"/>
      <c s="551" r="W109"/>
      <c s="551" r="X109"/>
      <c t="s" s="621" r="Y109">
        <v>147</v>
      </c>
      <c t="str" s="328" r="Z109">
        <f>Profile!F71</f>
        <v>---</v>
      </c>
      <c s="51" r="AA109"/>
      <c s="125" r="AB109"/>
      <c s="761" r="AC109"/>
      <c s="341" r="AD109"/>
    </row>
    <row r="110">
      <c s="125" r="A110"/>
      <c s="125" r="B110"/>
      <c s="125" r="C110"/>
      <c s="125" r="D110"/>
      <c s="125" r="E110"/>
      <c s="125" r="F110"/>
      <c s="125" r="G110"/>
      <c s="125" r="H110"/>
      <c s="125" r="I110"/>
      <c s="125" r="J110"/>
      <c s="822" r="K110"/>
      <c s="56" r="L110"/>
      <c s="673" r="M110"/>
      <c t="s" s="369" r="N110">
        <v>44</v>
      </c>
      <c t="str" s="299" r="O110">
        <f>Materials!E57</f>
        <v>---</v>
      </c>
      <c s="117" r="P110"/>
      <c s="280" r="Q110"/>
      <c s="117" r="R110"/>
      <c s="1" r="S110"/>
      <c s="702" r="T110"/>
      <c s="908" r="U110"/>
      <c s="551" r="V110"/>
      <c s="551" r="W110"/>
      <c s="551" r="X110"/>
      <c t="s" s="8" r="Y110">
        <v>186</v>
      </c>
      <c t="str" s="328" r="Z110">
        <f>Profile!H71</f>
        <v>---</v>
      </c>
      <c s="51" r="AA110"/>
      <c s="125" r="AB110"/>
      <c s="761" r="AC110"/>
      <c s="341" r="AD110"/>
    </row>
    <row r="111">
      <c s="125" r="A111"/>
      <c s="125" r="B111"/>
      <c s="125" r="C111"/>
      <c s="125" r="D111"/>
      <c s="125" r="E111"/>
      <c s="125" r="F111"/>
      <c s="125" r="G111"/>
      <c s="125" r="H111"/>
      <c s="125" r="I111"/>
      <c s="125" r="J111"/>
      <c s="822" r="K111"/>
      <c s="678" r="L111"/>
      <c s="402" r="M111"/>
      <c t="s" s="129" r="N111">
        <v>187</v>
      </c>
      <c t="str" s="502" r="O111">
        <f>Materials!E58</f>
        <v>---</v>
      </c>
      <c t="str" s="187" r="P111">
        <f>Materials!F58</f>
        <v>---</v>
      </c>
      <c t="str" s="187" r="Q111">
        <f>Materials!G58</f>
        <v>---</v>
      </c>
      <c s="187" r="R111"/>
      <c t="str" s="352" r="S111">
        <f>Materials!I58</f>
        <v>---</v>
      </c>
      <c s="702" r="T111"/>
      <c s="908" r="U111"/>
      <c s="551" r="V111"/>
      <c s="551" r="W111"/>
      <c s="551" r="X111"/>
      <c t="s" s="8" r="Y111">
        <v>188</v>
      </c>
      <c t="str" s="328" r="Z111">
        <f>Profile!I71</f>
        <v>---</v>
      </c>
      <c s="51" r="AA111"/>
      <c s="125" r="AB111"/>
      <c s="761" r="AC111"/>
      <c s="341" r="AD111"/>
    </row>
    <row r="112">
      <c s="125" r="A112"/>
      <c s="125" r="B112"/>
      <c s="125" r="C112"/>
      <c s="125" r="D112"/>
      <c s="125" r="E112"/>
      <c s="125" r="F112"/>
      <c s="125" r="G112"/>
      <c s="125" r="H112"/>
      <c s="125" r="I112"/>
      <c s="125" r="J112"/>
      <c s="822" r="K112"/>
      <c s="908" r="L112"/>
      <c s="551" r="M112"/>
      <c t="s" s="812" r="N112">
        <v>189</v>
      </c>
      <c t="str" s="153" r="O112">
        <f>Materials!E59</f>
        <v>---</v>
      </c>
      <c t="str" s="163" r="P112">
        <f>Materials!F59</f>
        <v>---</v>
      </c>
      <c t="str" s="163" r="Q112">
        <f>Materials!G59</f>
        <v>---</v>
      </c>
      <c s="163" r="R112"/>
      <c t="str" s="651" r="S112">
        <f>Materials!I59</f>
        <v>---</v>
      </c>
      <c s="702" r="T112"/>
      <c s="908" r="U112"/>
      <c s="551" r="V112"/>
      <c s="551" r="W112"/>
      <c s="551" r="X112"/>
      <c t="s" s="621" r="Y112">
        <v>149</v>
      </c>
      <c t="str" s="328" r="Z112">
        <f>Profile!F72</f>
        <v>---</v>
      </c>
      <c s="51" r="AA112"/>
      <c s="125" r="AB112"/>
      <c s="761" r="AC112"/>
      <c s="341" r="AD112"/>
    </row>
    <row r="113">
      <c s="125" r="A113"/>
      <c s="125" r="B113"/>
      <c s="125" r="C113"/>
      <c s="125" r="D113"/>
      <c s="125" r="E113"/>
      <c s="125" r="F113"/>
      <c s="125" r="G113"/>
      <c s="125" r="H113"/>
      <c s="125" r="I113"/>
      <c s="125" r="J113"/>
      <c s="822" r="K113"/>
      <c s="908" r="L113"/>
      <c s="551" r="M113"/>
      <c t="s" s="812" r="N113">
        <v>190</v>
      </c>
      <c t="str" s="826" r="O113">
        <f>Materials!E60</f>
        <v>---</v>
      </c>
      <c t="str" s="776" r="P113">
        <f>Materials!F60</f>
        <v>---</v>
      </c>
      <c t="str" s="776" r="Q113">
        <f>Materials!G60</f>
        <v>---</v>
      </c>
      <c s="776" r="R113"/>
      <c t="str" s="540" r="S113">
        <f>Materials!I60</f>
        <v>---</v>
      </c>
      <c s="702" r="T113"/>
      <c s="908" r="U113"/>
      <c s="551" r="V113"/>
      <c s="551" r="W113"/>
      <c s="551" r="X113"/>
      <c t="s" s="621" r="Y113">
        <v>151</v>
      </c>
      <c t="str" s="328" r="Z113">
        <f>Profile!F73</f>
        <v>---</v>
      </c>
      <c s="51" r="AA113"/>
      <c s="125" r="AB113"/>
      <c s="761" r="AC113"/>
      <c s="341" r="AD113"/>
    </row>
    <row r="114">
      <c s="125" r="A114"/>
      <c s="125" r="B114"/>
      <c s="125" r="C114"/>
      <c s="125" r="D114"/>
      <c s="125" r="E114"/>
      <c s="125" r="F114"/>
      <c s="125" r="G114"/>
      <c s="125" r="H114"/>
      <c s="125" r="I114"/>
      <c s="125" r="J114"/>
      <c s="822" r="K114"/>
      <c s="908" r="L114"/>
      <c s="551" r="M114"/>
      <c t="s" s="812" r="N114">
        <v>191</v>
      </c>
      <c t="str" s="153" r="O114">
        <f>Materials!E61</f>
        <v>---</v>
      </c>
      <c t="str" s="163" r="P114">
        <f>Materials!F61</f>
        <v>---</v>
      </c>
      <c t="str" s="163" r="Q114">
        <f>Materials!G61</f>
        <v>---</v>
      </c>
      <c s="163" r="R114"/>
      <c t="str" s="651" r="S114">
        <f>Materials!I61</f>
        <v>---</v>
      </c>
      <c s="702" r="T114"/>
      <c s="908" r="U114"/>
      <c s="551" r="V114"/>
      <c s="551" r="W114"/>
      <c s="551" r="X114"/>
      <c t="s" s="621" r="Y114">
        <v>153</v>
      </c>
      <c t="str" s="328" r="Z114">
        <f>Profile!F74</f>
        <v>---</v>
      </c>
      <c s="51" r="AA114"/>
      <c s="125" r="AB114"/>
      <c s="761" r="AC114"/>
      <c s="341" r="AD114"/>
    </row>
    <row r="115">
      <c s="125" r="A115"/>
      <c s="125" r="B115"/>
      <c s="125" r="C115"/>
      <c s="125" r="D115"/>
      <c s="125" r="E115"/>
      <c s="125" r="F115"/>
      <c s="125" r="G115"/>
      <c s="125" r="H115"/>
      <c s="125" r="I115"/>
      <c s="125" r="J115"/>
      <c s="822" r="K115"/>
      <c s="908" r="L115"/>
      <c s="551" r="M115"/>
      <c t="s" s="812" r="N115">
        <v>192</v>
      </c>
      <c t="str" s="826" r="O115">
        <f>Materials!E62</f>
        <v>---</v>
      </c>
      <c t="str" s="776" r="P115">
        <f>Materials!F62</f>
        <v>---</v>
      </c>
      <c t="str" s="776" r="Q115">
        <f>Materials!G62</f>
        <v>---</v>
      </c>
      <c s="776" r="R115"/>
      <c t="str" s="540" r="S115">
        <f>Materials!I62</f>
        <v>---</v>
      </c>
      <c s="702" r="T115"/>
      <c s="908" r="U115"/>
      <c s="551" r="V115"/>
      <c s="551" r="W115"/>
      <c s="551" r="X115"/>
      <c t="s" s="8" r="Y115">
        <v>193</v>
      </c>
      <c t="str" s="328" r="Z115">
        <f>Profile!H74</f>
        <v>---</v>
      </c>
      <c s="51" r="AA115"/>
      <c s="125" r="AB115"/>
      <c s="761" r="AC115"/>
      <c s="341" r="AD115"/>
    </row>
    <row r="116">
      <c s="125" r="A116"/>
      <c s="125" r="B116"/>
      <c s="125" r="C116"/>
      <c s="125" r="D116"/>
      <c s="125" r="E116"/>
      <c s="125" r="F116"/>
      <c s="125" r="G116"/>
      <c s="125" r="H116"/>
      <c s="125" r="I116"/>
      <c s="125" r="J116"/>
      <c s="822" r="K116"/>
      <c s="908" r="L116"/>
      <c s="551" r="M116"/>
      <c t="s" s="812" r="N116">
        <v>194</v>
      </c>
      <c t="str" s="153" r="O116">
        <f>Materials!E63</f>
        <v>---</v>
      </c>
      <c t="str" s="163" r="P116">
        <f>Materials!F63</f>
        <v>---</v>
      </c>
      <c s="163" r="Q116"/>
      <c s="163" r="R116"/>
      <c t="str" s="651" r="S116">
        <f>Materials!I63</f>
        <v>---</v>
      </c>
      <c s="702" r="T116"/>
      <c s="908" r="U116"/>
      <c s="551" r="V116"/>
      <c s="551" r="W116"/>
      <c s="551" r="X116"/>
      <c t="s" s="8" r="Y116">
        <v>195</v>
      </c>
      <c t="str" s="328" r="Z116">
        <f>Profile!I74</f>
        <v>---</v>
      </c>
      <c s="51" r="AA116"/>
      <c s="125" r="AB116"/>
      <c s="761" r="AC116"/>
      <c s="341" r="AD116"/>
    </row>
    <row r="117">
      <c s="125" r="A117"/>
      <c s="125" r="B117"/>
      <c s="125" r="C117"/>
      <c s="125" r="D117"/>
      <c s="125" r="E117"/>
      <c s="125" r="F117"/>
      <c s="125" r="G117"/>
      <c s="125" r="H117"/>
      <c s="125" r="I117"/>
      <c s="125" r="J117"/>
      <c s="822" r="K117"/>
      <c s="908" r="L117"/>
      <c s="551" r="M117"/>
      <c t="s" s="390" r="N117">
        <v>196</v>
      </c>
      <c t="str" s="826" r="O117">
        <f>Materials!E64</f>
        <v>---</v>
      </c>
      <c t="str" s="776" r="P117">
        <f>Materials!F64</f>
        <v>---</v>
      </c>
      <c s="776" r="Q117"/>
      <c s="776" r="R117"/>
      <c t="str" s="540" r="S117">
        <f>Materials!I64</f>
        <v>---</v>
      </c>
      <c s="702" r="T117"/>
      <c s="908" r="U117"/>
      <c s="551" r="V117"/>
      <c s="551" r="W117"/>
      <c s="551" r="X117"/>
      <c t="s" s="621" r="Y117">
        <v>155</v>
      </c>
      <c t="str" s="328" r="Z117">
        <f>Profile!F75</f>
        <v>---</v>
      </c>
      <c s="51" r="AA117"/>
      <c s="125" r="AB117"/>
      <c s="761" r="AC117"/>
      <c s="341" r="AD117"/>
    </row>
    <row r="118">
      <c s="125" r="A118"/>
      <c s="125" r="B118"/>
      <c s="125" r="C118"/>
      <c s="125" r="D118"/>
      <c s="125" r="E118"/>
      <c s="125" r="F118"/>
      <c s="125" r="G118"/>
      <c s="125" r="H118"/>
      <c s="125" r="I118"/>
      <c s="125" r="J118"/>
      <c s="822" r="K118"/>
      <c s="908" r="L118"/>
      <c s="551" r="M118"/>
      <c t="s" s="390" r="N118">
        <v>197</v>
      </c>
      <c t="str" s="153" r="O118">
        <f>Materials!E65</f>
        <v>---</v>
      </c>
      <c t="str" s="163" r="P118">
        <f>Materials!F65</f>
        <v>---</v>
      </c>
      <c s="163" r="Q118"/>
      <c s="163" r="R118"/>
      <c t="str" s="651" r="S118">
        <f>Materials!I65</f>
        <v>---</v>
      </c>
      <c s="702" r="T118"/>
      <c s="908" r="U118"/>
      <c s="551" r="V118"/>
      <c s="551" r="W118"/>
      <c s="551" r="X118"/>
      <c t="s" s="8" r="Y118">
        <v>198</v>
      </c>
      <c t="str" s="328" r="Z118">
        <f>Profile!H75</f>
        <v>---</v>
      </c>
      <c s="51" r="AA118"/>
      <c s="125" r="AB118"/>
      <c s="761" r="AC118"/>
      <c s="341" r="AD118"/>
    </row>
    <row r="119">
      <c s="125" r="A119"/>
      <c s="125" r="B119"/>
      <c s="125" r="C119"/>
      <c s="125" r="D119"/>
      <c s="125" r="E119"/>
      <c s="125" r="F119"/>
      <c s="125" r="G119"/>
      <c s="125" r="H119"/>
      <c s="125" r="I119"/>
      <c s="125" r="J119"/>
      <c s="822" r="K119"/>
      <c s="56" r="L119"/>
      <c s="673" r="M119"/>
      <c t="s" s="336" r="N119">
        <v>199</v>
      </c>
      <c t="str" s="240" r="O119">
        <f>Materials!E66</f>
        <v>---</v>
      </c>
      <c t="str" s="97" r="P119">
        <f>Materials!F66</f>
        <v>---</v>
      </c>
      <c s="97" r="Q119"/>
      <c s="97" r="R119"/>
      <c t="str" s="316" r="S119">
        <f>Materials!I66</f>
        <v>---</v>
      </c>
      <c s="702" r="T119"/>
      <c s="908" r="U119"/>
      <c s="551" r="V119"/>
      <c s="551" r="W119"/>
      <c s="551" r="X119"/>
      <c t="s" s="8" r="Y119">
        <v>200</v>
      </c>
      <c t="str" s="328" r="Z119">
        <f>Profile!I75</f>
        <v>---</v>
      </c>
      <c s="51" r="AA119"/>
      <c s="125" r="AB119"/>
      <c s="761" r="AC119"/>
      <c s="341" r="AD119"/>
    </row>
    <row customHeight="1" r="120" ht="13.5">
      <c s="125" r="A120"/>
      <c s="125" r="B120"/>
      <c s="125" r="C120"/>
      <c s="125" r="D120"/>
      <c s="125" r="E120"/>
      <c s="125" r="F120"/>
      <c s="125" r="G120"/>
      <c s="125" r="H120"/>
      <c s="125" r="I120"/>
      <c s="125" r="J120"/>
      <c s="822" r="K120"/>
      <c s="594" r="L120"/>
      <c s="701" r="M120"/>
      <c t="s" s="853" r="N120">
        <v>201</v>
      </c>
      <c t="str" s="785" r="O120">
        <f>Materials!E67</f>
        <v>---</v>
      </c>
      <c s="349" r="P120"/>
      <c s="349" r="Q120"/>
      <c s="349" r="R120"/>
      <c s="405" r="S120"/>
      <c s="702" r="T120"/>
      <c s="908" r="U120"/>
      <c s="551" r="V120"/>
      <c s="551" r="W120"/>
      <c s="551" r="X120"/>
      <c t="s" s="621" r="Y120">
        <v>157</v>
      </c>
      <c t="str" s="328" r="Z120">
        <f>Profile!F76</f>
        <v>---</v>
      </c>
      <c s="51" r="AA120"/>
      <c s="125" r="AB120"/>
      <c s="761" r="AC120"/>
      <c s="341" r="AD120"/>
    </row>
    <row customHeight="1" r="121" ht="13.5">
      <c s="125" r="A121"/>
      <c s="125" r="B121"/>
      <c s="125" r="C121"/>
      <c s="125" r="D121"/>
      <c s="125" r="E121"/>
      <c s="125" r="F121"/>
      <c s="125" r="G121"/>
      <c s="125" r="H121"/>
      <c s="125" r="I121"/>
      <c s="125" r="J121"/>
      <c s="125" r="K121"/>
      <c s="442" r="L121"/>
      <c s="442" r="M121"/>
      <c s="442" r="N121"/>
      <c s="442" r="O121"/>
      <c s="442" r="P121"/>
      <c s="442" r="Q121"/>
      <c s="442" r="R121"/>
      <c s="442" r="S121"/>
      <c s="822" r="T121"/>
      <c s="908" r="U121"/>
      <c s="551" r="V121"/>
      <c s="551" r="W121"/>
      <c s="551" r="X121"/>
      <c t="s" s="8" r="Y121">
        <v>202</v>
      </c>
      <c t="str" s="328" r="Z121">
        <f>Profile!H76</f>
        <v>---</v>
      </c>
      <c s="51" r="AA121"/>
      <c s="125" r="AB121"/>
      <c s="761" r="AC121"/>
      <c s="341" r="AD121"/>
    </row>
    <row r="122">
      <c s="125" r="A122"/>
      <c s="125" r="B122"/>
      <c s="125" r="C122"/>
      <c s="125" r="D122"/>
      <c s="125" r="E122"/>
      <c s="125" r="F122"/>
      <c s="125" r="G122"/>
      <c s="125" r="H122"/>
      <c s="125" r="I122"/>
      <c s="125" r="J122"/>
      <c s="125" r="K122"/>
      <c s="125" r="L122"/>
      <c s="125" r="M122"/>
      <c s="125" r="N122"/>
      <c s="125" r="O122"/>
      <c s="125" r="P122"/>
      <c s="125" r="Q122"/>
      <c s="125" r="R122"/>
      <c s="125" r="S122"/>
      <c s="822" r="T122"/>
      <c s="908" r="U122"/>
      <c s="551" r="V122"/>
      <c s="551" r="W122"/>
      <c s="551" r="X122"/>
      <c t="s" s="8" r="Y122">
        <v>203</v>
      </c>
      <c t="str" s="328" r="Z122">
        <f>Profile!I76</f>
        <v>---</v>
      </c>
      <c s="51" r="AA122"/>
      <c s="125" r="AB122"/>
      <c s="761" r="AC122"/>
      <c s="341" r="AD122"/>
    </row>
    <row r="123">
      <c s="125" r="A123"/>
      <c s="125" r="B123"/>
      <c s="125" r="C123"/>
      <c s="125" r="D123"/>
      <c s="125" r="E123"/>
      <c s="125" r="F123"/>
      <c s="125" r="G123"/>
      <c s="125" r="H123"/>
      <c s="125" r="I123"/>
      <c s="125" r="J123"/>
      <c s="125" r="K123"/>
      <c s="125" r="L123"/>
      <c s="125" r="M123"/>
      <c s="125" r="N123"/>
      <c s="125" r="O123"/>
      <c s="125" r="P123"/>
      <c s="125" r="Q123"/>
      <c s="125" r="R123"/>
      <c s="125" r="S123"/>
      <c s="822" r="T123"/>
      <c s="908" r="U123"/>
      <c s="551" r="V123"/>
      <c s="551" r="W123"/>
      <c s="551" r="X123"/>
      <c t="s" s="621" r="Y123">
        <v>159</v>
      </c>
      <c t="str" s="328" r="Z123">
        <f>Profile!F77</f>
        <v>---</v>
      </c>
      <c s="51" r="AA123"/>
      <c s="125" r="AB123"/>
      <c s="761" r="AC123"/>
      <c s="341" r="AD123"/>
    </row>
    <row r="124">
      <c s="125" r="A124"/>
      <c s="125" r="B124"/>
      <c s="125" r="C124"/>
      <c s="125" r="D124"/>
      <c s="125" r="E124"/>
      <c s="125" r="F124"/>
      <c s="125" r="G124"/>
      <c s="125" r="H124"/>
      <c s="125" r="I124"/>
      <c s="125" r="J124"/>
      <c s="125" r="K124"/>
      <c s="125" r="L124"/>
      <c s="125" r="M124"/>
      <c s="125" r="N124"/>
      <c s="125" r="O124"/>
      <c s="125" r="P124"/>
      <c s="125" r="Q124"/>
      <c s="125" r="R124"/>
      <c s="125" r="S124"/>
      <c s="822" r="T124"/>
      <c s="908" r="U124"/>
      <c s="551" r="V124"/>
      <c s="551" r="W124"/>
      <c s="551" r="X124"/>
      <c t="s" s="8" r="Y124">
        <v>204</v>
      </c>
      <c t="str" s="328" r="Z124">
        <f>Profile!H77</f>
        <v>---</v>
      </c>
      <c s="51" r="AA124"/>
      <c s="125" r="AB124"/>
      <c s="761" r="AC124"/>
      <c s="341" r="AD124"/>
    </row>
    <row r="125">
      <c s="125" r="A125"/>
      <c s="125" r="B125"/>
      <c s="125" r="C125"/>
      <c s="125" r="D125"/>
      <c s="125" r="E125"/>
      <c s="125" r="F125"/>
      <c s="125" r="G125"/>
      <c s="125" r="H125"/>
      <c s="125" r="I125"/>
      <c s="125" r="J125"/>
      <c s="125" r="K125"/>
      <c s="125" r="L125"/>
      <c s="125" r="M125"/>
      <c s="125" r="N125"/>
      <c s="125" r="O125"/>
      <c s="125" r="P125"/>
      <c s="125" r="Q125"/>
      <c s="125" r="R125"/>
      <c s="125" r="S125"/>
      <c s="822" r="T125"/>
      <c s="908" r="U125"/>
      <c s="551" r="V125"/>
      <c s="551" r="W125"/>
      <c s="551" r="X125"/>
      <c t="s" s="8" r="Y125">
        <v>205</v>
      </c>
      <c t="str" s="328" r="Z125">
        <f>Profile!I77</f>
        <v>---</v>
      </c>
      <c s="51" r="AA125"/>
      <c s="125" r="AB125"/>
      <c s="761" r="AC125"/>
      <c s="341" r="AD125"/>
    </row>
    <row r="126">
      <c s="125" r="A126"/>
      <c s="125" r="B126"/>
      <c s="125" r="C126"/>
      <c s="125" r="D126"/>
      <c s="125" r="E126"/>
      <c s="125" r="F126"/>
      <c s="125" r="G126"/>
      <c s="125" r="H126"/>
      <c s="125" r="I126"/>
      <c s="125" r="J126"/>
      <c s="125" r="K126"/>
      <c s="125" r="L126"/>
      <c s="125" r="M126"/>
      <c s="125" r="N126"/>
      <c s="125" r="O126"/>
      <c s="125" r="P126"/>
      <c s="125" r="Q126"/>
      <c s="125" r="R126"/>
      <c s="125" r="S126"/>
      <c s="822" r="T126"/>
      <c s="908" r="U126"/>
      <c s="551" r="V126"/>
      <c s="551" r="W126"/>
      <c s="551" r="X126"/>
      <c t="s" s="621" r="Y126">
        <v>161</v>
      </c>
      <c t="str" s="328" r="Z126">
        <f>Profile!F78</f>
        <v>---</v>
      </c>
      <c s="51" r="AA126"/>
      <c s="125" r="AB126"/>
      <c s="761" r="AC126"/>
      <c s="341" r="AD126"/>
    </row>
    <row r="127">
      <c s="125" r="A127"/>
      <c s="125" r="B127"/>
      <c s="125" r="C127"/>
      <c s="125" r="D127"/>
      <c s="125" r="E127"/>
      <c s="125" r="F127"/>
      <c s="125" r="G127"/>
      <c s="125" r="H127"/>
      <c s="125" r="I127"/>
      <c s="125" r="J127"/>
      <c s="125" r="K127"/>
      <c s="125" r="L127"/>
      <c s="125" r="M127"/>
      <c s="125" r="N127"/>
      <c s="125" r="O127"/>
      <c s="125" r="P127"/>
      <c s="125" r="Q127"/>
      <c s="125" r="R127"/>
      <c s="125" r="S127"/>
      <c s="822" r="T127"/>
      <c s="908" r="U127"/>
      <c s="551" r="V127"/>
      <c s="551" r="W127"/>
      <c s="551" r="X127"/>
      <c t="s" s="8" r="Y127">
        <v>206</v>
      </c>
      <c t="str" s="328" r="Z127">
        <f>Profile!H78</f>
        <v>---</v>
      </c>
      <c s="51" r="AA127"/>
      <c s="125" r="AB127"/>
      <c s="761" r="AC127"/>
      <c s="341" r="AD127"/>
    </row>
    <row r="128">
      <c s="125" r="A128"/>
      <c s="125" r="B128"/>
      <c s="125" r="C128"/>
      <c s="125" r="D128"/>
      <c s="125" r="E128"/>
      <c s="125" r="F128"/>
      <c s="125" r="G128"/>
      <c s="125" r="H128"/>
      <c s="125" r="I128"/>
      <c s="125" r="J128"/>
      <c s="125" r="K128"/>
      <c s="125" r="L128"/>
      <c s="125" r="M128"/>
      <c s="125" r="N128"/>
      <c s="125" r="O128"/>
      <c s="125" r="P128"/>
      <c s="125" r="Q128"/>
      <c s="125" r="R128"/>
      <c s="125" r="S128"/>
      <c s="822" r="T128"/>
      <c s="908" r="U128"/>
      <c s="551" r="V128"/>
      <c s="551" r="W128"/>
      <c s="551" r="X128"/>
      <c t="s" s="8" r="Y128">
        <v>207</v>
      </c>
      <c t="str" s="328" r="Z128">
        <f>Profile!I78</f>
        <v>---</v>
      </c>
      <c s="51" r="AA128"/>
      <c s="125" r="AB128"/>
      <c s="761" r="AC128"/>
      <c s="341" r="AD128"/>
    </row>
    <row r="129">
      <c s="125" r="A129"/>
      <c s="125" r="B129"/>
      <c s="125" r="C129"/>
      <c s="125" r="D129"/>
      <c s="125" r="E129"/>
      <c s="125" r="F129"/>
      <c s="125" r="G129"/>
      <c s="125" r="H129"/>
      <c s="125" r="I129"/>
      <c s="125" r="J129"/>
      <c s="125" r="K129"/>
      <c s="125" r="L129"/>
      <c s="125" r="M129"/>
      <c s="125" r="N129"/>
      <c s="125" r="O129"/>
      <c s="125" r="P129"/>
      <c s="125" r="Q129"/>
      <c s="125" r="R129"/>
      <c s="125" r="S129"/>
      <c s="822" r="T129"/>
      <c s="908" r="U129"/>
      <c s="551" r="V129"/>
      <c s="551" r="W129"/>
      <c s="551" r="X129"/>
      <c t="s" s="621" r="Y129">
        <v>163</v>
      </c>
      <c t="str" s="328" r="Z129">
        <f>Profile!F79</f>
        <v>---</v>
      </c>
      <c s="51" r="AA129"/>
      <c s="125" r="AB129"/>
      <c s="761" r="AC129"/>
      <c s="341" r="AD129"/>
    </row>
    <row r="130">
      <c s="125" r="A130"/>
      <c s="125" r="B130"/>
      <c s="125" r="C130"/>
      <c s="125" r="D130"/>
      <c s="125" r="E130"/>
      <c s="125" r="F130"/>
      <c s="125" r="G130"/>
      <c s="125" r="H130"/>
      <c s="125" r="I130"/>
      <c s="125" r="J130"/>
      <c s="125" r="K130"/>
      <c s="125" r="L130"/>
      <c s="125" r="M130"/>
      <c s="125" r="N130"/>
      <c s="125" r="O130"/>
      <c s="125" r="P130"/>
      <c s="125" r="Q130"/>
      <c s="125" r="R130"/>
      <c s="125" r="S130"/>
      <c s="822" r="T130"/>
      <c s="908" r="U130"/>
      <c s="551" r="V130"/>
      <c s="551" r="W130"/>
      <c s="551" r="X130"/>
      <c t="s" s="8" r="Y130">
        <v>208</v>
      </c>
      <c t="str" s="328" r="Z130">
        <f>Profile!H79</f>
        <v>---</v>
      </c>
      <c s="51" r="AA130"/>
      <c s="125" r="AB130"/>
      <c s="761" r="AC130"/>
      <c s="341" r="AD130"/>
    </row>
    <row r="131">
      <c s="125" r="A131"/>
      <c s="125" r="B131"/>
      <c s="125" r="C131"/>
      <c s="125" r="D131"/>
      <c s="125" r="E131"/>
      <c s="125" r="F131"/>
      <c s="125" r="G131"/>
      <c s="125" r="H131"/>
      <c s="125" r="I131"/>
      <c s="125" r="J131"/>
      <c s="125" r="K131"/>
      <c s="125" r="L131"/>
      <c s="125" r="M131"/>
      <c s="125" r="N131"/>
      <c s="125" r="O131"/>
      <c s="125" r="P131"/>
      <c s="125" r="Q131"/>
      <c s="125" r="R131"/>
      <c s="125" r="S131"/>
      <c s="822" r="T131"/>
      <c s="908" r="U131"/>
      <c s="551" r="V131"/>
      <c s="551" r="W131"/>
      <c s="551" r="X131"/>
      <c t="s" s="8" r="Y131">
        <v>209</v>
      </c>
      <c t="str" s="328" r="Z131">
        <f>Profile!I79</f>
        <v>---</v>
      </c>
      <c s="51" r="AA131"/>
      <c s="125" r="AB131"/>
      <c s="761" r="AC131"/>
      <c s="341" r="AD131"/>
    </row>
    <row r="132">
      <c s="125" r="A132"/>
      <c s="125" r="B132"/>
      <c s="125" r="C132"/>
      <c s="125" r="D132"/>
      <c s="125" r="E132"/>
      <c s="125" r="F132"/>
      <c s="125" r="G132"/>
      <c s="125" r="H132"/>
      <c s="125" r="I132"/>
      <c s="125" r="J132"/>
      <c s="125" r="K132"/>
      <c s="125" r="L132"/>
      <c s="125" r="M132"/>
      <c s="125" r="N132"/>
      <c s="125" r="O132"/>
      <c s="125" r="P132"/>
      <c s="125" r="Q132"/>
      <c s="125" r="R132"/>
      <c s="125" r="S132"/>
      <c s="822" r="T132"/>
      <c s="908" r="U132"/>
      <c s="551" r="V132"/>
      <c s="551" r="W132"/>
      <c s="551" r="X132"/>
      <c t="s" s="621" r="Y132">
        <v>165</v>
      </c>
      <c t="str" s="328" r="Z132">
        <f>Profile!F80</f>
        <v>---</v>
      </c>
      <c s="51" r="AA132"/>
      <c s="125" r="AB132"/>
      <c s="761" r="AC132"/>
      <c s="341" r="AD132"/>
    </row>
    <row r="133">
      <c s="125" r="A133"/>
      <c s="125" r="B133"/>
      <c s="125" r="C133"/>
      <c s="125" r="D133"/>
      <c s="125" r="E133"/>
      <c s="125" r="F133"/>
      <c s="125" r="G133"/>
      <c s="125" r="H133"/>
      <c s="125" r="I133"/>
      <c s="125" r="J133"/>
      <c s="125" r="K133"/>
      <c s="125" r="L133"/>
      <c s="125" r="M133"/>
      <c s="125" r="N133"/>
      <c s="125" r="O133"/>
      <c s="125" r="P133"/>
      <c s="125" r="Q133"/>
      <c s="125" r="R133"/>
      <c s="125" r="S133"/>
      <c s="822" r="T133"/>
      <c s="908" r="U133"/>
      <c s="551" r="V133"/>
      <c s="551" r="W133"/>
      <c s="551" r="X133"/>
      <c t="s" s="8" r="Y133">
        <v>210</v>
      </c>
      <c t="str" s="328" r="Z133">
        <f>Profile!H80</f>
        <v>---</v>
      </c>
      <c s="51" r="AA133"/>
      <c s="125" r="AB133"/>
      <c s="761" r="AC133"/>
      <c s="341" r="AD133"/>
    </row>
    <row r="134">
      <c s="125" r="A134"/>
      <c s="125" r="B134"/>
      <c s="125" r="C134"/>
      <c s="125" r="D134"/>
      <c s="125" r="E134"/>
      <c s="125" r="F134"/>
      <c s="125" r="G134"/>
      <c s="125" r="H134"/>
      <c s="125" r="I134"/>
      <c s="125" r="J134"/>
      <c s="125" r="K134"/>
      <c s="125" r="L134"/>
      <c s="125" r="M134"/>
      <c s="125" r="N134"/>
      <c s="125" r="O134"/>
      <c s="125" r="P134"/>
      <c s="125" r="Q134"/>
      <c s="125" r="R134"/>
      <c s="125" r="S134"/>
      <c s="822" r="T134"/>
      <c s="908" r="U134"/>
      <c s="551" r="V134"/>
      <c s="551" r="W134"/>
      <c s="551" r="X134"/>
      <c t="s" s="8" r="Y134">
        <v>211</v>
      </c>
      <c t="str" s="328" r="Z134">
        <f>Profile!I80</f>
        <v>---</v>
      </c>
      <c s="51" r="AA134"/>
      <c s="125" r="AB134"/>
      <c s="761" r="AC134"/>
      <c s="341" r="AD134"/>
    </row>
    <row r="135">
      <c s="125" r="A135"/>
      <c s="125" r="B135"/>
      <c s="125" r="C135"/>
      <c s="125" r="D135"/>
      <c s="125" r="E135"/>
      <c s="125" r="F135"/>
      <c s="125" r="G135"/>
      <c s="125" r="H135"/>
      <c s="125" r="I135"/>
      <c s="125" r="J135"/>
      <c s="125" r="K135"/>
      <c s="125" r="L135"/>
      <c s="125" r="M135"/>
      <c s="125" r="N135"/>
      <c s="125" r="O135"/>
      <c s="125" r="P135"/>
      <c s="125" r="Q135"/>
      <c s="125" r="R135"/>
      <c s="125" r="S135"/>
      <c s="822" r="T135"/>
      <c s="908" r="U135"/>
      <c s="551" r="V135"/>
      <c s="551" r="W135"/>
      <c s="551" r="X135"/>
      <c t="s" s="621" r="Y135">
        <v>167</v>
      </c>
      <c t="str" s="328" r="Z135">
        <f>Profile!F81</f>
        <v>---</v>
      </c>
      <c s="51" r="AA135"/>
      <c s="125" r="AB135"/>
      <c s="761" r="AC135"/>
      <c s="341" r="AD135"/>
    </row>
    <row r="136">
      <c s="125" r="A136"/>
      <c s="125" r="B136"/>
      <c s="125" r="C136"/>
      <c s="125" r="D136"/>
      <c s="125" r="E136"/>
      <c s="125" r="F136"/>
      <c s="125" r="G136"/>
      <c s="125" r="H136"/>
      <c s="125" r="I136"/>
      <c s="125" r="J136"/>
      <c s="125" r="K136"/>
      <c s="125" r="L136"/>
      <c s="125" r="M136"/>
      <c s="125" r="N136"/>
      <c s="125" r="O136"/>
      <c s="125" r="P136"/>
      <c s="125" r="Q136"/>
      <c s="125" r="R136"/>
      <c s="125" r="S136"/>
      <c s="822" r="T136"/>
      <c s="908" r="U136"/>
      <c s="551" r="V136"/>
      <c s="551" r="W136"/>
      <c s="551" r="X136"/>
      <c t="s" s="8" r="Y136">
        <v>212</v>
      </c>
      <c t="str" s="328" r="Z136">
        <f>Profile!H81</f>
        <v>---</v>
      </c>
      <c s="51" r="AA136"/>
      <c s="125" r="AB136"/>
      <c s="761" r="AC136"/>
      <c s="341" r="AD136"/>
    </row>
    <row r="137">
      <c s="125" r="A137"/>
      <c s="125" r="B137"/>
      <c s="125" r="C137"/>
      <c s="125" r="D137"/>
      <c s="125" r="E137"/>
      <c s="125" r="F137"/>
      <c s="125" r="G137"/>
      <c s="125" r="H137"/>
      <c s="125" r="I137"/>
      <c s="125" r="J137"/>
      <c s="125" r="K137"/>
      <c s="125" r="L137"/>
      <c s="125" r="M137"/>
      <c s="125" r="N137"/>
      <c s="125" r="O137"/>
      <c s="125" r="P137"/>
      <c s="125" r="Q137"/>
      <c s="125" r="R137"/>
      <c s="125" r="S137"/>
      <c s="822" r="T137"/>
      <c s="908" r="U137"/>
      <c s="551" r="V137"/>
      <c s="551" r="W137"/>
      <c s="551" r="X137"/>
      <c t="s" s="8" r="Y137">
        <v>213</v>
      </c>
      <c t="str" s="328" r="Z137">
        <f>Profile!I81</f>
        <v>---</v>
      </c>
      <c s="51" r="AA137"/>
      <c s="125" r="AB137"/>
      <c s="761" r="AC137"/>
      <c s="341" r="AD137"/>
    </row>
    <row r="138">
      <c s="125" r="A138"/>
      <c s="125" r="B138"/>
      <c s="125" r="C138"/>
      <c s="125" r="D138"/>
      <c s="125" r="E138"/>
      <c s="125" r="F138"/>
      <c s="125" r="G138"/>
      <c s="125" r="H138"/>
      <c s="125" r="I138"/>
      <c s="125" r="J138"/>
      <c s="125" r="K138"/>
      <c s="125" r="L138"/>
      <c s="125" r="M138"/>
      <c s="125" r="N138"/>
      <c s="125" r="O138"/>
      <c s="125" r="P138"/>
      <c s="125" r="Q138"/>
      <c s="125" r="R138"/>
      <c s="125" r="S138"/>
      <c s="822" r="T138"/>
      <c s="908" r="U138"/>
      <c s="551" r="V138"/>
      <c s="551" r="W138"/>
      <c s="551" r="X138"/>
      <c t="s" s="621" r="Y138">
        <v>169</v>
      </c>
      <c t="str" s="328" r="Z138">
        <f>Profile!F82</f>
        <v>---</v>
      </c>
      <c s="51" r="AA138"/>
      <c s="125" r="AB138"/>
      <c s="761" r="AC138"/>
      <c s="341" r="AD138"/>
    </row>
    <row r="139">
      <c s="125" r="A139"/>
      <c s="125" r="B139"/>
      <c s="125" r="C139"/>
      <c s="125" r="D139"/>
      <c s="125" r="E139"/>
      <c s="125" r="F139"/>
      <c s="125" r="G139"/>
      <c s="125" r="H139"/>
      <c s="125" r="I139"/>
      <c s="125" r="J139"/>
      <c s="125" r="K139"/>
      <c s="125" r="L139"/>
      <c s="125" r="M139"/>
      <c s="125" r="N139"/>
      <c s="125" r="O139"/>
      <c s="125" r="P139"/>
      <c s="125" r="Q139"/>
      <c s="125" r="R139"/>
      <c s="125" r="S139"/>
      <c s="822" r="T139"/>
      <c s="908" r="U139"/>
      <c s="551" r="V139"/>
      <c s="551" r="W139"/>
      <c s="551" r="X139"/>
      <c t="s" s="8" r="Y139">
        <v>214</v>
      </c>
      <c t="str" s="328" r="Z139">
        <f>Profile!H82</f>
        <v>---</v>
      </c>
      <c s="51" r="AA139"/>
      <c s="125" r="AB139"/>
      <c s="761" r="AC139"/>
      <c s="341" r="AD139"/>
    </row>
    <row customHeight="1" r="140" ht="13.5">
      <c s="125" r="A140"/>
      <c s="125" r="B140"/>
      <c s="125" r="C140"/>
      <c s="125" r="D140"/>
      <c s="125" r="E140"/>
      <c s="125" r="F140"/>
      <c s="125" r="G140"/>
      <c s="125" r="H140"/>
      <c s="125" r="I140"/>
      <c s="125" r="J140"/>
      <c s="125" r="K140"/>
      <c s="125" r="L140"/>
      <c s="125" r="M140"/>
      <c s="125" r="N140"/>
      <c s="125" r="O140"/>
      <c s="125" r="P140"/>
      <c s="125" r="Q140"/>
      <c s="125" r="R140"/>
      <c s="125" r="S140"/>
      <c s="822" r="T140"/>
      <c s="408" r="U140"/>
      <c s="246" r="V140"/>
      <c s="246" r="W140"/>
      <c s="246" r="X140"/>
      <c t="s" s="152" r="Y140">
        <v>215</v>
      </c>
      <c t="str" s="66" r="Z140">
        <f>Profile!I82</f>
        <v>---</v>
      </c>
      <c s="51" r="AA140"/>
      <c s="125" r="AB140"/>
      <c s="761" r="AC140"/>
      <c s="341" r="AD140"/>
    </row>
    <row customHeight="1" r="141" ht="13.5">
      <c s="125" r="A141"/>
      <c s="125" r="B141"/>
      <c s="125" r="C141"/>
      <c s="125" r="D141"/>
      <c s="125" r="E141"/>
      <c s="125" r="F141"/>
      <c s="125" r="G141"/>
      <c s="125" r="H141"/>
      <c s="125" r="I141"/>
      <c s="125" r="J141"/>
      <c s="125" r="K141"/>
      <c s="125" r="L141"/>
      <c s="125" r="M141"/>
      <c s="125" r="N141"/>
      <c s="125" r="O141"/>
      <c s="125" r="P141"/>
      <c s="125" r="Q141"/>
      <c s="125" r="R141"/>
      <c s="125" r="S141"/>
      <c s="822" r="T141"/>
      <c t="s" s="254" r="U141">
        <v>114</v>
      </c>
      <c s="308" r="V141"/>
      <c s="308" r="W141"/>
      <c s="308" r="X141"/>
      <c s="892" r="Y141"/>
      <c s="132" r="Z141"/>
      <c s="51" r="AA141"/>
      <c s="125" r="AB141"/>
      <c s="761" r="AC141"/>
      <c s="341" r="AD141"/>
    </row>
    <row r="142">
      <c s="125" r="A142"/>
      <c s="125" r="B142"/>
      <c s="125" r="C142"/>
      <c s="125" r="D142"/>
      <c s="125" r="E142"/>
      <c s="125" r="F142"/>
      <c s="125" r="G142"/>
      <c s="125" r="H142"/>
      <c s="125" r="I142"/>
      <c s="125" r="J142"/>
      <c s="125" r="K142"/>
      <c s="125" r="L142"/>
      <c s="125" r="M142"/>
      <c s="125" r="N142"/>
      <c s="125" r="O142"/>
      <c s="125" r="P142"/>
      <c s="125" r="Q142"/>
      <c s="125" r="R142"/>
      <c s="125" r="S142"/>
      <c s="822" r="T142"/>
      <c s="738" r="U142"/>
      <c s="664" r="V142"/>
      <c s="664" r="W142"/>
      <c s="664" r="X142"/>
      <c t="s" s="520" r="Y142">
        <v>216</v>
      </c>
      <c t="str" s="346" r="Z142">
        <f>Pattern!F64</f>
        <v>---</v>
      </c>
      <c s="51" r="AA142"/>
      <c s="125" r="AB142"/>
      <c s="761" r="AC142"/>
      <c s="341" r="AD142"/>
    </row>
    <row r="143">
      <c s="125" r="A143"/>
      <c s="125" r="B143"/>
      <c s="125" r="C143"/>
      <c s="125" r="D143"/>
      <c s="125" r="E143"/>
      <c s="125" r="F143"/>
      <c s="125" r="G143"/>
      <c s="125" r="H143"/>
      <c s="125" r="I143"/>
      <c s="125" r="J143"/>
      <c s="125" r="K143"/>
      <c s="125" r="L143"/>
      <c s="125" r="M143"/>
      <c s="125" r="N143"/>
      <c s="125" r="O143"/>
      <c s="125" r="P143"/>
      <c s="125" r="Q143"/>
      <c s="125" r="R143"/>
      <c s="125" r="S143"/>
      <c s="822" r="T143"/>
      <c s="908" r="U143"/>
      <c s="551" r="V143"/>
      <c s="551" r="W143"/>
      <c s="551" r="X143"/>
      <c t="s" s="8" r="Y143">
        <v>217</v>
      </c>
      <c t="str" s="224" r="Z143">
        <f>Pattern!H64</f>
        <v>---</v>
      </c>
      <c s="51" r="AA143"/>
      <c s="125" r="AB143"/>
      <c s="761" r="AC143"/>
      <c s="341" r="AD143"/>
    </row>
    <row r="144">
      <c s="125" r="A144"/>
      <c s="125" r="B144"/>
      <c s="125" r="C144"/>
      <c s="125" r="D144"/>
      <c s="125" r="E144"/>
      <c s="125" r="F144"/>
      <c s="125" r="G144"/>
      <c s="125" r="H144"/>
      <c s="125" r="I144"/>
      <c s="125" r="J144"/>
      <c s="125" r="K144"/>
      <c s="125" r="L144"/>
      <c s="125" r="M144"/>
      <c s="125" r="N144"/>
      <c s="125" r="O144"/>
      <c s="125" r="P144"/>
      <c s="125" r="Q144"/>
      <c s="125" r="R144"/>
      <c s="125" r="S144"/>
      <c s="822" r="T144"/>
      <c s="908" r="U144"/>
      <c s="551" r="V144"/>
      <c s="551" r="W144"/>
      <c s="551" r="X144"/>
      <c t="s" s="8" r="Y144">
        <v>218</v>
      </c>
      <c t="str" s="224" r="Z144">
        <f>Pattern!I64</f>
        <v>---</v>
      </c>
      <c s="51" r="AA144"/>
      <c s="125" r="AB144"/>
      <c s="761" r="AC144"/>
      <c s="341" r="AD144"/>
    </row>
    <row r="145">
      <c s="125" r="A145"/>
      <c s="125" r="B145"/>
      <c s="125" r="C145"/>
      <c s="125" r="D145"/>
      <c s="125" r="E145"/>
      <c s="125" r="F145"/>
      <c s="125" r="G145"/>
      <c s="125" r="H145"/>
      <c s="125" r="I145"/>
      <c s="125" r="J145"/>
      <c s="125" r="K145"/>
      <c s="125" r="L145"/>
      <c s="125" r="M145"/>
      <c s="125" r="N145"/>
      <c s="125" r="O145"/>
      <c s="125" r="P145"/>
      <c s="125" r="Q145"/>
      <c s="125" r="R145"/>
      <c s="125" r="S145"/>
      <c s="822" r="T145"/>
      <c s="908" r="U145"/>
      <c s="551" r="V145"/>
      <c s="551" r="W145"/>
      <c s="551" r="X145"/>
      <c t="s" s="621" r="Y145">
        <v>219</v>
      </c>
      <c t="str" s="224" r="Z145">
        <f>Pattern!F65</f>
        <v>---</v>
      </c>
      <c s="51" r="AA145"/>
      <c s="125" r="AB145"/>
      <c s="761" r="AC145"/>
      <c s="341" r="AD145"/>
    </row>
    <row r="146">
      <c s="125" r="A146"/>
      <c s="125" r="B146"/>
      <c s="125" r="C146"/>
      <c s="125" r="D146"/>
      <c s="125" r="E146"/>
      <c s="125" r="F146"/>
      <c s="125" r="G146"/>
      <c s="125" r="H146"/>
      <c s="125" r="I146"/>
      <c s="125" r="J146"/>
      <c s="125" r="K146"/>
      <c s="125" r="L146"/>
      <c s="125" r="M146"/>
      <c s="125" r="N146"/>
      <c s="125" r="O146"/>
      <c s="125" r="P146"/>
      <c s="125" r="Q146"/>
      <c s="125" r="R146"/>
      <c s="125" r="S146"/>
      <c s="822" r="T146"/>
      <c s="908" r="U146"/>
      <c s="551" r="V146"/>
      <c s="551" r="W146"/>
      <c s="551" r="X146"/>
      <c t="s" s="8" r="Y146">
        <v>220</v>
      </c>
      <c t="str" s="224" r="Z146">
        <f>Pattern!H65</f>
        <v>---</v>
      </c>
      <c s="51" r="AA146"/>
      <c s="125" r="AB146"/>
      <c s="761" r="AC146"/>
      <c s="341" r="AD146"/>
    </row>
    <row r="147">
      <c s="125" r="A147"/>
      <c s="125" r="B147"/>
      <c s="125" r="C147"/>
      <c s="125" r="D147"/>
      <c s="125" r="E147"/>
      <c s="125" r="F147"/>
      <c s="125" r="G147"/>
      <c s="125" r="H147"/>
      <c s="125" r="I147"/>
      <c s="125" r="J147"/>
      <c s="125" r="K147"/>
      <c s="125" r="L147"/>
      <c s="125" r="M147"/>
      <c s="125" r="N147"/>
      <c s="125" r="O147"/>
      <c s="125" r="P147"/>
      <c s="125" r="Q147"/>
      <c s="125" r="R147"/>
      <c s="125" r="S147"/>
      <c s="822" r="T147"/>
      <c s="908" r="U147"/>
      <c s="551" r="V147"/>
      <c s="551" r="W147"/>
      <c s="551" r="X147"/>
      <c t="s" s="8" r="Y147">
        <v>221</v>
      </c>
      <c t="str" s="224" r="Z147">
        <f>Pattern!I65</f>
        <v>---</v>
      </c>
      <c s="51" r="AA147"/>
      <c s="125" r="AB147"/>
      <c s="761" r="AC147"/>
      <c s="341" r="AD147"/>
    </row>
    <row r="148">
      <c s="125" r="A148"/>
      <c s="125" r="B148"/>
      <c s="125" r="C148"/>
      <c s="125" r="D148"/>
      <c s="125" r="E148"/>
      <c s="125" r="F148"/>
      <c s="125" r="G148"/>
      <c s="125" r="H148"/>
      <c s="125" r="I148"/>
      <c s="125" r="J148"/>
      <c s="125" r="K148"/>
      <c s="125" r="L148"/>
      <c s="125" r="M148"/>
      <c s="125" r="N148"/>
      <c s="125" r="O148"/>
      <c s="125" r="P148"/>
      <c s="125" r="Q148"/>
      <c s="125" r="R148"/>
      <c s="125" r="S148"/>
      <c s="822" r="T148"/>
      <c s="908" r="U148"/>
      <c s="551" r="V148"/>
      <c s="551" r="W148"/>
      <c s="551" r="X148"/>
      <c t="s" s="621" r="Y148">
        <v>222</v>
      </c>
      <c t="str" s="224" r="Z148">
        <f>Pattern!F66</f>
        <v>---</v>
      </c>
      <c s="51" r="AA148"/>
      <c s="125" r="AB148"/>
      <c s="761" r="AC148"/>
      <c s="341" r="AD148"/>
    </row>
    <row r="149">
      <c s="125" r="A149"/>
      <c s="125" r="B149"/>
      <c s="125" r="C149"/>
      <c s="125" r="D149"/>
      <c s="125" r="E149"/>
      <c s="125" r="F149"/>
      <c s="125" r="G149"/>
      <c s="125" r="H149"/>
      <c s="125" r="I149"/>
      <c s="125" r="J149"/>
      <c s="125" r="K149"/>
      <c s="125" r="L149"/>
      <c s="125" r="M149"/>
      <c s="125" r="N149"/>
      <c s="125" r="O149"/>
      <c s="125" r="P149"/>
      <c s="125" r="Q149"/>
      <c s="125" r="R149"/>
      <c s="125" r="S149"/>
      <c s="822" r="T149"/>
      <c s="908" r="U149"/>
      <c s="551" r="V149"/>
      <c s="551" r="W149"/>
      <c s="551" r="X149"/>
      <c t="s" s="8" r="Y149">
        <v>223</v>
      </c>
      <c t="str" s="224" r="Z149">
        <f>Pattern!H66</f>
        <v>---</v>
      </c>
      <c s="51" r="AA149"/>
      <c s="125" r="AB149"/>
      <c s="761" r="AC149"/>
      <c s="341" r="AD149"/>
    </row>
    <row r="150">
      <c s="125" r="A150"/>
      <c s="125" r="B150"/>
      <c s="125" r="C150"/>
      <c s="125" r="D150"/>
      <c s="125" r="E150"/>
      <c s="125" r="F150"/>
      <c s="125" r="G150"/>
      <c s="125" r="H150"/>
      <c s="125" r="I150"/>
      <c s="125" r="J150"/>
      <c s="125" r="K150"/>
      <c s="125" r="L150"/>
      <c s="125" r="M150"/>
      <c s="125" r="N150"/>
      <c s="125" r="O150"/>
      <c s="125" r="P150"/>
      <c s="125" r="Q150"/>
      <c s="125" r="R150"/>
      <c s="125" r="S150"/>
      <c s="822" r="T150"/>
      <c s="908" r="U150"/>
      <c s="551" r="V150"/>
      <c s="551" r="W150"/>
      <c s="551" r="X150"/>
      <c t="s" s="8" r="Y150">
        <v>224</v>
      </c>
      <c t="str" s="224" r="Z150">
        <f>Pattern!I66</f>
        <v>---</v>
      </c>
      <c s="51" r="AA150"/>
      <c s="125" r="AB150"/>
      <c s="761" r="AC150"/>
      <c s="341" r="AD150"/>
    </row>
    <row r="151">
      <c s="125" r="A151"/>
      <c s="125" r="B151"/>
      <c s="125" r="C151"/>
      <c s="125" r="D151"/>
      <c s="125" r="E151"/>
      <c s="125" r="F151"/>
      <c s="125" r="G151"/>
      <c s="125" r="H151"/>
      <c s="125" r="I151"/>
      <c s="125" r="J151"/>
      <c s="125" r="K151"/>
      <c s="125" r="L151"/>
      <c s="125" r="M151"/>
      <c s="125" r="N151"/>
      <c s="125" r="O151"/>
      <c s="125" r="P151"/>
      <c s="125" r="Q151"/>
      <c s="125" r="R151"/>
      <c s="125" r="S151"/>
      <c s="822" r="T151"/>
      <c s="908" r="U151"/>
      <c s="551" r="V151"/>
      <c s="551" r="W151"/>
      <c s="551" r="X151"/>
      <c t="s" s="621" r="Y151">
        <v>225</v>
      </c>
      <c t="str" s="224" r="Z151">
        <f>Pattern!F67</f>
        <v>---</v>
      </c>
      <c s="51" r="AA151"/>
      <c s="125" r="AB151"/>
      <c s="761" r="AC151"/>
      <c s="341" r="AD151"/>
    </row>
    <row r="152">
      <c s="125" r="A152"/>
      <c s="125" r="B152"/>
      <c s="125" r="C152"/>
      <c s="125" r="D152"/>
      <c s="125" r="E152"/>
      <c s="125" r="F152"/>
      <c s="125" r="G152"/>
      <c s="125" r="H152"/>
      <c s="125" r="I152"/>
      <c s="125" r="J152"/>
      <c s="125" r="K152"/>
      <c s="125" r="L152"/>
      <c s="125" r="M152"/>
      <c s="125" r="N152"/>
      <c s="125" r="O152"/>
      <c s="125" r="P152"/>
      <c s="125" r="Q152"/>
      <c s="125" r="R152"/>
      <c s="125" r="S152"/>
      <c s="822" r="T152"/>
      <c s="908" r="U152"/>
      <c s="551" r="V152"/>
      <c s="551" r="W152"/>
      <c s="551" r="X152"/>
      <c t="s" s="8" r="Y152">
        <v>226</v>
      </c>
      <c t="str" s="224" r="Z152">
        <f>Pattern!H67</f>
        <v>---</v>
      </c>
      <c s="51" r="AA152"/>
      <c s="125" r="AB152"/>
      <c s="761" r="AC152"/>
      <c s="341" r="AD152"/>
    </row>
    <row r="153">
      <c s="125" r="A153"/>
      <c s="125" r="B153"/>
      <c s="125" r="C153"/>
      <c s="125" r="D153"/>
      <c s="125" r="E153"/>
      <c s="125" r="F153"/>
      <c s="125" r="G153"/>
      <c s="125" r="H153"/>
      <c s="125" r="I153"/>
      <c s="125" r="J153"/>
      <c s="125" r="K153"/>
      <c s="125" r="L153"/>
      <c s="125" r="M153"/>
      <c s="125" r="N153"/>
      <c s="125" r="O153"/>
      <c s="125" r="P153"/>
      <c s="125" r="Q153"/>
      <c s="125" r="R153"/>
      <c s="125" r="S153"/>
      <c s="822" r="T153"/>
      <c s="908" r="U153"/>
      <c s="551" r="V153"/>
      <c s="551" r="W153"/>
      <c s="551" r="X153"/>
      <c t="s" s="8" r="Y153">
        <v>227</v>
      </c>
      <c t="str" s="224" r="Z153">
        <f>Pattern!I67</f>
        <v>---</v>
      </c>
      <c s="51" r="AA153"/>
      <c s="125" r="AB153"/>
      <c s="761" r="AC153"/>
      <c s="341" r="AD153"/>
    </row>
    <row r="154">
      <c s="125" r="A154"/>
      <c s="125" r="B154"/>
      <c s="125" r="C154"/>
      <c s="125" r="D154"/>
      <c s="125" r="E154"/>
      <c s="125" r="F154"/>
      <c s="125" r="G154"/>
      <c s="125" r="H154"/>
      <c s="125" r="I154"/>
      <c s="125" r="J154"/>
      <c s="125" r="K154"/>
      <c s="125" r="L154"/>
      <c s="125" r="M154"/>
      <c s="125" r="N154"/>
      <c s="125" r="O154"/>
      <c s="125" r="P154"/>
      <c s="125" r="Q154"/>
      <c s="125" r="R154"/>
      <c s="125" r="S154"/>
      <c s="822" r="T154"/>
      <c s="432" r="U154"/>
      <c s="551" r="V154"/>
      <c s="551" r="W154"/>
      <c s="551" r="X154"/>
      <c t="s" s="621" r="Y154">
        <v>121</v>
      </c>
      <c t="str" s="224" r="Z154">
        <f>Pattern!F68</f>
        <v>---</v>
      </c>
      <c s="51" r="AA154"/>
      <c s="125" r="AB154"/>
      <c s="761" r="AC154"/>
      <c s="341" r="AD154"/>
    </row>
    <row r="155">
      <c s="125" r="A155"/>
      <c s="125" r="B155"/>
      <c s="125" r="C155"/>
      <c s="125" r="D155"/>
      <c s="125" r="E155"/>
      <c s="125" r="F155"/>
      <c s="125" r="G155"/>
      <c s="125" r="H155"/>
      <c s="125" r="I155"/>
      <c s="125" r="J155"/>
      <c s="125" r="K155"/>
      <c s="125" r="L155"/>
      <c s="125" r="M155"/>
      <c s="125" r="N155"/>
      <c s="125" r="O155"/>
      <c s="125" r="P155"/>
      <c s="125" r="Q155"/>
      <c s="125" r="R155"/>
      <c s="125" r="S155"/>
      <c s="822" r="T155"/>
      <c s="908" r="U155"/>
      <c s="551" r="V155"/>
      <c s="551" r="W155"/>
      <c s="551" r="X155"/>
      <c t="s" s="8" r="Y155">
        <v>228</v>
      </c>
      <c t="str" s="224" r="Z155">
        <f>Pattern!H68</f>
        <v>---</v>
      </c>
      <c s="51" r="AA155"/>
      <c s="125" r="AB155"/>
      <c s="761" r="AC155"/>
      <c s="341" r="AD155"/>
    </row>
    <row r="156">
      <c s="125" r="A156"/>
      <c s="125" r="B156"/>
      <c s="125" r="C156"/>
      <c s="125" r="D156"/>
      <c s="125" r="E156"/>
      <c s="125" r="F156"/>
      <c s="125" r="G156"/>
      <c s="125" r="H156"/>
      <c s="125" r="I156"/>
      <c s="125" r="J156"/>
      <c s="125" r="K156"/>
      <c s="125" r="L156"/>
      <c s="125" r="M156"/>
      <c s="125" r="N156"/>
      <c s="125" r="O156"/>
      <c s="125" r="P156"/>
      <c s="125" r="Q156"/>
      <c s="125" r="R156"/>
      <c s="125" r="S156"/>
      <c s="822" r="T156"/>
      <c s="908" r="U156"/>
      <c s="551" r="V156"/>
      <c s="551" r="W156"/>
      <c s="551" r="X156"/>
      <c t="s" s="8" r="Y156">
        <v>229</v>
      </c>
      <c t="str" s="224" r="Z156">
        <f>Pattern!I68</f>
        <v>---</v>
      </c>
      <c s="51" r="AA156"/>
      <c s="125" r="AB156"/>
      <c s="761" r="AC156"/>
      <c s="341" r="AD156"/>
    </row>
    <row r="157">
      <c s="125" r="A157"/>
      <c s="125" r="B157"/>
      <c s="125" r="C157"/>
      <c s="125" r="D157"/>
      <c s="125" r="E157"/>
      <c s="125" r="F157"/>
      <c s="125" r="G157"/>
      <c s="125" r="H157"/>
      <c s="125" r="I157"/>
      <c s="125" r="J157"/>
      <c s="125" r="K157"/>
      <c s="125" r="L157"/>
      <c s="125" r="M157"/>
      <c s="125" r="N157"/>
      <c s="125" r="O157"/>
      <c s="125" r="P157"/>
      <c s="125" r="Q157"/>
      <c s="125" r="R157"/>
      <c s="125" r="S157"/>
      <c s="822" r="T157"/>
      <c s="908" r="U157"/>
      <c s="551" r="V157"/>
      <c s="551" r="W157"/>
      <c s="551" r="X157"/>
      <c t="s" s="621" r="Y157">
        <v>230</v>
      </c>
      <c t="str" s="224" r="Z157">
        <f>Pattern!F69</f>
        <v>---</v>
      </c>
      <c s="51" r="AA157"/>
      <c s="125" r="AB157"/>
      <c s="761" r="AC157"/>
      <c s="341" r="AD157"/>
    </row>
    <row r="158">
      <c s="125" r="A158"/>
      <c s="125" r="B158"/>
      <c s="125" r="C158"/>
      <c s="125" r="D158"/>
      <c s="125" r="E158"/>
      <c s="125" r="F158"/>
      <c s="125" r="G158"/>
      <c s="125" r="H158"/>
      <c s="125" r="I158"/>
      <c s="125" r="J158"/>
      <c s="125" r="K158"/>
      <c s="125" r="L158"/>
      <c s="125" r="M158"/>
      <c s="125" r="N158"/>
      <c s="125" r="O158"/>
      <c s="125" r="P158"/>
      <c s="125" r="Q158"/>
      <c s="125" r="R158"/>
      <c s="125" r="S158"/>
      <c s="822" r="T158"/>
      <c s="908" r="U158"/>
      <c s="551" r="V158"/>
      <c s="551" r="W158"/>
      <c s="551" r="X158"/>
      <c t="s" s="621" r="Y158">
        <v>231</v>
      </c>
      <c t="str" s="224" r="Z158">
        <f>Pattern!F70</f>
        <v>---</v>
      </c>
      <c s="51" r="AA158"/>
      <c s="125" r="AB158"/>
      <c s="761" r="AC158"/>
      <c s="341" r="AD158"/>
    </row>
    <row r="159">
      <c s="125" r="A159"/>
      <c s="125" r="B159"/>
      <c s="125" r="C159"/>
      <c s="125" r="D159"/>
      <c s="125" r="E159"/>
      <c s="125" r="F159"/>
      <c s="125" r="G159"/>
      <c s="125" r="H159"/>
      <c s="125" r="I159"/>
      <c s="125" r="J159"/>
      <c s="125" r="K159"/>
      <c s="125" r="L159"/>
      <c s="125" r="M159"/>
      <c s="125" r="N159"/>
      <c s="125" r="O159"/>
      <c s="125" r="P159"/>
      <c s="125" r="Q159"/>
      <c s="125" r="R159"/>
      <c s="125" r="S159"/>
      <c s="822" r="T159"/>
      <c s="908" r="U159"/>
      <c s="551" r="V159"/>
      <c s="551" r="W159"/>
      <c s="551" r="X159"/>
      <c t="s" s="621" r="Y159">
        <v>125</v>
      </c>
      <c t="str" s="224" r="Z159">
        <f>Pattern!F71</f>
        <v>---</v>
      </c>
      <c s="51" r="AA159"/>
      <c s="125" r="AB159"/>
      <c s="761" r="AC159"/>
      <c s="341" r="AD159"/>
    </row>
    <row r="160">
      <c s="125" r="A160"/>
      <c s="125" r="B160"/>
      <c s="125" r="C160"/>
      <c s="125" r="D160"/>
      <c s="125" r="E160"/>
      <c s="125" r="F160"/>
      <c s="125" r="G160"/>
      <c s="125" r="H160"/>
      <c s="125" r="I160"/>
      <c s="125" r="J160"/>
      <c s="125" r="K160"/>
      <c s="125" r="L160"/>
      <c s="125" r="M160"/>
      <c s="125" r="N160"/>
      <c s="125" r="O160"/>
      <c s="125" r="P160"/>
      <c s="125" r="Q160"/>
      <c s="125" r="R160"/>
      <c s="125" r="S160"/>
      <c s="822" r="T160"/>
      <c s="908" r="U160"/>
      <c s="551" r="V160"/>
      <c s="551" r="W160"/>
      <c s="551" r="X160"/>
      <c t="s" s="621" r="Y160">
        <v>129</v>
      </c>
      <c t="str" s="328" r="Z160">
        <f>Pattern!F73</f>
        <v>---</v>
      </c>
      <c s="51" r="AA160"/>
      <c s="125" r="AB160"/>
      <c s="761" r="AC160"/>
      <c s="341" r="AD160"/>
    </row>
    <row r="161">
      <c s="125" r="A161"/>
      <c s="125" r="B161"/>
      <c s="125" r="C161"/>
      <c s="125" r="D161"/>
      <c s="125" r="E161"/>
      <c s="125" r="F161"/>
      <c s="125" r="G161"/>
      <c s="125" r="H161"/>
      <c s="125" r="I161"/>
      <c s="125" r="J161"/>
      <c s="125" r="K161"/>
      <c s="125" r="L161"/>
      <c s="125" r="M161"/>
      <c s="125" r="N161"/>
      <c s="125" r="O161"/>
      <c s="125" r="P161"/>
      <c s="125" r="Q161"/>
      <c s="125" r="R161"/>
      <c s="125" r="S161"/>
      <c s="822" r="T161"/>
      <c s="908" r="U161"/>
      <c s="551" r="V161"/>
      <c s="551" r="W161"/>
      <c s="551" r="X161"/>
      <c t="s" s="8" r="Y161">
        <v>232</v>
      </c>
      <c t="str" s="328" r="Z161">
        <f>Pattern!H73</f>
        <v>---</v>
      </c>
      <c s="51" r="AA161"/>
      <c s="125" r="AB161"/>
      <c s="761" r="AC161"/>
      <c s="341" r="AD161"/>
    </row>
    <row r="162">
      <c s="125" r="A162"/>
      <c s="125" r="B162"/>
      <c s="125" r="C162"/>
      <c s="125" r="D162"/>
      <c s="125" r="E162"/>
      <c s="125" r="F162"/>
      <c s="125" r="G162"/>
      <c s="125" r="H162"/>
      <c s="125" r="I162"/>
      <c s="125" r="J162"/>
      <c s="125" r="K162"/>
      <c s="125" r="L162"/>
      <c s="125" r="M162"/>
      <c s="125" r="N162"/>
      <c s="125" r="O162"/>
      <c s="125" r="P162"/>
      <c s="125" r="Q162"/>
      <c s="125" r="R162"/>
      <c s="125" r="S162"/>
      <c s="822" r="T162"/>
      <c s="908" r="U162"/>
      <c s="551" r="V162"/>
      <c s="551" r="W162"/>
      <c s="551" r="X162"/>
      <c t="s" s="8" r="Y162">
        <v>233</v>
      </c>
      <c t="str" s="328" r="Z162">
        <f>Pattern!I73</f>
        <v>---</v>
      </c>
      <c s="51" r="AA162"/>
      <c s="125" r="AB162"/>
      <c s="761" r="AC162"/>
      <c s="341" r="AD162"/>
    </row>
    <row r="163">
      <c s="125" r="A163"/>
      <c s="125" r="B163"/>
      <c s="125" r="C163"/>
      <c s="125" r="D163"/>
      <c s="125" r="E163"/>
      <c s="125" r="F163"/>
      <c s="125" r="G163"/>
      <c s="125" r="H163"/>
      <c s="125" r="I163"/>
      <c s="125" r="J163"/>
      <c s="125" r="K163"/>
      <c s="125" r="L163"/>
      <c s="125" r="M163"/>
      <c s="125" r="N163"/>
      <c s="125" r="O163"/>
      <c s="125" r="P163"/>
      <c s="125" r="Q163"/>
      <c s="125" r="R163"/>
      <c s="125" r="S163"/>
      <c s="822" r="T163"/>
      <c s="908" r="U163"/>
      <c s="551" r="V163"/>
      <c s="551" r="W163"/>
      <c s="551" r="X163"/>
      <c t="s" s="621" r="Y163">
        <v>127</v>
      </c>
      <c t="str" s="328" r="Z163">
        <f>Pattern!F72</f>
        <v>---</v>
      </c>
      <c s="51" r="AA163"/>
      <c s="125" r="AB163"/>
      <c s="761" r="AC163"/>
      <c s="341" r="AD163"/>
    </row>
    <row r="164">
      <c s="125" r="A164"/>
      <c s="125" r="B164"/>
      <c s="125" r="C164"/>
      <c s="125" r="D164"/>
      <c s="125" r="E164"/>
      <c s="125" r="F164"/>
      <c s="125" r="G164"/>
      <c s="125" r="H164"/>
      <c s="125" r="I164"/>
      <c s="125" r="J164"/>
      <c s="125" r="K164"/>
      <c s="125" r="L164"/>
      <c s="125" r="M164"/>
      <c s="125" r="N164"/>
      <c s="125" r="O164"/>
      <c s="125" r="P164"/>
      <c s="125" r="Q164"/>
      <c s="125" r="R164"/>
      <c s="125" r="S164"/>
      <c s="822" r="T164"/>
      <c s="908" r="U164"/>
      <c s="551" r="V164"/>
      <c s="551" r="W164"/>
      <c s="551" r="X164"/>
      <c t="s" s="8" r="Y164">
        <v>234</v>
      </c>
      <c t="str" s="328" r="Z164">
        <f>Pattern!H72</f>
        <v>---</v>
      </c>
      <c s="51" r="AA164"/>
      <c s="125" r="AB164"/>
      <c s="761" r="AC164"/>
      <c s="341" r="AD164"/>
    </row>
    <row r="165">
      <c s="125" r="A165"/>
      <c s="125" r="B165"/>
      <c s="125" r="C165"/>
      <c s="125" r="D165"/>
      <c s="125" r="E165"/>
      <c s="125" r="F165"/>
      <c s="125" r="G165"/>
      <c s="125" r="H165"/>
      <c s="125" r="I165"/>
      <c s="125" r="J165"/>
      <c s="125" r="K165"/>
      <c s="125" r="L165"/>
      <c s="125" r="M165"/>
      <c s="125" r="N165"/>
      <c s="125" r="O165"/>
      <c s="125" r="P165"/>
      <c s="125" r="Q165"/>
      <c s="125" r="R165"/>
      <c s="125" r="S165"/>
      <c s="822" r="T165"/>
      <c s="908" r="U165"/>
      <c s="551" r="V165"/>
      <c s="551" r="W165"/>
      <c s="551" r="X165"/>
      <c t="s" s="8" r="Y165">
        <v>235</v>
      </c>
      <c t="str" s="328" r="Z165">
        <f>Pattern!I72</f>
        <v>---</v>
      </c>
      <c s="51" r="AA165"/>
      <c s="125" r="AB165"/>
      <c s="761" r="AC165"/>
      <c s="341" r="AD165"/>
    </row>
    <row r="166">
      <c s="125" r="A166"/>
      <c s="125" r="B166"/>
      <c s="125" r="C166"/>
      <c s="125" r="D166"/>
      <c s="125" r="E166"/>
      <c s="125" r="F166"/>
      <c s="125" r="G166"/>
      <c s="125" r="H166"/>
      <c s="125" r="I166"/>
      <c s="125" r="J166"/>
      <c s="125" r="K166"/>
      <c s="125" r="L166"/>
      <c s="125" r="M166"/>
      <c s="125" r="N166"/>
      <c s="125" r="O166"/>
      <c s="125" r="P166"/>
      <c s="125" r="Q166"/>
      <c s="125" r="R166"/>
      <c s="125" r="S166"/>
      <c s="822" r="T166"/>
      <c s="908" r="U166"/>
      <c s="551" r="V166"/>
      <c s="551" r="W166"/>
      <c s="551" r="X166"/>
      <c t="s" s="621" r="Y166">
        <v>131</v>
      </c>
      <c t="str" s="328" r="Z166">
        <f>Pattern!F74</f>
        <v>---</v>
      </c>
      <c s="51" r="AA166"/>
      <c s="125" r="AB166"/>
      <c s="761" r="AC166"/>
      <c s="341" r="AD166"/>
    </row>
    <row r="167">
      <c s="125" r="A167"/>
      <c s="125" r="B167"/>
      <c s="125" r="C167"/>
      <c s="125" r="D167"/>
      <c s="125" r="E167"/>
      <c s="125" r="F167"/>
      <c s="125" r="G167"/>
      <c s="125" r="H167"/>
      <c s="125" r="I167"/>
      <c s="125" r="J167"/>
      <c s="125" r="K167"/>
      <c s="125" r="L167"/>
      <c s="125" r="M167"/>
      <c s="125" r="N167"/>
      <c s="125" r="O167"/>
      <c s="125" r="P167"/>
      <c s="125" r="Q167"/>
      <c s="125" r="R167"/>
      <c s="125" r="S167"/>
      <c s="822" r="T167"/>
      <c s="908" r="U167"/>
      <c s="551" r="V167"/>
      <c s="551" r="W167"/>
      <c s="551" r="X167"/>
      <c t="s" s="8" r="Y167">
        <v>236</v>
      </c>
      <c t="str" s="328" r="Z167">
        <f>Pattern!H74</f>
        <v>---</v>
      </c>
      <c s="51" r="AA167"/>
      <c s="125" r="AB167"/>
      <c s="761" r="AC167"/>
      <c s="341" r="AD167"/>
    </row>
    <row customHeight="1" r="168" ht="13.5">
      <c s="125" r="A168"/>
      <c s="125" r="B168"/>
      <c s="125" r="C168"/>
      <c s="125" r="D168"/>
      <c s="125" r="E168"/>
      <c s="125" r="F168"/>
      <c s="125" r="G168"/>
      <c s="125" r="H168"/>
      <c s="125" r="I168"/>
      <c s="125" r="J168"/>
      <c s="125" r="K168"/>
      <c s="125" r="L168"/>
      <c s="125" r="M168"/>
      <c s="125" r="N168"/>
      <c s="125" r="O168"/>
      <c s="125" r="P168"/>
      <c s="125" r="Q168"/>
      <c s="125" r="R168"/>
      <c s="125" r="S168"/>
      <c s="822" r="T168"/>
      <c s="408" r="U168"/>
      <c s="246" r="V168"/>
      <c s="246" r="W168"/>
      <c s="246" r="X168"/>
      <c t="s" s="152" r="Y168">
        <v>237</v>
      </c>
      <c t="str" s="66" r="Z168">
        <f>Pattern!I74</f>
        <v>---</v>
      </c>
      <c s="51" r="AA168"/>
      <c s="125" r="AB168"/>
      <c s="761" r="AC168"/>
      <c s="341" r="AD168"/>
    </row>
    <row customHeight="1" r="169" ht="13.5">
      <c s="125" r="A169"/>
      <c s="125" r="B169"/>
      <c s="125" r="C169"/>
      <c s="125" r="D169"/>
      <c s="125" r="E169"/>
      <c s="125" r="F169"/>
      <c s="125" r="G169"/>
      <c s="125" r="H169"/>
      <c s="125" r="I169"/>
      <c s="125" r="J169"/>
      <c s="125" r="K169"/>
      <c s="125" r="L169"/>
      <c s="125" r="M169"/>
      <c s="125" r="N169"/>
      <c s="125" r="O169"/>
      <c s="125" r="P169"/>
      <c s="125" r="Q169"/>
      <c s="125" r="R169"/>
      <c s="125" r="S169"/>
      <c s="822" r="T169"/>
      <c t="s" s="254" r="U169">
        <v>238</v>
      </c>
      <c s="308" r="V169"/>
      <c s="308" r="W169"/>
      <c s="308" r="X169"/>
      <c s="308" r="Y169"/>
      <c s="132" r="Z169"/>
      <c s="51" r="AA169"/>
      <c s="125" r="AB169"/>
      <c s="761" r="AC169"/>
      <c s="341" r="AD169"/>
    </row>
    <row r="170">
      <c s="125" r="A170"/>
      <c s="125" r="B170"/>
      <c s="125" r="C170"/>
      <c s="125" r="D170"/>
      <c s="125" r="E170"/>
      <c s="125" r="F170"/>
      <c s="125" r="G170"/>
      <c s="125" r="H170"/>
      <c s="125" r="I170"/>
      <c s="125" r="J170"/>
      <c s="125" r="K170"/>
      <c s="125" r="L170"/>
      <c s="125" r="M170"/>
      <c s="125" r="N170"/>
      <c s="125" r="O170"/>
      <c s="125" r="P170"/>
      <c s="125" r="Q170"/>
      <c s="125" r="R170"/>
      <c s="125" r="S170"/>
      <c s="822" r="T170"/>
      <c s="738" r="U170"/>
      <c s="664" r="V170"/>
      <c s="664" r="W170"/>
      <c s="664" r="X170"/>
      <c t="s" s="520" r="Y170">
        <v>239</v>
      </c>
      <c t="str" s="346" r="Z170">
        <f>Dimension!F88</f>
        <v>---</v>
      </c>
      <c s="51" r="AA170"/>
      <c s="125" r="AB170"/>
      <c s="761" r="AC170"/>
      <c s="341" r="AD170"/>
    </row>
    <row r="171">
      <c s="125" r="A171"/>
      <c s="125" r="B171"/>
      <c s="125" r="C171"/>
      <c s="125" r="D171"/>
      <c s="125" r="E171"/>
      <c s="125" r="F171"/>
      <c s="125" r="G171"/>
      <c s="125" r="H171"/>
      <c s="125" r="I171"/>
      <c s="125" r="J171"/>
      <c s="125" r="K171"/>
      <c s="125" r="L171"/>
      <c s="125" r="M171"/>
      <c s="125" r="N171"/>
      <c s="125" r="O171"/>
      <c s="125" r="P171"/>
      <c s="125" r="Q171"/>
      <c s="125" r="R171"/>
      <c s="125" r="S171"/>
      <c s="822" r="T171"/>
      <c s="908" r="U171"/>
      <c s="551" r="V171"/>
      <c s="551" r="W171"/>
      <c s="551" r="X171"/>
      <c t="s" s="8" r="Y171">
        <v>240</v>
      </c>
      <c t="str" s="224" r="Z171">
        <f>Dimension!G88</f>
        <v>---</v>
      </c>
      <c s="51" r="AA171"/>
      <c s="125" r="AB171"/>
      <c s="761" r="AC171"/>
      <c s="341" r="AD171"/>
    </row>
    <row r="172">
      <c s="125" r="A172"/>
      <c s="125" r="B172"/>
      <c s="125" r="C172"/>
      <c s="125" r="D172"/>
      <c s="125" r="E172"/>
      <c s="125" r="F172"/>
      <c s="125" r="G172"/>
      <c s="125" r="H172"/>
      <c s="125" r="I172"/>
      <c s="125" r="J172"/>
      <c s="125" r="K172"/>
      <c s="125" r="L172"/>
      <c s="125" r="M172"/>
      <c s="125" r="N172"/>
      <c s="125" r="O172"/>
      <c s="125" r="P172"/>
      <c s="125" r="Q172"/>
      <c s="125" r="R172"/>
      <c s="125" r="S172"/>
      <c s="822" r="T172"/>
      <c s="908" r="U172"/>
      <c s="551" r="V172"/>
      <c s="551" r="W172"/>
      <c s="551" r="X172"/>
      <c t="s" s="8" r="Y172">
        <v>241</v>
      </c>
      <c t="str" s="224" r="Z172">
        <f>Dimension!H88</f>
        <v>---</v>
      </c>
      <c s="51" r="AA172"/>
      <c s="125" r="AB172"/>
      <c s="761" r="AC172"/>
      <c s="341" r="AD172"/>
    </row>
    <row r="173">
      <c s="125" r="A173"/>
      <c s="125" r="B173"/>
      <c s="125" r="C173"/>
      <c s="125" r="D173"/>
      <c s="125" r="E173"/>
      <c s="125" r="F173"/>
      <c s="125" r="G173"/>
      <c s="125" r="H173"/>
      <c s="125" r="I173"/>
      <c s="125" r="J173"/>
      <c s="125" r="K173"/>
      <c s="125" r="L173"/>
      <c s="125" r="M173"/>
      <c s="125" r="N173"/>
      <c s="125" r="O173"/>
      <c s="125" r="P173"/>
      <c s="125" r="Q173"/>
      <c s="125" r="R173"/>
      <c s="125" r="S173"/>
      <c s="822" r="T173"/>
      <c s="908" r="U173"/>
      <c s="551" r="V173"/>
      <c s="551" r="W173"/>
      <c s="551" r="X173"/>
      <c t="s" s="621" r="Y173">
        <v>242</v>
      </c>
      <c t="str" s="224" r="Z173">
        <f>Dimension!F89</f>
        <v>---</v>
      </c>
      <c s="51" r="AA173"/>
      <c s="125" r="AB173"/>
      <c s="761" r="AC173"/>
      <c s="341" r="AD173"/>
    </row>
    <row r="174">
      <c s="125" r="A174"/>
      <c s="125" r="B174"/>
      <c s="125" r="C174"/>
      <c s="125" r="D174"/>
      <c s="125" r="E174"/>
      <c s="125" r="F174"/>
      <c s="125" r="G174"/>
      <c s="125" r="H174"/>
      <c s="125" r="I174"/>
      <c s="125" r="J174"/>
      <c s="125" r="K174"/>
      <c s="125" r="L174"/>
      <c s="125" r="M174"/>
      <c s="125" r="N174"/>
      <c s="125" r="O174"/>
      <c s="125" r="P174"/>
      <c s="125" r="Q174"/>
      <c s="125" r="R174"/>
      <c s="125" r="S174"/>
      <c s="822" r="T174"/>
      <c s="908" r="U174"/>
      <c s="551" r="V174"/>
      <c s="551" r="W174"/>
      <c s="551" r="X174"/>
      <c t="s" s="8" r="Y174">
        <v>243</v>
      </c>
      <c t="str" s="224" r="Z174">
        <f>Dimension!G89</f>
        <v>---</v>
      </c>
      <c s="51" r="AA174"/>
      <c s="125" r="AB174"/>
      <c s="761" r="AC174"/>
      <c s="341" r="AD174"/>
    </row>
    <row r="175">
      <c s="125" r="A175"/>
      <c s="125" r="B175"/>
      <c s="125" r="C175"/>
      <c s="125" r="D175"/>
      <c s="125" r="E175"/>
      <c s="125" r="F175"/>
      <c s="125" r="G175"/>
      <c s="125" r="H175"/>
      <c s="125" r="I175"/>
      <c s="125" r="J175"/>
      <c s="125" r="K175"/>
      <c s="125" r="L175"/>
      <c s="125" r="M175"/>
      <c s="125" r="N175"/>
      <c s="125" r="O175"/>
      <c s="125" r="P175"/>
      <c s="125" r="Q175"/>
      <c s="125" r="R175"/>
      <c s="125" r="S175"/>
      <c s="822" r="T175"/>
      <c s="908" r="U175"/>
      <c s="551" r="V175"/>
      <c s="551" r="W175"/>
      <c s="551" r="X175"/>
      <c t="s" s="8" r="Y175">
        <v>244</v>
      </c>
      <c t="str" s="224" r="Z175">
        <f>Dimension!H89</f>
        <v>---</v>
      </c>
      <c s="51" r="AA175"/>
      <c s="125" r="AB175"/>
      <c s="761" r="AC175"/>
      <c s="341" r="AD175"/>
    </row>
    <row r="176">
      <c s="125" r="A176"/>
      <c s="125" r="B176"/>
      <c s="125" r="C176"/>
      <c s="125" r="D176"/>
      <c s="125" r="E176"/>
      <c s="125" r="F176"/>
      <c s="125" r="G176"/>
      <c s="125" r="H176"/>
      <c s="125" r="I176"/>
      <c s="125" r="J176"/>
      <c s="125" r="K176"/>
      <c s="125" r="L176"/>
      <c s="125" r="M176"/>
      <c s="125" r="N176"/>
      <c s="125" r="O176"/>
      <c s="125" r="P176"/>
      <c s="125" r="Q176"/>
      <c s="125" r="R176"/>
      <c s="125" r="S176"/>
      <c s="822" r="T176"/>
      <c s="908" r="U176"/>
      <c s="551" r="V176"/>
      <c s="551" r="W176"/>
      <c s="551" r="X176"/>
      <c t="s" s="621" r="Y176">
        <v>82</v>
      </c>
      <c t="str" s="224" r="Z176">
        <f>Dimension!F101</f>
        <v>---</v>
      </c>
      <c s="51" r="AA176"/>
      <c s="125" r="AB176"/>
      <c s="761" r="AC176"/>
      <c s="341" r="AD176"/>
    </row>
    <row r="177">
      <c s="125" r="A177"/>
      <c s="125" r="B177"/>
      <c s="125" r="C177"/>
      <c s="125" r="D177"/>
      <c s="125" r="E177"/>
      <c s="125" r="F177"/>
      <c s="125" r="G177"/>
      <c s="125" r="H177"/>
      <c s="125" r="I177"/>
      <c s="125" r="J177"/>
      <c s="125" r="K177"/>
      <c s="125" r="L177"/>
      <c s="125" r="M177"/>
      <c s="125" r="N177"/>
      <c s="125" r="O177"/>
      <c s="125" r="P177"/>
      <c s="125" r="Q177"/>
      <c s="125" r="R177"/>
      <c s="125" r="S177"/>
      <c s="822" r="T177"/>
      <c s="908" r="U177"/>
      <c s="551" r="V177"/>
      <c s="551" r="W177"/>
      <c s="551" r="X177"/>
      <c t="s" s="8" r="Y177">
        <v>245</v>
      </c>
      <c t="str" s="224" r="Z177">
        <f>Dimension!G101</f>
        <v>---</v>
      </c>
      <c s="51" r="AA177"/>
      <c s="125" r="AB177"/>
      <c s="761" r="AC177"/>
      <c s="341" r="AD177"/>
    </row>
    <row r="178">
      <c s="125" r="A178"/>
      <c s="125" r="B178"/>
      <c s="125" r="C178"/>
      <c s="125" r="D178"/>
      <c s="125" r="E178"/>
      <c s="125" r="F178"/>
      <c s="125" r="G178"/>
      <c s="125" r="H178"/>
      <c s="125" r="I178"/>
      <c s="125" r="J178"/>
      <c s="125" r="K178"/>
      <c s="125" r="L178"/>
      <c s="125" r="M178"/>
      <c s="125" r="N178"/>
      <c s="125" r="O178"/>
      <c s="125" r="P178"/>
      <c s="125" r="Q178"/>
      <c s="125" r="R178"/>
      <c s="125" r="S178"/>
      <c s="822" r="T178"/>
      <c s="908" r="U178"/>
      <c s="551" r="V178"/>
      <c s="551" r="W178"/>
      <c s="551" r="X178"/>
      <c t="s" s="8" r="Y178">
        <v>246</v>
      </c>
      <c t="str" s="224" r="Z178">
        <f>Dimension!H101</f>
        <v>---</v>
      </c>
      <c s="51" r="AA178"/>
      <c s="125" r="AB178"/>
      <c s="761" r="AC178"/>
      <c s="341" r="AD178"/>
    </row>
    <row r="179">
      <c s="125" r="A179"/>
      <c s="125" r="B179"/>
      <c s="125" r="C179"/>
      <c s="125" r="D179"/>
      <c s="125" r="E179"/>
      <c s="125" r="F179"/>
      <c s="125" r="G179"/>
      <c s="125" r="H179"/>
      <c s="125" r="I179"/>
      <c s="125" r="J179"/>
      <c s="125" r="K179"/>
      <c s="125" r="L179"/>
      <c s="125" r="M179"/>
      <c s="125" r="N179"/>
      <c s="125" r="O179"/>
      <c s="125" r="P179"/>
      <c s="125" r="Q179"/>
      <c s="125" r="R179"/>
      <c s="125" r="S179"/>
      <c s="822" r="T179"/>
      <c s="908" r="U179"/>
      <c s="551" r="V179"/>
      <c s="551" r="W179"/>
      <c s="551" r="X179"/>
      <c t="s" s="621" r="Y179">
        <v>86</v>
      </c>
      <c t="str" s="224" r="Z179">
        <f>Dimension!F102</f>
        <v>---</v>
      </c>
      <c s="51" r="AA179"/>
      <c s="125" r="AB179"/>
      <c s="761" r="AC179"/>
      <c s="341" r="AD179"/>
    </row>
    <row r="180">
      <c s="125" r="A180"/>
      <c s="125" r="B180"/>
      <c s="125" r="C180"/>
      <c s="125" r="D180"/>
      <c s="125" r="E180"/>
      <c s="125" r="F180"/>
      <c s="125" r="G180"/>
      <c s="125" r="H180"/>
      <c s="125" r="I180"/>
      <c s="125" r="J180"/>
      <c s="125" r="K180"/>
      <c s="125" r="L180"/>
      <c s="125" r="M180"/>
      <c s="125" r="N180"/>
      <c s="125" r="O180"/>
      <c s="125" r="P180"/>
      <c s="125" r="Q180"/>
      <c s="125" r="R180"/>
      <c s="125" r="S180"/>
      <c s="822" r="T180"/>
      <c s="908" r="U180"/>
      <c s="551" r="V180"/>
      <c s="551" r="W180"/>
      <c s="551" r="X180"/>
      <c t="s" s="8" r="Y180">
        <v>247</v>
      </c>
      <c t="str" s="224" r="Z180">
        <f>Dimension!$G$102</f>
        <v>---</v>
      </c>
      <c s="51" r="AA180"/>
      <c s="125" r="AB180"/>
      <c s="761" r="AC180"/>
      <c s="341" r="AD180"/>
    </row>
    <row customHeight="1" r="181" ht="13.5">
      <c s="125" r="A181"/>
      <c s="125" r="B181"/>
      <c s="125" r="C181"/>
      <c s="125" r="D181"/>
      <c s="125" r="E181"/>
      <c s="125" r="F181"/>
      <c s="125" r="G181"/>
      <c s="125" r="H181"/>
      <c s="125" r="I181"/>
      <c s="125" r="J181"/>
      <c s="125" r="K181"/>
      <c s="125" r="L181"/>
      <c s="125" r="M181"/>
      <c s="125" r="N181"/>
      <c s="125" r="O181"/>
      <c s="125" r="P181"/>
      <c s="125" r="Q181"/>
      <c s="125" r="R181"/>
      <c s="125" r="S181"/>
      <c s="822" r="T181"/>
      <c s="408" r="U181"/>
      <c s="246" r="V181"/>
      <c s="246" r="W181"/>
      <c s="246" r="X181"/>
      <c t="s" s="152" r="Y181">
        <v>248</v>
      </c>
      <c t="str" s="790" r="Z181">
        <f>Dimension!$H$102</f>
        <v>---</v>
      </c>
      <c s="51" r="AA181"/>
      <c s="125" r="AB181"/>
      <c s="761" r="AC181"/>
      <c s="341" r="AD181"/>
    </row>
    <row customHeight="1" r="182" ht="13.5">
      <c s="125" r="A182"/>
      <c s="125" r="B182"/>
      <c s="125" r="C182"/>
      <c s="125" r="D182"/>
      <c s="125" r="E182"/>
      <c s="125" r="F182"/>
      <c s="125" r="G182"/>
      <c s="125" r="H182"/>
      <c s="125" r="I182"/>
      <c s="125" r="J182"/>
      <c s="125" r="K182"/>
      <c s="125" r="L182"/>
      <c s="125" r="M182"/>
      <c s="125" r="N182"/>
      <c s="125" r="O182"/>
      <c s="125" r="P182"/>
      <c s="125" r="Q182"/>
      <c s="125" r="R182"/>
      <c s="125" r="S182"/>
      <c s="822" r="T182"/>
      <c t="s" s="254" r="U182">
        <v>249</v>
      </c>
      <c s="308" r="V182"/>
      <c s="308" r="W182"/>
      <c s="308" r="X182"/>
      <c s="308" r="Y182"/>
      <c s="132" r="Z182"/>
      <c s="51" r="AA182"/>
      <c s="125" r="AB182"/>
      <c s="761" r="AC182"/>
      <c s="341" r="AD182"/>
    </row>
    <row r="183">
      <c s="125" r="A183"/>
      <c s="125" r="B183"/>
      <c s="125" r="C183"/>
      <c s="125" r="D183"/>
      <c s="125" r="E183"/>
      <c s="125" r="F183"/>
      <c s="125" r="G183"/>
      <c s="125" r="H183"/>
      <c s="125" r="I183"/>
      <c s="125" r="J183"/>
      <c s="125" r="K183"/>
      <c s="125" r="L183"/>
      <c s="125" r="M183"/>
      <c s="125" r="N183"/>
      <c s="125" r="O183"/>
      <c s="125" r="P183"/>
      <c s="125" r="Q183"/>
      <c s="125" r="R183"/>
      <c s="125" r="S183"/>
      <c s="822" r="T183"/>
      <c s="738" r="U183"/>
      <c s="664" r="V183"/>
      <c s="664" r="W183"/>
      <c s="664" r="X183"/>
      <c t="s" s="520" r="Y183">
        <v>250</v>
      </c>
      <c t="str" s="346" r="Z183">
        <f>Dimension!F90</f>
        <v>---</v>
      </c>
      <c s="51" r="AA183"/>
      <c s="125" r="AB183"/>
      <c s="761" r="AC183"/>
      <c s="341" r="AD183"/>
    </row>
    <row r="184">
      <c s="125" r="A184"/>
      <c s="125" r="B184"/>
      <c s="125" r="C184"/>
      <c s="125" r="D184"/>
      <c s="125" r="E184"/>
      <c s="125" r="F184"/>
      <c s="125" r="G184"/>
      <c s="125" r="H184"/>
      <c s="125" r="I184"/>
      <c s="125" r="J184"/>
      <c s="125" r="K184"/>
      <c s="125" r="L184"/>
      <c s="125" r="M184"/>
      <c s="125" r="N184"/>
      <c s="125" r="O184"/>
      <c s="125" r="P184"/>
      <c s="125" r="Q184"/>
      <c s="125" r="R184"/>
      <c s="125" r="S184"/>
      <c s="822" r="T184"/>
      <c s="908" r="U184"/>
      <c s="551" r="V184"/>
      <c s="551" r="W184"/>
      <c s="551" r="X184"/>
      <c t="s" s="8" r="Y184">
        <v>251</v>
      </c>
      <c t="str" s="224" r="Z184">
        <f>Dimension!G90</f>
        <v>---</v>
      </c>
      <c s="51" r="AA184"/>
      <c s="125" r="AB184"/>
      <c s="761" r="AC184"/>
      <c s="341" r="AD184"/>
    </row>
    <row r="185">
      <c s="125" r="A185"/>
      <c s="125" r="B185"/>
      <c s="125" r="C185"/>
      <c s="125" r="D185"/>
      <c s="125" r="E185"/>
      <c s="125" r="F185"/>
      <c s="125" r="G185"/>
      <c s="125" r="H185"/>
      <c s="125" r="I185"/>
      <c s="125" r="J185"/>
      <c s="125" r="K185"/>
      <c s="125" r="L185"/>
      <c s="125" r="M185"/>
      <c s="125" r="N185"/>
      <c s="125" r="O185"/>
      <c s="125" r="P185"/>
      <c s="125" r="Q185"/>
      <c s="125" r="R185"/>
      <c s="125" r="S185"/>
      <c s="822" r="T185"/>
      <c s="908" r="U185"/>
      <c s="551" r="V185"/>
      <c s="551" r="W185"/>
      <c s="551" r="X185"/>
      <c t="s" s="8" r="Y185">
        <v>252</v>
      </c>
      <c t="str" s="224" r="Z185">
        <f>Dimension!H90</f>
        <v>---</v>
      </c>
      <c s="51" r="AA185"/>
      <c s="125" r="AB185"/>
      <c s="761" r="AC185"/>
      <c s="341" r="AD185"/>
    </row>
    <row r="186">
      <c s="125" r="A186"/>
      <c s="125" r="B186"/>
      <c s="125" r="C186"/>
      <c s="125" r="D186"/>
      <c s="125" r="E186"/>
      <c s="125" r="F186"/>
      <c s="125" r="G186"/>
      <c s="125" r="H186"/>
      <c s="125" r="I186"/>
      <c s="125" r="J186"/>
      <c s="125" r="K186"/>
      <c s="125" r="L186"/>
      <c s="125" r="M186"/>
      <c s="125" r="N186"/>
      <c s="125" r="O186"/>
      <c s="125" r="P186"/>
      <c s="125" r="Q186"/>
      <c s="125" r="R186"/>
      <c s="125" r="S186"/>
      <c s="822" r="T186"/>
      <c s="908" r="U186"/>
      <c s="551" r="V186"/>
      <c s="551" r="W186"/>
      <c s="551" r="X186"/>
      <c t="s" s="621" r="Y186">
        <v>253</v>
      </c>
      <c t="str" s="224" r="Z186">
        <f>Dimension!F91</f>
        <v>---</v>
      </c>
      <c s="51" r="AA186"/>
      <c s="125" r="AB186"/>
      <c s="761" r="AC186"/>
      <c s="341" r="AD186"/>
    </row>
    <row r="187">
      <c s="125" r="A187"/>
      <c s="125" r="B187"/>
      <c s="125" r="C187"/>
      <c s="125" r="D187"/>
      <c s="125" r="E187"/>
      <c s="125" r="F187"/>
      <c s="125" r="G187"/>
      <c s="125" r="H187"/>
      <c s="125" r="I187"/>
      <c s="125" r="J187"/>
      <c s="125" r="K187"/>
      <c s="125" r="L187"/>
      <c s="125" r="M187"/>
      <c s="125" r="N187"/>
      <c s="125" r="O187"/>
      <c s="125" r="P187"/>
      <c s="125" r="Q187"/>
      <c s="125" r="R187"/>
      <c s="125" r="S187"/>
      <c s="822" r="T187"/>
      <c s="908" r="U187"/>
      <c s="551" r="V187"/>
      <c s="551" r="W187"/>
      <c s="551" r="X187"/>
      <c t="s" s="8" r="Y187">
        <v>254</v>
      </c>
      <c t="str" s="224" r="Z187">
        <f>Dimension!G91</f>
        <v>---</v>
      </c>
      <c s="51" r="AA187"/>
      <c s="125" r="AB187"/>
      <c s="761" r="AC187"/>
      <c s="341" r="AD187"/>
    </row>
    <row r="188">
      <c s="125" r="A188"/>
      <c s="125" r="B188"/>
      <c s="125" r="C188"/>
      <c s="125" r="D188"/>
      <c s="125" r="E188"/>
      <c s="125" r="F188"/>
      <c s="125" r="G188"/>
      <c s="125" r="H188"/>
      <c s="125" r="I188"/>
      <c s="125" r="J188"/>
      <c s="125" r="K188"/>
      <c s="125" r="L188"/>
      <c s="125" r="M188"/>
      <c s="125" r="N188"/>
      <c s="125" r="O188"/>
      <c s="125" r="P188"/>
      <c s="125" r="Q188"/>
      <c s="125" r="R188"/>
      <c s="125" r="S188"/>
      <c s="822" r="T188"/>
      <c s="908" r="U188"/>
      <c s="551" r="V188"/>
      <c s="551" r="W188"/>
      <c s="551" r="X188"/>
      <c t="s" s="8" r="Y188">
        <v>255</v>
      </c>
      <c t="str" s="224" r="Z188">
        <f>Dimension!H91</f>
        <v>---</v>
      </c>
      <c s="51" r="AA188"/>
      <c s="125" r="AB188"/>
      <c s="761" r="AC188"/>
      <c s="341" r="AD188"/>
    </row>
    <row r="189">
      <c s="125" r="A189"/>
      <c s="125" r="B189"/>
      <c s="125" r="C189"/>
      <c s="125" r="D189"/>
      <c s="125" r="E189"/>
      <c s="125" r="F189"/>
      <c s="125" r="G189"/>
      <c s="125" r="H189"/>
      <c s="125" r="I189"/>
      <c s="125" r="J189"/>
      <c s="125" r="K189"/>
      <c s="125" r="L189"/>
      <c s="125" r="M189"/>
      <c s="125" r="N189"/>
      <c s="125" r="O189"/>
      <c s="125" r="P189"/>
      <c s="125" r="Q189"/>
      <c s="125" r="R189"/>
      <c s="125" r="S189"/>
      <c s="822" r="T189"/>
      <c s="908" r="U189"/>
      <c s="551" r="V189"/>
      <c s="551" r="W189"/>
      <c s="551" r="X189"/>
      <c t="s" s="621" r="Y189">
        <v>256</v>
      </c>
      <c t="str" s="22" r="Z189">
        <f>Dimension!F92</f>
        <v>---</v>
      </c>
      <c s="51" r="AA189"/>
      <c s="125" r="AB189"/>
      <c s="761" r="AC189"/>
      <c s="341" r="AD189"/>
    </row>
    <row r="190">
      <c s="125" r="A190"/>
      <c s="125" r="B190"/>
      <c s="125" r="C190"/>
      <c s="125" r="D190"/>
      <c s="125" r="E190"/>
      <c s="125" r="F190"/>
      <c s="125" r="G190"/>
      <c s="125" r="H190"/>
      <c s="125" r="I190"/>
      <c s="125" r="J190"/>
      <c s="125" r="K190"/>
      <c s="125" r="L190"/>
      <c s="125" r="M190"/>
      <c s="125" r="N190"/>
      <c s="125" r="O190"/>
      <c s="125" r="P190"/>
      <c s="125" r="Q190"/>
      <c s="125" r="R190"/>
      <c s="125" r="S190"/>
      <c s="822" r="T190"/>
      <c s="908" r="U190"/>
      <c s="551" r="V190"/>
      <c s="551" r="W190"/>
      <c s="551" r="X190"/>
      <c t="s" s="8" r="Y190">
        <v>257</v>
      </c>
      <c t="str" s="22" r="Z190">
        <f>Dimension!G92</f>
        <v>---</v>
      </c>
      <c s="51" r="AA190"/>
      <c s="125" r="AB190"/>
      <c s="761" r="AC190"/>
      <c s="341" r="AD190"/>
    </row>
    <row r="191">
      <c s="125" r="A191"/>
      <c s="125" r="B191"/>
      <c s="125" r="C191"/>
      <c s="125" r="D191"/>
      <c s="125" r="E191"/>
      <c s="125" r="F191"/>
      <c s="125" r="G191"/>
      <c s="125" r="H191"/>
      <c s="125" r="I191"/>
      <c s="125" r="J191"/>
      <c s="125" r="K191"/>
      <c s="125" r="L191"/>
      <c s="125" r="M191"/>
      <c s="125" r="N191"/>
      <c s="125" r="O191"/>
      <c s="125" r="P191"/>
      <c s="125" r="Q191"/>
      <c s="125" r="R191"/>
      <c s="125" r="S191"/>
      <c s="822" r="T191"/>
      <c s="908" r="U191"/>
      <c s="551" r="V191"/>
      <c s="551" r="W191"/>
      <c s="551" r="X191"/>
      <c t="s" s="8" r="Y191">
        <v>258</v>
      </c>
      <c t="str" s="22" r="Z191">
        <f>Dimension!H92</f>
        <v>---</v>
      </c>
      <c s="113" r="AA191"/>
      <c s="125" r="AB191"/>
      <c s="761" r="AC191"/>
      <c s="341" r="AD191"/>
    </row>
    <row r="192">
      <c s="125" r="A192"/>
      <c s="125" r="B192"/>
      <c s="125" r="C192"/>
      <c s="125" r="D192"/>
      <c s="125" r="E192"/>
      <c s="125" r="F192"/>
      <c s="125" r="G192"/>
      <c s="125" r="H192"/>
      <c s="125" r="I192"/>
      <c s="125" r="J192"/>
      <c s="125" r="K192"/>
      <c s="125" r="L192"/>
      <c s="125" r="M192"/>
      <c s="125" r="N192"/>
      <c s="125" r="O192"/>
      <c s="125" r="P192"/>
      <c s="125" r="Q192"/>
      <c s="125" r="R192"/>
      <c s="125" r="S192"/>
      <c s="822" r="T192"/>
      <c s="908" r="U192"/>
      <c s="551" r="V192"/>
      <c s="551" r="W192"/>
      <c s="551" r="X192"/>
      <c t="s" s="621" r="Y192">
        <v>259</v>
      </c>
      <c t="str" s="224" r="Z192">
        <f>Dimension!F93</f>
        <v>---</v>
      </c>
      <c s="113" r="AA192"/>
      <c s="125" r="AB192"/>
      <c s="761" r="AC192"/>
      <c s="341" r="AD192"/>
    </row>
    <row r="193">
      <c s="125" r="A193"/>
      <c s="125" r="B193"/>
      <c s="125" r="C193"/>
      <c s="125" r="D193"/>
      <c s="125" r="E193"/>
      <c s="125" r="F193"/>
      <c s="125" r="G193"/>
      <c s="125" r="H193"/>
      <c s="125" r="I193"/>
      <c s="125" r="J193"/>
      <c s="125" r="K193"/>
      <c s="125" r="L193"/>
      <c s="125" r="M193"/>
      <c s="125" r="N193"/>
      <c s="125" r="O193"/>
      <c s="125" r="P193"/>
      <c s="125" r="Q193"/>
      <c s="125" r="R193"/>
      <c s="125" r="S193"/>
      <c s="822" r="T193"/>
      <c s="908" r="U193"/>
      <c s="551" r="V193"/>
      <c s="551" r="W193"/>
      <c s="551" r="X193"/>
      <c t="s" s="8" r="Y193">
        <v>260</v>
      </c>
      <c t="str" s="224" r="Z193">
        <f>Dimension!G93</f>
        <v>---</v>
      </c>
      <c s="113" r="AA193"/>
      <c s="125" r="AB193"/>
      <c s="761" r="AC193"/>
      <c s="341" r="AD193"/>
    </row>
    <row r="194">
      <c s="125" r="A194"/>
      <c s="125" r="B194"/>
      <c s="125" r="C194"/>
      <c s="125" r="D194"/>
      <c s="125" r="E194"/>
      <c s="125" r="F194"/>
      <c s="125" r="G194"/>
      <c s="125" r="H194"/>
      <c s="125" r="I194"/>
      <c s="125" r="J194"/>
      <c s="125" r="K194"/>
      <c s="125" r="L194"/>
      <c s="125" r="M194"/>
      <c s="125" r="N194"/>
      <c s="125" r="O194"/>
      <c s="125" r="P194"/>
      <c s="125" r="Q194"/>
      <c s="125" r="R194"/>
      <c s="125" r="S194"/>
      <c s="822" r="T194"/>
      <c s="908" r="U194"/>
      <c s="551" r="V194"/>
      <c s="551" r="W194"/>
      <c s="551" r="X194"/>
      <c t="s" s="8" r="Y194">
        <v>261</v>
      </c>
      <c t="str" s="224" r="Z194">
        <f>Dimension!H93</f>
        <v>---</v>
      </c>
      <c s="113" r="AA194"/>
      <c s="125" r="AB194"/>
      <c s="761" r="AC194"/>
      <c s="341" r="AD194"/>
    </row>
    <row r="195">
      <c s="125" r="A195"/>
      <c s="125" r="B195"/>
      <c s="125" r="C195"/>
      <c s="125" r="D195"/>
      <c s="125" r="E195"/>
      <c s="125" r="F195"/>
      <c s="125" r="G195"/>
      <c s="125" r="H195"/>
      <c s="125" r="I195"/>
      <c s="125" r="J195"/>
      <c s="125" r="K195"/>
      <c s="125" r="L195"/>
      <c s="125" r="M195"/>
      <c s="125" r="N195"/>
      <c s="125" r="O195"/>
      <c s="125" r="P195"/>
      <c s="125" r="Q195"/>
      <c s="125" r="R195"/>
      <c s="125" r="S195"/>
      <c s="822" r="T195"/>
      <c s="908" r="U195"/>
      <c s="551" r="V195"/>
      <c s="551" r="W195"/>
      <c s="551" r="X195"/>
      <c t="s" s="621" r="Y195">
        <v>262</v>
      </c>
      <c t="str" s="224" r="Z195">
        <f>Dimension!F94</f>
        <v>---</v>
      </c>
      <c s="113" r="AA195"/>
      <c s="125" r="AB195"/>
      <c s="761" r="AC195"/>
      <c s="341" r="AD195"/>
    </row>
    <row r="196">
      <c s="125" r="A196"/>
      <c s="125" r="B196"/>
      <c s="125" r="C196"/>
      <c s="125" r="D196"/>
      <c s="125" r="E196"/>
      <c s="125" r="F196"/>
      <c s="125" r="G196"/>
      <c s="125" r="H196"/>
      <c s="125" r="I196"/>
      <c s="125" r="J196"/>
      <c s="125" r="K196"/>
      <c s="125" r="L196"/>
      <c s="125" r="M196"/>
      <c s="125" r="N196"/>
      <c s="125" r="O196"/>
      <c s="125" r="P196"/>
      <c s="125" r="Q196"/>
      <c s="125" r="R196"/>
      <c s="125" r="S196"/>
      <c s="822" r="T196"/>
      <c s="908" r="U196"/>
      <c s="551" r="V196"/>
      <c s="551" r="W196"/>
      <c s="551" r="X196"/>
      <c t="s" s="8" r="Y196">
        <v>263</v>
      </c>
      <c t="str" s="224" r="Z196">
        <f>Dimension!F95</f>
        <v>---</v>
      </c>
      <c s="113" r="AA196"/>
      <c s="125" r="AB196"/>
      <c s="761" r="AC196"/>
      <c s="341" r="AD196"/>
    </row>
    <row r="197">
      <c s="125" r="A197"/>
      <c s="125" r="B197"/>
      <c s="125" r="C197"/>
      <c s="125" r="D197"/>
      <c s="125" r="E197"/>
      <c s="125" r="F197"/>
      <c s="125" r="G197"/>
      <c s="125" r="H197"/>
      <c s="125" r="I197"/>
      <c s="125" r="J197"/>
      <c s="125" r="K197"/>
      <c s="125" r="L197"/>
      <c s="125" r="M197"/>
      <c s="125" r="N197"/>
      <c s="125" r="O197"/>
      <c s="125" r="P197"/>
      <c s="125" r="Q197"/>
      <c s="125" r="R197"/>
      <c s="125" r="S197"/>
      <c s="822" r="T197"/>
      <c s="908" r="U197"/>
      <c s="551" r="V197"/>
      <c s="551" r="W197"/>
      <c s="551" r="X197"/>
      <c t="s" s="8" r="Y197">
        <v>264</v>
      </c>
      <c t="str" s="224" r="Z197">
        <f>Dimension!G95</f>
        <v>---</v>
      </c>
      <c s="113" r="AA197"/>
      <c s="125" r="AB197"/>
      <c s="761" r="AC197"/>
      <c s="341" r="AD197"/>
    </row>
    <row r="198">
      <c s="125" r="A198"/>
      <c s="125" r="B198"/>
      <c s="125" r="C198"/>
      <c s="125" r="D198"/>
      <c s="125" r="E198"/>
      <c s="125" r="F198"/>
      <c s="125" r="G198"/>
      <c s="125" r="H198"/>
      <c s="125" r="I198"/>
      <c s="125" r="J198"/>
      <c s="125" r="K198"/>
      <c s="125" r="L198"/>
      <c s="125" r="M198"/>
      <c s="125" r="N198"/>
      <c s="125" r="O198"/>
      <c s="125" r="P198"/>
      <c s="125" r="Q198"/>
      <c s="125" r="R198"/>
      <c s="125" r="S198"/>
      <c s="822" r="T198"/>
      <c s="908" r="U198"/>
      <c s="551" r="V198"/>
      <c s="551" r="W198"/>
      <c s="551" r="X198"/>
      <c t="s" s="8" r="Y198">
        <v>265</v>
      </c>
      <c t="str" s="224" r="Z198">
        <f>Dimension!H95</f>
        <v>---</v>
      </c>
      <c s="113" r="AA198"/>
      <c s="125" r="AB198"/>
      <c s="761" r="AC198"/>
      <c s="341" r="AD198"/>
    </row>
    <row r="199">
      <c s="125" r="A199"/>
      <c s="125" r="B199"/>
      <c s="125" r="C199"/>
      <c s="125" r="D199"/>
      <c s="125" r="E199"/>
      <c s="125" r="F199"/>
      <c s="125" r="G199"/>
      <c s="125" r="H199"/>
      <c s="125" r="I199"/>
      <c s="125" r="J199"/>
      <c s="125" r="K199"/>
      <c s="125" r="L199"/>
      <c s="125" r="M199"/>
      <c s="125" r="N199"/>
      <c s="125" r="O199"/>
      <c s="125" r="P199"/>
      <c s="125" r="Q199"/>
      <c s="125" r="R199"/>
      <c s="125" r="S199"/>
      <c s="822" r="T199"/>
      <c s="908" r="U199"/>
      <c s="551" r="V199"/>
      <c s="551" r="W199"/>
      <c s="551" r="X199"/>
      <c t="s" s="621" r="Y199">
        <v>266</v>
      </c>
      <c t="str" s="224" r="Z199">
        <f>Dimension!F96</f>
        <v>---</v>
      </c>
      <c s="113" r="AA199"/>
      <c s="125" r="AB199"/>
      <c s="761" r="AC199"/>
      <c s="341" r="AD199"/>
    </row>
    <row r="200">
      <c s="125" r="A200"/>
      <c s="125" r="B200"/>
      <c s="125" r="C200"/>
      <c s="125" r="D200"/>
      <c s="125" r="E200"/>
      <c s="125" r="F200"/>
      <c s="125" r="G200"/>
      <c s="125" r="H200"/>
      <c s="125" r="I200"/>
      <c s="125" r="J200"/>
      <c s="125" r="K200"/>
      <c s="125" r="L200"/>
      <c s="125" r="M200"/>
      <c s="125" r="N200"/>
      <c s="125" r="O200"/>
      <c s="125" r="P200"/>
      <c s="125" r="Q200"/>
      <c s="125" r="R200"/>
      <c s="125" r="S200"/>
      <c s="822" r="T200"/>
      <c s="908" r="U200"/>
      <c s="551" r="V200"/>
      <c s="551" r="W200"/>
      <c s="551" r="X200"/>
      <c t="s" s="8" r="Y200">
        <v>267</v>
      </c>
      <c t="str" s="224" r="Z200">
        <f>Dimension!G96</f>
        <v>---</v>
      </c>
      <c s="113" r="AA200"/>
      <c s="125" r="AB200"/>
      <c s="761" r="AC200"/>
      <c s="341" r="AD200"/>
    </row>
    <row r="201">
      <c s="125" r="A201"/>
      <c s="125" r="B201"/>
      <c s="125" r="C201"/>
      <c s="125" r="D201"/>
      <c s="125" r="E201"/>
      <c s="125" r="F201"/>
      <c s="125" r="G201"/>
      <c s="125" r="H201"/>
      <c s="125" r="I201"/>
      <c s="125" r="J201"/>
      <c s="125" r="K201"/>
      <c s="125" r="L201"/>
      <c s="125" r="M201"/>
      <c s="125" r="N201"/>
      <c s="125" r="O201"/>
      <c s="125" r="P201"/>
      <c s="125" r="Q201"/>
      <c s="125" r="R201"/>
      <c s="125" r="S201"/>
      <c s="822" r="T201"/>
      <c s="908" r="U201"/>
      <c s="551" r="V201"/>
      <c s="551" r="W201"/>
      <c s="551" r="X201"/>
      <c t="s" s="8" r="Y201">
        <v>268</v>
      </c>
      <c t="str" s="224" r="Z201">
        <f>Dimension!H96</f>
        <v>---</v>
      </c>
      <c s="113" r="AA201"/>
      <c s="125" r="AB201"/>
      <c s="761" r="AC201"/>
      <c s="341" r="AD201"/>
    </row>
    <row r="202">
      <c s="125" r="A202"/>
      <c s="125" r="B202"/>
      <c s="125" r="C202"/>
      <c s="125" r="D202"/>
      <c s="125" r="E202"/>
      <c s="125" r="F202"/>
      <c s="125" r="G202"/>
      <c s="125" r="H202"/>
      <c s="125" r="I202"/>
      <c s="125" r="J202"/>
      <c s="125" r="K202"/>
      <c s="125" r="L202"/>
      <c s="125" r="M202"/>
      <c s="125" r="N202"/>
      <c s="125" r="O202"/>
      <c s="125" r="P202"/>
      <c s="125" r="Q202"/>
      <c s="125" r="R202"/>
      <c s="125" r="S202"/>
      <c s="822" r="T202"/>
      <c s="908" r="U202"/>
      <c s="551" r="V202"/>
      <c s="551" r="W202"/>
      <c s="551" r="X202"/>
      <c t="s" s="621" r="Y202">
        <v>269</v>
      </c>
      <c t="str" s="224" r="Z202">
        <f>Dimension!F97</f>
        <v>---</v>
      </c>
      <c s="113" r="AA202"/>
      <c s="125" r="AB202"/>
      <c s="761" r="AC202"/>
      <c s="341" r="AD202"/>
    </row>
    <row r="203">
      <c s="125" r="A203"/>
      <c s="125" r="B203"/>
      <c s="125" r="C203"/>
      <c s="125" r="D203"/>
      <c s="125" r="E203"/>
      <c s="125" r="F203"/>
      <c s="125" r="G203"/>
      <c s="125" r="H203"/>
      <c s="125" r="I203"/>
      <c s="125" r="J203"/>
      <c s="125" r="K203"/>
      <c s="125" r="L203"/>
      <c s="125" r="M203"/>
      <c s="125" r="N203"/>
      <c s="125" r="O203"/>
      <c s="125" r="P203"/>
      <c s="125" r="Q203"/>
      <c s="125" r="R203"/>
      <c s="125" r="S203"/>
      <c s="822" r="T203"/>
      <c s="908" r="U203"/>
      <c s="551" r="V203"/>
      <c s="551" r="W203"/>
      <c s="551" r="X203"/>
      <c t="s" s="8" r="Y203">
        <v>270</v>
      </c>
      <c t="str" s="224" r="Z203">
        <f>Dimension!G97</f>
        <v>---</v>
      </c>
      <c s="113" r="AA203"/>
      <c s="125" r="AB203"/>
      <c s="761" r="AC203"/>
      <c s="341" r="AD203"/>
    </row>
    <row r="204">
      <c s="125" r="A204"/>
      <c s="125" r="B204"/>
      <c s="125" r="C204"/>
      <c s="125" r="D204"/>
      <c s="125" r="E204"/>
      <c s="125" r="F204"/>
      <c s="125" r="G204"/>
      <c s="125" r="H204"/>
      <c s="125" r="I204"/>
      <c s="125" r="J204"/>
      <c s="125" r="K204"/>
      <c s="125" r="L204"/>
      <c s="125" r="M204"/>
      <c s="125" r="N204"/>
      <c s="125" r="O204"/>
      <c s="125" r="P204"/>
      <c s="125" r="Q204"/>
      <c s="125" r="R204"/>
      <c s="125" r="S204"/>
      <c s="822" r="T204"/>
      <c s="908" r="U204"/>
      <c s="551" r="V204"/>
      <c s="551" r="W204"/>
      <c s="551" r="X204"/>
      <c t="s" s="8" r="Y204">
        <v>271</v>
      </c>
      <c t="str" s="224" r="Z204">
        <f>Dimension!H97</f>
        <v>---</v>
      </c>
      <c s="113" r="AA204"/>
      <c s="125" r="AB204"/>
      <c s="761" r="AC204"/>
      <c s="341" r="AD204"/>
    </row>
    <row r="205">
      <c s="125" r="A205"/>
      <c s="125" r="B205"/>
      <c s="125" r="C205"/>
      <c s="125" r="D205"/>
      <c s="125" r="E205"/>
      <c s="125" r="F205"/>
      <c s="125" r="G205"/>
      <c s="125" r="H205"/>
      <c s="125" r="I205"/>
      <c s="125" r="J205"/>
      <c s="125" r="K205"/>
      <c s="125" r="L205"/>
      <c s="125" r="M205"/>
      <c s="125" r="N205"/>
      <c s="125" r="O205"/>
      <c s="125" r="P205"/>
      <c s="125" r="Q205"/>
      <c s="125" r="R205"/>
      <c s="125" r="S205"/>
      <c s="822" r="T205"/>
      <c s="20" r="U205"/>
      <c s="414" r="V205"/>
      <c s="414" r="W205"/>
      <c s="414" r="X205"/>
      <c t="s" s="428" r="Y205">
        <v>272</v>
      </c>
      <c t="str" s="509" r="Z205">
        <f>Dimension!F98</f>
        <v>---</v>
      </c>
      <c s="113" r="AA205"/>
      <c s="125" r="AB205"/>
      <c s="761" r="AC205"/>
      <c s="341" r="AD205"/>
    </row>
    <row r="206">
      <c s="125" r="A206"/>
      <c s="125" r="B206"/>
      <c s="125" r="C206"/>
      <c s="125" r="D206"/>
      <c s="125" r="E206"/>
      <c s="125" r="F206"/>
      <c s="125" r="G206"/>
      <c s="125" r="H206"/>
      <c s="125" r="I206"/>
      <c s="125" r="J206"/>
      <c s="125" r="K206"/>
      <c s="125" r="L206"/>
      <c s="125" r="M206"/>
      <c s="125" r="N206"/>
      <c s="125" r="O206"/>
      <c s="125" r="P206"/>
      <c s="125" r="Q206"/>
      <c s="125" r="R206"/>
      <c s="125" r="S206"/>
      <c s="822" r="T206"/>
      <c s="178" r="U206"/>
      <c s="640" r="V206"/>
      <c s="640" r="W206"/>
      <c s="640" r="X206"/>
      <c t="s" s="300" r="Y206">
        <v>273</v>
      </c>
      <c t="str" s="564" r="Z206">
        <f>Dimension!F100</f>
        <v>---</v>
      </c>
      <c s="113" r="AA206"/>
      <c s="125" r="AB206"/>
      <c s="761" r="AC206"/>
      <c s="341" r="AD206"/>
    </row>
    <row r="207">
      <c s="125" r="A207"/>
      <c s="125" r="B207"/>
      <c s="125" r="C207"/>
      <c s="125" r="D207"/>
      <c s="125" r="E207"/>
      <c s="125" r="F207"/>
      <c s="125" r="G207"/>
      <c s="125" r="H207"/>
      <c s="125" r="I207"/>
      <c s="125" r="J207"/>
      <c s="125" r="K207"/>
      <c s="125" r="L207"/>
      <c s="125" r="M207"/>
      <c s="125" r="N207"/>
      <c s="125" r="O207"/>
      <c s="125" r="P207"/>
      <c s="125" r="Q207"/>
      <c s="125" r="R207"/>
      <c s="125" r="S207"/>
      <c s="822" r="T207"/>
      <c s="908" r="U207"/>
      <c s="551" r="V207"/>
      <c s="551" r="W207"/>
      <c s="551" r="X207"/>
      <c t="s" s="8" r="Y207">
        <v>274</v>
      </c>
      <c t="str" s="224" r="Z207">
        <f>Dimension!G100</f>
        <v>---</v>
      </c>
      <c s="113" r="AA207"/>
      <c s="125" r="AB207"/>
      <c s="761" r="AC207"/>
      <c s="341" r="AD207"/>
    </row>
    <row r="208">
      <c s="125" r="A208"/>
      <c s="125" r="B208"/>
      <c s="125" r="C208"/>
      <c s="125" r="D208"/>
      <c s="125" r="E208"/>
      <c s="125" r="F208"/>
      <c s="125" r="G208"/>
      <c s="125" r="H208"/>
      <c s="125" r="I208"/>
      <c s="125" r="J208"/>
      <c s="125" r="K208"/>
      <c s="125" r="L208"/>
      <c s="125" r="M208"/>
      <c s="125" r="N208"/>
      <c s="125" r="O208"/>
      <c s="125" r="P208"/>
      <c s="125" r="Q208"/>
      <c s="125" r="R208"/>
      <c s="125" r="S208"/>
      <c s="822" r="T208"/>
      <c s="908" r="U208"/>
      <c s="551" r="V208"/>
      <c s="551" r="W208"/>
      <c s="551" r="X208"/>
      <c t="s" s="8" r="Y208">
        <v>275</v>
      </c>
      <c t="str" s="224" r="Z208">
        <f>Dimension!H100</f>
        <v>---</v>
      </c>
      <c s="113" r="AA208"/>
      <c s="125" r="AB208"/>
      <c s="761" r="AC208"/>
      <c s="341" r="AD208"/>
    </row>
    <row r="209">
      <c s="125" r="A209"/>
      <c s="125" r="B209"/>
      <c s="125" r="C209"/>
      <c s="125" r="D209"/>
      <c s="125" r="E209"/>
      <c s="125" r="F209"/>
      <c s="125" r="G209"/>
      <c s="125" r="H209"/>
      <c s="125" r="I209"/>
      <c s="125" r="J209"/>
      <c s="125" r="K209"/>
      <c s="125" r="L209"/>
      <c s="125" r="M209"/>
      <c s="125" r="N209"/>
      <c s="125" r="O209"/>
      <c s="125" r="P209"/>
      <c s="125" r="Q209"/>
      <c s="125" r="R209"/>
      <c s="125" r="S209"/>
      <c s="822" r="T209"/>
      <c s="908" r="U209"/>
      <c s="551" r="V209"/>
      <c s="551" r="W209"/>
      <c s="551" r="X209"/>
      <c t="s" s="621" r="Y209">
        <v>276</v>
      </c>
      <c t="str" s="224" r="Z209">
        <f>Dimension!F103</f>
        <v>---</v>
      </c>
      <c s="113" r="AA209"/>
      <c s="125" r="AB209"/>
      <c s="761" r="AC209"/>
      <c s="341" r="AD209"/>
    </row>
    <row r="210">
      <c s="125" r="A210"/>
      <c s="125" r="B210"/>
      <c s="125" r="C210"/>
      <c s="125" r="D210"/>
      <c s="125" r="E210"/>
      <c s="125" r="F210"/>
      <c s="125" r="G210"/>
      <c s="125" r="H210"/>
      <c s="125" r="I210"/>
      <c s="125" r="J210"/>
      <c s="125" r="K210"/>
      <c s="125" r="L210"/>
      <c s="125" r="M210"/>
      <c s="125" r="N210"/>
      <c s="125" r="O210"/>
      <c s="125" r="P210"/>
      <c s="125" r="Q210"/>
      <c s="125" r="R210"/>
      <c s="125" r="S210"/>
      <c s="822" r="T210"/>
      <c s="908" r="U210"/>
      <c s="551" r="V210"/>
      <c s="551" r="W210"/>
      <c s="551" r="X210"/>
      <c t="s" s="8" r="Y210">
        <v>277</v>
      </c>
      <c t="str" s="224" r="Z210">
        <f>Dimension!G103</f>
        <v>---</v>
      </c>
      <c s="113" r="AA210"/>
      <c s="125" r="AB210"/>
      <c s="761" r="AC210"/>
      <c s="341" r="AD210"/>
    </row>
    <row r="211">
      <c s="125" r="A211"/>
      <c s="125" r="B211"/>
      <c s="125" r="C211"/>
      <c s="125" r="D211"/>
      <c s="125" r="E211"/>
      <c s="125" r="F211"/>
      <c s="125" r="G211"/>
      <c s="125" r="H211"/>
      <c s="125" r="I211"/>
      <c s="125" r="J211"/>
      <c s="125" r="K211"/>
      <c s="125" r="L211"/>
      <c s="125" r="M211"/>
      <c s="125" r="N211"/>
      <c s="125" r="O211"/>
      <c s="125" r="P211"/>
      <c s="125" r="Q211"/>
      <c s="125" r="R211"/>
      <c s="125" r="S211"/>
      <c s="822" r="T211"/>
      <c s="908" r="U211"/>
      <c s="551" r="V211"/>
      <c s="551" r="W211"/>
      <c s="551" r="X211"/>
      <c t="s" s="8" r="Y211">
        <v>278</v>
      </c>
      <c t="str" s="224" r="Z211">
        <f>Dimension!H103</f>
        <v>---</v>
      </c>
      <c s="113" r="AA211"/>
      <c s="125" r="AB211"/>
      <c s="761" r="AC211"/>
      <c s="341" r="AD211"/>
    </row>
    <row r="212">
      <c s="125" r="A212"/>
      <c s="125" r="B212"/>
      <c s="125" r="C212"/>
      <c s="125" r="D212"/>
      <c s="125" r="E212"/>
      <c s="125" r="F212"/>
      <c s="125" r="G212"/>
      <c s="125" r="H212"/>
      <c s="125" r="I212"/>
      <c s="125" r="J212"/>
      <c s="125" r="K212"/>
      <c s="125" r="L212"/>
      <c s="125" r="M212"/>
      <c s="125" r="N212"/>
      <c s="125" r="O212"/>
      <c s="125" r="P212"/>
      <c s="125" r="Q212"/>
      <c s="125" r="R212"/>
      <c s="125" r="S212"/>
      <c s="822" r="T212"/>
      <c s="908" r="U212"/>
      <c s="551" r="V212"/>
      <c s="551" r="W212"/>
      <c s="551" r="X212"/>
      <c t="s" s="621" r="Y212">
        <v>279</v>
      </c>
      <c t="str" s="224" r="Z212">
        <f>Dimension!F104</f>
        <v>---</v>
      </c>
      <c s="113" r="AA212"/>
      <c s="125" r="AB212"/>
      <c s="761" r="AC212"/>
      <c s="341" r="AD212"/>
    </row>
    <row r="213">
      <c s="125" r="A213"/>
      <c s="125" r="B213"/>
      <c s="125" r="C213"/>
      <c s="125" r="D213"/>
      <c s="125" r="E213"/>
      <c s="125" r="F213"/>
      <c s="125" r="G213"/>
      <c s="125" r="H213"/>
      <c s="125" r="I213"/>
      <c s="125" r="J213"/>
      <c s="125" r="K213"/>
      <c s="125" r="L213"/>
      <c s="125" r="M213"/>
      <c s="125" r="N213"/>
      <c s="125" r="O213"/>
      <c s="125" r="P213"/>
      <c s="125" r="Q213"/>
      <c s="125" r="R213"/>
      <c s="125" r="S213"/>
      <c s="822" r="T213"/>
      <c s="908" r="U213"/>
      <c s="551" r="V213"/>
      <c s="551" r="W213"/>
      <c s="551" r="X213"/>
      <c t="s" s="8" r="Y213">
        <v>280</v>
      </c>
      <c t="str" s="224" r="Z213">
        <f>Dimension!G104</f>
        <v>---</v>
      </c>
      <c s="113" r="AA213"/>
      <c s="125" r="AB213"/>
      <c s="761" r="AC213"/>
      <c s="341" r="AD213"/>
    </row>
    <row r="214">
      <c s="125" r="A214"/>
      <c s="125" r="B214"/>
      <c s="125" r="C214"/>
      <c s="125" r="D214"/>
      <c s="125" r="E214"/>
      <c s="125" r="F214"/>
      <c s="125" r="G214"/>
      <c s="125" r="H214"/>
      <c s="125" r="I214"/>
      <c s="125" r="J214"/>
      <c s="125" r="K214"/>
      <c s="125" r="L214"/>
      <c s="125" r="M214"/>
      <c s="125" r="N214"/>
      <c s="125" r="O214"/>
      <c s="125" r="P214"/>
      <c s="125" r="Q214"/>
      <c s="125" r="R214"/>
      <c s="125" r="S214"/>
      <c s="822" r="T214"/>
      <c s="908" r="U214"/>
      <c s="551" r="V214"/>
      <c s="551" r="W214"/>
      <c s="551" r="X214"/>
      <c t="s" s="8" r="Y214">
        <v>281</v>
      </c>
      <c t="str" s="224" r="Z214">
        <f>Dimension!H104</f>
        <v>---</v>
      </c>
      <c s="113" r="AA214"/>
      <c s="125" r="AB214"/>
      <c s="761" r="AC214"/>
      <c s="341" r="AD214"/>
    </row>
    <row r="215">
      <c s="125" r="A215"/>
      <c s="125" r="B215"/>
      <c s="125" r="C215"/>
      <c s="125" r="D215"/>
      <c s="125" r="E215"/>
      <c s="125" r="F215"/>
      <c s="125" r="G215"/>
      <c s="125" r="H215"/>
      <c s="125" r="I215"/>
      <c s="125" r="J215"/>
      <c s="125" r="K215"/>
      <c s="125" r="L215"/>
      <c s="125" r="M215"/>
      <c s="125" r="N215"/>
      <c s="125" r="O215"/>
      <c s="125" r="P215"/>
      <c s="125" r="Q215"/>
      <c s="125" r="R215"/>
      <c s="125" r="S215"/>
      <c s="822" r="T215"/>
      <c s="908" r="U215"/>
      <c s="551" r="V215"/>
      <c s="551" r="W215"/>
      <c s="551" r="X215"/>
      <c t="s" s="621" r="Y215">
        <v>282</v>
      </c>
      <c t="str" s="224" r="Z215">
        <f>Dimension!F105</f>
        <v>---</v>
      </c>
      <c s="113" r="AA215"/>
      <c s="125" r="AB215"/>
      <c s="761" r="AC215"/>
      <c s="341" r="AD215"/>
    </row>
    <row r="216">
      <c s="125" r="A216"/>
      <c s="125" r="B216"/>
      <c s="125" r="C216"/>
      <c s="125" r="D216"/>
      <c s="125" r="E216"/>
      <c s="125" r="F216"/>
      <c s="125" r="G216"/>
      <c s="125" r="H216"/>
      <c s="125" r="I216"/>
      <c s="125" r="J216"/>
      <c s="125" r="K216"/>
      <c s="125" r="L216"/>
      <c s="125" r="M216"/>
      <c s="125" r="N216"/>
      <c s="125" r="O216"/>
      <c s="125" r="P216"/>
      <c s="125" r="Q216"/>
      <c s="125" r="R216"/>
      <c s="125" r="S216"/>
      <c s="822" r="T216"/>
      <c s="908" r="U216"/>
      <c s="551" r="V216"/>
      <c s="551" r="W216"/>
      <c s="551" r="X216"/>
      <c t="s" s="8" r="Y216">
        <v>283</v>
      </c>
      <c t="str" s="224" r="Z216">
        <f>Dimension!G105</f>
        <v>---</v>
      </c>
      <c s="113" r="AA216"/>
      <c s="125" r="AB216"/>
      <c s="761" r="AC216"/>
      <c s="341" r="AD216"/>
    </row>
    <row r="217">
      <c s="125" r="A217"/>
      <c s="125" r="B217"/>
      <c s="125" r="C217"/>
      <c s="125" r="D217"/>
      <c s="125" r="E217"/>
      <c s="125" r="F217"/>
      <c s="125" r="G217"/>
      <c s="125" r="H217"/>
      <c s="125" r="I217"/>
      <c s="125" r="J217"/>
      <c s="125" r="K217"/>
      <c s="125" r="L217"/>
      <c s="125" r="M217"/>
      <c s="125" r="N217"/>
      <c s="125" r="O217"/>
      <c s="125" r="P217"/>
      <c s="125" r="Q217"/>
      <c s="125" r="R217"/>
      <c s="125" r="S217"/>
      <c s="822" r="T217"/>
      <c s="908" r="U217"/>
      <c s="551" r="V217"/>
      <c s="551" r="W217"/>
      <c s="551" r="X217"/>
      <c t="s" s="8" r="Y217">
        <v>284</v>
      </c>
      <c t="str" s="224" r="Z217">
        <f>Dimension!H105</f>
        <v>---</v>
      </c>
      <c s="113" r="AA217"/>
      <c s="125" r="AB217"/>
      <c s="761" r="AC217"/>
      <c s="341" r="AD217"/>
    </row>
    <row r="218">
      <c s="125" r="A218"/>
      <c s="125" r="B218"/>
      <c s="125" r="C218"/>
      <c s="125" r="D218"/>
      <c s="125" r="E218"/>
      <c s="125" r="F218"/>
      <c s="125" r="G218"/>
      <c s="125" r="H218"/>
      <c s="125" r="I218"/>
      <c s="125" r="J218"/>
      <c s="125" r="K218"/>
      <c s="125" r="L218"/>
      <c s="125" r="M218"/>
      <c s="125" r="N218"/>
      <c s="125" r="O218"/>
      <c s="125" r="P218"/>
      <c s="125" r="Q218"/>
      <c s="125" r="R218"/>
      <c s="125" r="S218"/>
      <c s="822" r="T218"/>
      <c s="908" r="U218"/>
      <c s="551" r="V218"/>
      <c s="551" r="W218"/>
      <c s="551" r="X218"/>
      <c t="s" s="621" r="Y218">
        <v>285</v>
      </c>
      <c t="str" s="224" r="Z218">
        <f>Dimension!F106</f>
        <v>---</v>
      </c>
      <c s="113" r="AA218"/>
      <c s="125" r="AB218"/>
      <c s="761" r="AC218"/>
      <c s="341" r="AD218"/>
    </row>
    <row r="219">
      <c s="125" r="A219"/>
      <c s="125" r="B219"/>
      <c s="125" r="C219"/>
      <c s="125" r="D219"/>
      <c s="125" r="E219"/>
      <c s="125" r="F219"/>
      <c s="125" r="G219"/>
      <c s="125" r="H219"/>
      <c s="125" r="I219"/>
      <c s="125" r="J219"/>
      <c s="125" r="K219"/>
      <c s="125" r="L219"/>
      <c s="125" r="M219"/>
      <c s="125" r="N219"/>
      <c s="125" r="O219"/>
      <c s="125" r="P219"/>
      <c s="125" r="Q219"/>
      <c s="125" r="R219"/>
      <c s="125" r="S219"/>
      <c s="822" r="T219"/>
      <c s="908" r="U219"/>
      <c s="551" r="V219"/>
      <c s="551" r="W219"/>
      <c s="551" r="X219"/>
      <c t="s" s="8" r="Y219">
        <v>286</v>
      </c>
      <c t="str" s="224" r="Z219">
        <f>Dimension!G106</f>
        <v>---</v>
      </c>
      <c s="222" r="AA219"/>
      <c s="125" r="AB219"/>
      <c s="761" r="AC219"/>
      <c s="341" r="AD219"/>
    </row>
    <row customHeight="1" r="220" ht="13.5">
      <c s="125" r="A220"/>
      <c s="125" r="B220"/>
      <c s="125" r="C220"/>
      <c s="125" r="D220"/>
      <c s="125" r="E220"/>
      <c s="125" r="F220"/>
      <c s="125" r="G220"/>
      <c s="125" r="H220"/>
      <c s="125" r="I220"/>
      <c s="125" r="J220"/>
      <c s="125" r="K220"/>
      <c s="125" r="L220"/>
      <c s="125" r="M220"/>
      <c s="125" r="N220"/>
      <c s="125" r="O220"/>
      <c s="125" r="P220"/>
      <c s="125" r="Q220"/>
      <c s="125" r="R220"/>
      <c s="125" r="S220"/>
      <c s="822" r="T220"/>
      <c s="20" r="U220"/>
      <c s="414" r="V220"/>
      <c s="414" r="W220"/>
      <c s="414" r="X220"/>
      <c t="s" s="538" r="Y220">
        <v>287</v>
      </c>
      <c t="str" s="509" r="Z220">
        <f>Dimension!H106</f>
        <v>---</v>
      </c>
      <c s="51" r="AA220"/>
      <c s="125" r="AB220"/>
      <c s="761" r="AC220"/>
      <c s="341" r="AD220"/>
    </row>
    <row customHeight="1" r="221" ht="13.5">
      <c s="125" r="A221"/>
      <c s="125" r="B221"/>
      <c s="125" r="C221"/>
      <c s="125" r="D221"/>
      <c s="125" r="E221"/>
      <c s="125" r="F221"/>
      <c s="125" r="G221"/>
      <c s="125" r="H221"/>
      <c s="125" r="I221"/>
      <c s="125" r="J221"/>
      <c s="125" r="K221"/>
      <c s="125" r="L221"/>
      <c s="125" r="M221"/>
      <c s="125" r="N221"/>
      <c s="125" r="O221"/>
      <c s="125" r="P221"/>
      <c s="125" r="Q221"/>
      <c s="125" r="R221"/>
      <c s="125" r="S221"/>
      <c s="822" r="T221"/>
      <c t="s" s="365" r="U221">
        <v>288</v>
      </c>
      <c s="135" r="V221"/>
      <c s="135" r="W221"/>
      <c s="135" r="X221"/>
      <c s="135" r="Y221"/>
      <c s="740" r="Z221"/>
      <c s="51" r="AA221"/>
      <c s="125" r="AB221"/>
      <c s="761" r="AC221"/>
      <c s="341" r="AD221"/>
    </row>
    <row r="222">
      <c s="125" r="A222"/>
      <c s="125" r="B222"/>
      <c s="125" r="C222"/>
      <c s="125" r="D222"/>
      <c s="125" r="E222"/>
      <c s="125" r="F222"/>
      <c s="125" r="G222"/>
      <c s="125" r="H222"/>
      <c s="125" r="I222"/>
      <c s="125" r="J222"/>
      <c s="125" r="K222"/>
      <c s="125" r="L222"/>
      <c s="125" r="M222"/>
      <c s="125" r="N222"/>
      <c s="125" r="O222"/>
      <c s="125" r="P222"/>
      <c s="125" r="Q222"/>
      <c s="125" r="R222"/>
      <c s="125" r="S222"/>
      <c s="822" r="T222"/>
      <c s="738" r="U222"/>
      <c s="664" r="V222"/>
      <c s="664" r="W222"/>
      <c s="664" r="X222"/>
      <c t="s" s="520" r="Y222">
        <v>289</v>
      </c>
      <c t="str" s="346" r="Z222">
        <f>Dimension!F108</f>
        <v>#VALUE!:cantParseText:---</v>
      </c>
      <c s="51" r="AA222"/>
      <c s="125" r="AB222"/>
      <c s="761" r="AC222"/>
      <c s="341" r="AD222"/>
    </row>
    <row r="223">
      <c s="125" r="A223"/>
      <c s="125" r="B223"/>
      <c s="125" r="C223"/>
      <c s="125" r="D223"/>
      <c s="125" r="E223"/>
      <c s="125" r="F223"/>
      <c s="125" r="G223"/>
      <c s="125" r="H223"/>
      <c s="125" r="I223"/>
      <c s="125" r="J223"/>
      <c s="125" r="K223"/>
      <c s="125" r="L223"/>
      <c s="125" r="M223"/>
      <c s="125" r="N223"/>
      <c s="125" r="O223"/>
      <c s="125" r="P223"/>
      <c s="125" r="Q223"/>
      <c s="125" r="R223"/>
      <c s="125" r="S223"/>
      <c s="822" r="T223"/>
      <c s="908" r="U223"/>
      <c s="551" r="V223"/>
      <c s="551" r="W223"/>
      <c s="551" r="X223"/>
      <c t="s" s="621" r="Y223">
        <v>96</v>
      </c>
      <c t="str" s="215" r="Z223">
        <f>Dimension!F109</f>
        <v>---</v>
      </c>
      <c s="51" r="AA223"/>
      <c s="125" r="AB223"/>
      <c s="761" r="AC223"/>
      <c s="341" r="AD223"/>
    </row>
    <row r="224">
      <c s="125" r="A224"/>
      <c s="125" r="B224"/>
      <c s="125" r="C224"/>
      <c s="125" r="D224"/>
      <c s="125" r="E224"/>
      <c s="125" r="F224"/>
      <c s="125" r="G224"/>
      <c s="125" r="H224"/>
      <c s="125" r="I224"/>
      <c s="125" r="J224"/>
      <c s="125" r="K224"/>
      <c s="125" r="L224"/>
      <c s="125" r="M224"/>
      <c s="125" r="N224"/>
      <c s="125" r="O224"/>
      <c s="125" r="P224"/>
      <c s="125" r="Q224"/>
      <c s="125" r="R224"/>
      <c s="125" r="S224"/>
      <c s="822" r="T224"/>
      <c s="908" r="U224"/>
      <c s="551" r="V224"/>
      <c s="551" r="W224"/>
      <c s="551" r="X224"/>
      <c t="s" s="621" r="Y224">
        <v>290</v>
      </c>
      <c t="str" s="224" r="Z224">
        <f>Dimension!F111</f>
        <v>---</v>
      </c>
      <c s="51" r="AA224"/>
      <c s="125" r="AB224"/>
      <c s="761" r="AC224"/>
      <c s="341" r="AD224"/>
    </row>
    <row r="225">
      <c s="125" r="A225"/>
      <c s="125" r="B225"/>
      <c s="125" r="C225"/>
      <c s="125" r="D225"/>
      <c s="125" r="E225"/>
      <c s="125" r="F225"/>
      <c s="125" r="G225"/>
      <c s="125" r="H225"/>
      <c s="125" r="I225"/>
      <c s="125" r="J225"/>
      <c s="125" r="K225"/>
      <c s="125" r="L225"/>
      <c s="125" r="M225"/>
      <c s="125" r="N225"/>
      <c s="125" r="O225"/>
      <c s="125" r="P225"/>
      <c s="125" r="Q225"/>
      <c s="125" r="R225"/>
      <c s="125" r="S225"/>
      <c s="822" r="T225"/>
      <c s="908" r="U225"/>
      <c s="551" r="V225"/>
      <c s="551" r="W225"/>
      <c s="551" r="X225"/>
      <c t="s" s="8" r="Y225">
        <v>291</v>
      </c>
      <c t="str" s="224" r="Z225">
        <f>Dimension!H111</f>
        <v>---</v>
      </c>
      <c s="51" r="AA225"/>
      <c s="125" r="AB225"/>
      <c s="761" r="AC225"/>
      <c s="341" r="AD225"/>
    </row>
    <row r="226">
      <c s="125" r="A226"/>
      <c s="125" r="B226"/>
      <c s="125" r="C226"/>
      <c s="125" r="D226"/>
      <c s="125" r="E226"/>
      <c s="125" r="F226"/>
      <c s="125" r="G226"/>
      <c s="125" r="H226"/>
      <c s="125" r="I226"/>
      <c s="125" r="J226"/>
      <c s="125" r="K226"/>
      <c s="125" r="L226"/>
      <c s="125" r="M226"/>
      <c s="125" r="N226"/>
      <c s="125" r="O226"/>
      <c s="125" r="P226"/>
      <c s="125" r="Q226"/>
      <c s="125" r="R226"/>
      <c s="125" r="S226"/>
      <c s="822" r="T226"/>
      <c s="908" r="U226"/>
      <c s="551" r="V226"/>
      <c s="551" r="W226"/>
      <c s="551" r="X226"/>
      <c t="s" s="621" r="Y226">
        <v>101</v>
      </c>
      <c t="str" s="215" r="Z226">
        <f>Dimension!F112</f>
        <v>---</v>
      </c>
      <c s="51" r="AA226"/>
      <c s="125" r="AB226"/>
      <c s="761" r="AC226"/>
      <c s="341" r="AD226"/>
    </row>
    <row r="227">
      <c s="125" r="A227"/>
      <c s="125" r="B227"/>
      <c s="125" r="C227"/>
      <c s="125" r="D227"/>
      <c s="125" r="E227"/>
      <c s="125" r="F227"/>
      <c s="125" r="G227"/>
      <c s="125" r="H227"/>
      <c s="125" r="I227"/>
      <c s="125" r="J227"/>
      <c s="125" r="K227"/>
      <c s="125" r="L227"/>
      <c s="125" r="M227"/>
      <c s="125" r="N227"/>
      <c s="125" r="O227"/>
      <c s="125" r="P227"/>
      <c s="125" r="Q227"/>
      <c s="125" r="R227"/>
      <c s="125" r="S227"/>
      <c s="822" r="T227"/>
      <c s="908" r="U227"/>
      <c s="551" r="V227"/>
      <c s="551" r="W227"/>
      <c s="551" r="X227"/>
      <c t="s" s="8" r="Y227">
        <v>292</v>
      </c>
      <c t="str" s="215" r="Z227">
        <f>Dimension!H112</f>
        <v>---</v>
      </c>
      <c s="51" r="AA227"/>
      <c s="125" r="AB227"/>
      <c s="761" r="AC227"/>
      <c s="341" r="AD227"/>
    </row>
    <row r="228">
      <c s="125" r="A228"/>
      <c s="125" r="B228"/>
      <c s="125" r="C228"/>
      <c s="125" r="D228"/>
      <c s="125" r="E228"/>
      <c s="125" r="F228"/>
      <c s="125" r="G228"/>
      <c s="125" r="H228"/>
      <c s="125" r="I228"/>
      <c s="125" r="J228"/>
      <c s="125" r="K228"/>
      <c s="125" r="L228"/>
      <c s="125" r="M228"/>
      <c s="125" r="N228"/>
      <c s="125" r="O228"/>
      <c s="125" r="P228"/>
      <c s="125" r="Q228"/>
      <c s="125" r="R228"/>
      <c s="125" r="S228"/>
      <c s="822" r="T228"/>
      <c s="908" r="U228"/>
      <c s="551" r="V228"/>
      <c s="551" r="W228"/>
      <c s="551" r="X228"/>
      <c t="s" s="621" r="Y228">
        <v>293</v>
      </c>
      <c t="str" s="215" r="Z228">
        <f>Dimension!F113</f>
        <v>---</v>
      </c>
      <c s="51" r="AA228"/>
      <c s="125" r="AB228"/>
      <c s="761" r="AC228"/>
      <c s="341" r="AD228"/>
    </row>
    <row r="229">
      <c s="125" r="A229"/>
      <c s="125" r="B229"/>
      <c s="125" r="C229"/>
      <c s="125" r="D229"/>
      <c s="125" r="E229"/>
      <c s="125" r="F229"/>
      <c s="125" r="G229"/>
      <c s="125" r="H229"/>
      <c s="125" r="I229"/>
      <c s="125" r="J229"/>
      <c s="125" r="K229"/>
      <c s="125" r="L229"/>
      <c s="125" r="M229"/>
      <c s="125" r="N229"/>
      <c s="125" r="O229"/>
      <c s="125" r="P229"/>
      <c s="125" r="Q229"/>
      <c s="125" r="R229"/>
      <c s="125" r="S229"/>
      <c s="822" r="T229"/>
      <c s="908" r="U229"/>
      <c s="551" r="V229"/>
      <c s="551" r="W229"/>
      <c s="551" r="X229"/>
      <c t="s" s="8" r="Y229">
        <v>294</v>
      </c>
      <c t="str" s="215" r="Z229">
        <f>Dimension!H113</f>
        <v>---</v>
      </c>
      <c s="51" r="AA229"/>
      <c s="125" r="AB229"/>
      <c s="761" r="AC229"/>
      <c s="341" r="AD229"/>
    </row>
    <row r="230">
      <c s="125" r="A230"/>
      <c s="125" r="B230"/>
      <c s="125" r="C230"/>
      <c s="125" r="D230"/>
      <c s="125" r="E230"/>
      <c s="125" r="F230"/>
      <c s="125" r="G230"/>
      <c s="125" r="H230"/>
      <c s="125" r="I230"/>
      <c s="125" r="J230"/>
      <c s="125" r="K230"/>
      <c s="125" r="L230"/>
      <c s="125" r="M230"/>
      <c s="125" r="N230"/>
      <c s="125" r="O230"/>
      <c s="125" r="P230"/>
      <c s="125" r="Q230"/>
      <c s="125" r="R230"/>
      <c s="125" r="S230"/>
      <c s="822" r="T230"/>
      <c s="908" r="U230"/>
      <c s="551" r="V230"/>
      <c s="551" r="W230"/>
      <c s="551" r="X230"/>
      <c t="s" s="621" r="Y230">
        <v>295</v>
      </c>
      <c t="str" s="215" r="Z230">
        <f>Dimension!F114</f>
        <v>---</v>
      </c>
      <c s="51" r="AA230"/>
      <c s="125" r="AB230"/>
      <c s="761" r="AC230"/>
      <c s="341" r="AD230"/>
    </row>
    <row r="231">
      <c s="125" r="A231"/>
      <c s="125" r="B231"/>
      <c s="125" r="C231"/>
      <c s="125" r="D231"/>
      <c s="125" r="E231"/>
      <c s="125" r="F231"/>
      <c s="125" r="G231"/>
      <c s="125" r="H231"/>
      <c s="125" r="I231"/>
      <c s="125" r="J231"/>
      <c s="125" r="K231"/>
      <c s="125" r="L231"/>
      <c s="125" r="M231"/>
      <c s="125" r="N231"/>
      <c s="125" r="O231"/>
      <c s="125" r="P231"/>
      <c s="125" r="Q231"/>
      <c s="125" r="R231"/>
      <c s="125" r="S231"/>
      <c s="822" r="T231"/>
      <c s="908" r="U231"/>
      <c s="551" r="V231"/>
      <c s="551" r="W231"/>
      <c s="551" r="X231"/>
      <c t="s" s="8" r="Y231">
        <v>296</v>
      </c>
      <c t="str" s="215" r="Z231">
        <f>Dimension!H114</f>
        <v>---</v>
      </c>
      <c s="51" r="AA231"/>
      <c s="125" r="AB231"/>
      <c s="761" r="AC231"/>
      <c s="341" r="AD231"/>
    </row>
    <row r="232">
      <c s="125" r="A232"/>
      <c s="125" r="B232"/>
      <c s="125" r="C232"/>
      <c s="125" r="D232"/>
      <c s="125" r="E232"/>
      <c s="125" r="F232"/>
      <c s="125" r="G232"/>
      <c s="125" r="H232"/>
      <c s="125" r="I232"/>
      <c s="125" r="J232"/>
      <c s="125" r="K232"/>
      <c s="125" r="L232"/>
      <c s="125" r="M232"/>
      <c s="125" r="N232"/>
      <c s="125" r="O232"/>
      <c s="125" r="P232"/>
      <c s="125" r="Q232"/>
      <c s="125" r="R232"/>
      <c s="125" r="S232"/>
      <c s="822" r="T232"/>
      <c s="908" r="U232"/>
      <c s="551" r="V232"/>
      <c s="551" r="W232"/>
      <c s="551" r="X232"/>
      <c t="s" s="621" r="Y232">
        <v>297</v>
      </c>
      <c t="str" s="224" r="Z232">
        <f>Dimension!F115</f>
        <v>---</v>
      </c>
      <c s="51" r="AA232"/>
      <c s="125" r="AB232"/>
      <c s="761" r="AC232"/>
      <c s="341" r="AD232"/>
    </row>
    <row r="233">
      <c s="125" r="A233"/>
      <c s="125" r="B233"/>
      <c s="125" r="C233"/>
      <c s="125" r="D233"/>
      <c s="125" r="E233"/>
      <c s="125" r="F233"/>
      <c s="125" r="G233"/>
      <c s="125" r="H233"/>
      <c s="125" r="I233"/>
      <c s="125" r="J233"/>
      <c s="125" r="K233"/>
      <c s="125" r="L233"/>
      <c s="125" r="M233"/>
      <c s="125" r="N233"/>
      <c s="125" r="O233"/>
      <c s="125" r="P233"/>
      <c s="125" r="Q233"/>
      <c s="125" r="R233"/>
      <c s="125" r="S233"/>
      <c s="822" r="T233"/>
      <c s="908" r="U233"/>
      <c s="551" r="V233"/>
      <c s="551" r="W233"/>
      <c s="551" r="X233"/>
      <c t="s" s="621" r="Y233">
        <v>298</v>
      </c>
      <c t="str" s="215" r="Z233">
        <f>Dimension!F116</f>
        <v>---</v>
      </c>
      <c s="51" r="AA233"/>
      <c s="125" r="AB233"/>
      <c s="761" r="AC233"/>
      <c s="341" r="AD233"/>
    </row>
    <row r="234">
      <c s="125" r="A234"/>
      <c s="125" r="B234"/>
      <c s="125" r="C234"/>
      <c s="125" r="D234"/>
      <c s="125" r="E234"/>
      <c s="125" r="F234"/>
      <c s="125" r="G234"/>
      <c s="125" r="H234"/>
      <c s="125" r="I234"/>
      <c s="125" r="J234"/>
      <c s="125" r="K234"/>
      <c s="125" r="L234"/>
      <c s="125" r="M234"/>
      <c s="125" r="N234"/>
      <c s="125" r="O234"/>
      <c s="125" r="P234"/>
      <c s="125" r="Q234"/>
      <c s="125" r="R234"/>
      <c s="125" r="S234"/>
      <c s="822" r="T234"/>
      <c s="908" r="U234"/>
      <c s="551" r="V234"/>
      <c s="551" r="W234"/>
      <c s="551" r="X234"/>
      <c t="s" s="621" r="Y234">
        <v>107</v>
      </c>
      <c t="str" s="224" r="Z234">
        <f>Dimension!F117</f>
        <v>---</v>
      </c>
      <c s="51" r="AA234"/>
      <c s="125" r="AB234"/>
      <c s="761" r="AC234"/>
      <c s="341" r="AD234"/>
    </row>
    <row r="235">
      <c s="125" r="A235"/>
      <c s="125" r="B235"/>
      <c s="125" r="C235"/>
      <c s="125" r="D235"/>
      <c s="125" r="E235"/>
      <c s="125" r="F235"/>
      <c s="125" r="G235"/>
      <c s="125" r="H235"/>
      <c s="125" r="I235"/>
      <c s="125" r="J235"/>
      <c s="125" r="K235"/>
      <c s="125" r="L235"/>
      <c s="125" r="M235"/>
      <c s="125" r="N235"/>
      <c s="125" r="O235"/>
      <c s="125" r="P235"/>
      <c s="125" r="Q235"/>
      <c s="125" r="R235"/>
      <c s="125" r="S235"/>
      <c s="822" r="T235"/>
      <c s="908" r="U235"/>
      <c s="551" r="V235"/>
      <c s="551" r="W235"/>
      <c s="551" r="X235"/>
      <c t="s" s="8" r="Y235">
        <v>299</v>
      </c>
      <c t="str" s="224" r="Z235">
        <f>Dimension!H117</f>
        <v/>
      </c>
      <c s="488" r="AA235"/>
      <c s="125" r="AB235"/>
      <c s="761" r="AC235"/>
      <c s="341" r="AD235"/>
    </row>
    <row r="236">
      <c s="125" r="A236"/>
      <c s="125" r="B236"/>
      <c s="125" r="C236"/>
      <c s="125" r="D236"/>
      <c s="125" r="E236"/>
      <c s="125" r="F236"/>
      <c s="125" r="G236"/>
      <c s="125" r="H236"/>
      <c s="125" r="I236"/>
      <c s="125" r="J236"/>
      <c s="125" r="K236"/>
      <c s="125" r="L236"/>
      <c s="125" r="M236"/>
      <c s="125" r="N236"/>
      <c s="125" r="O236"/>
      <c s="125" r="P236"/>
      <c s="125" r="Q236"/>
      <c s="125" r="R236"/>
      <c s="125" r="S236"/>
      <c s="822" r="T236"/>
      <c s="908" r="U236"/>
      <c s="551" r="V236"/>
      <c s="551" r="W236"/>
      <c s="551" r="X236"/>
      <c t="s" s="621" r="Y236">
        <v>109</v>
      </c>
      <c t="str" s="224" r="Z236">
        <f>Dimension!F118</f>
        <v>---</v>
      </c>
      <c s="51" r="AA236"/>
      <c s="125" r="AB236"/>
      <c s="125" r="AC236"/>
      <c s="341" r="AD236"/>
    </row>
    <row r="237">
      <c s="125" r="A237"/>
      <c s="125" r="B237"/>
      <c s="125" r="C237"/>
      <c s="125" r="D237"/>
      <c s="125" r="E237"/>
      <c s="125" r="F237"/>
      <c s="125" r="G237"/>
      <c s="125" r="H237"/>
      <c s="125" r="I237"/>
      <c s="125" r="J237"/>
      <c s="125" r="K237"/>
      <c s="125" r="L237"/>
      <c s="125" r="M237"/>
      <c s="125" r="N237"/>
      <c s="125" r="O237"/>
      <c s="125" r="P237"/>
      <c s="125" r="Q237"/>
      <c s="125" r="R237"/>
      <c s="125" r="S237"/>
      <c s="822" r="T237"/>
      <c s="908" r="U237"/>
      <c s="551" r="V237"/>
      <c s="551" r="W237"/>
      <c s="551" r="X237"/>
      <c t="s" s="8" r="Y237">
        <v>300</v>
      </c>
      <c t="str" s="224" r="Z237">
        <f>Dimension!H118</f>
        <v/>
      </c>
      <c s="51" r="AA237"/>
      <c s="125" r="AB237"/>
      <c s="125" r="AC237"/>
      <c s="341" r="AD237"/>
    </row>
    <row r="238">
      <c s="125" r="A238"/>
      <c s="125" r="B238"/>
      <c s="125" r="C238"/>
      <c s="125" r="D238"/>
      <c s="125" r="E238"/>
      <c s="125" r="F238"/>
      <c s="125" r="G238"/>
      <c s="125" r="H238"/>
      <c s="125" r="I238"/>
      <c s="125" r="J238"/>
      <c s="125" r="K238"/>
      <c s="125" r="L238"/>
      <c s="125" r="M238"/>
      <c s="125" r="N238"/>
      <c s="125" r="O238"/>
      <c s="125" r="P238"/>
      <c s="125" r="Q238"/>
      <c s="125" r="R238"/>
      <c s="125" r="S238"/>
      <c s="822" r="T238"/>
      <c s="20" r="U238"/>
      <c s="414" r="V238"/>
      <c s="414" r="W238"/>
      <c s="414" r="X238"/>
      <c t="s" s="428" r="Y238">
        <v>301</v>
      </c>
      <c t="str" s="509" r="Z238">
        <f>Dimension!F119</f>
        <v>---</v>
      </c>
      <c s="51" r="AA238"/>
      <c s="125" r="AB238"/>
      <c s="125" r="AC238"/>
      <c s="341" r="AD238"/>
    </row>
    <row r="239">
      <c s="125" r="A239"/>
      <c s="125" r="B239"/>
      <c s="125" r="C239"/>
      <c s="125" r="D239"/>
      <c s="125" r="E239"/>
      <c s="125" r="F239"/>
      <c s="125" r="G239"/>
      <c s="125" r="H239"/>
      <c s="125" r="I239"/>
      <c s="125" r="J239"/>
      <c s="125" r="K239"/>
      <c s="125" r="L239"/>
      <c s="125" r="M239"/>
      <c s="125" r="N239"/>
      <c s="125" r="O239"/>
      <c s="125" r="P239"/>
      <c s="125" r="Q239"/>
      <c s="125" r="R239"/>
      <c s="125" r="S239"/>
      <c s="125" r="T239"/>
      <c s="442" r="U239"/>
      <c s="442" r="V239"/>
      <c s="442" r="W239"/>
      <c s="442" r="X239"/>
      <c s="442" r="Y239"/>
      <c s="442" r="Z239"/>
      <c s="125" r="AA239"/>
      <c s="125" r="AB239"/>
      <c s="761" r="AC239"/>
      <c s="341" r="AD239"/>
    </row>
    <row r="240">
      <c s="125" r="A240"/>
      <c s="125" r="B240"/>
      <c s="125" r="C240"/>
      <c s="125" r="D240"/>
      <c s="125" r="E240"/>
      <c s="125" r="F240"/>
      <c s="125" r="G240"/>
      <c s="125" r="H240"/>
      <c s="125" r="I240"/>
      <c s="125" r="J240"/>
      <c s="125" r="K240"/>
      <c s="125" r="L240"/>
      <c s="125" r="M240"/>
      <c s="125" r="N240"/>
      <c s="125" r="O240"/>
      <c s="125" r="P240"/>
      <c s="125" r="Q240"/>
      <c s="125" r="R240"/>
      <c s="125" r="S240"/>
      <c s="125" r="T240"/>
      <c s="125" r="U240"/>
      <c s="125" r="V240"/>
      <c s="125" r="W240"/>
      <c s="125" r="X240"/>
      <c s="125" r="Y240"/>
      <c s="125" r="Z240"/>
      <c s="125" r="AA240"/>
      <c s="125" r="AB240"/>
      <c s="761" r="AC240"/>
      <c s="341" r="AD240"/>
    </row>
    <row r="241">
      <c s="125" r="A241"/>
      <c s="125" r="B241"/>
      <c s="125" r="C241"/>
      <c s="125" r="D241"/>
      <c s="125" r="E241"/>
      <c s="125" r="F241"/>
      <c s="125" r="G241"/>
      <c s="125" r="H241"/>
      <c s="125" r="I241"/>
      <c s="125" r="J241"/>
      <c s="125" r="K241"/>
      <c s="125" r="L241"/>
      <c s="125" r="M241"/>
      <c s="125" r="N241"/>
      <c s="125" r="O241"/>
      <c s="125" r="P241"/>
      <c s="125" r="Q241"/>
      <c s="125" r="R241"/>
      <c s="125" r="S241"/>
      <c s="125" r="T241"/>
      <c s="125" r="U241"/>
      <c s="125" r="V241"/>
      <c s="125" r="W241"/>
      <c s="125" r="X241"/>
      <c s="125" r="Y241"/>
      <c s="125" r="Z241"/>
      <c s="125" r="AA241"/>
      <c s="125" r="AB241"/>
      <c s="761" r="AC241"/>
      <c s="341" r="AD241"/>
    </row>
    <row r="242">
      <c s="125" r="A242"/>
      <c s="125" r="B242"/>
      <c s="125" r="C242"/>
      <c s="125" r="D242"/>
      <c s="125" r="E242"/>
      <c s="125" r="F242"/>
      <c s="125" r="G242"/>
      <c s="125" r="H242"/>
      <c s="125" r="I242"/>
      <c s="125" r="J242"/>
      <c s="125" r="K242"/>
      <c s="125" r="L242"/>
      <c s="125" r="M242"/>
      <c s="125" r="N242"/>
      <c s="125" r="O242"/>
      <c s="125" r="P242"/>
      <c s="125" r="Q242"/>
      <c s="125" r="R242"/>
      <c s="125" r="S242"/>
      <c s="125" r="T242"/>
      <c s="433" r="U242"/>
      <c s="433" r="V242"/>
      <c s="433" r="W242"/>
      <c s="433" r="X242"/>
      <c s="433" r="Y242"/>
      <c s="433" r="Z242"/>
      <c s="125" r="AA242"/>
      <c s="125" r="AB242"/>
      <c s="761" r="AC242"/>
      <c s="341" r="AD242"/>
    </row>
    <row r="243">
      <c s="125" r="A243"/>
      <c s="125" r="B243"/>
      <c s="125" r="C243"/>
      <c s="125" r="D243"/>
      <c s="125" r="E243"/>
      <c s="125" r="F243"/>
      <c s="125" r="G243"/>
      <c s="125" r="H243"/>
      <c s="125" r="I243"/>
      <c s="125" r="J243"/>
      <c s="125" r="K243"/>
      <c s="125" r="L243"/>
      <c s="125" r="M243"/>
      <c s="125" r="N243"/>
      <c s="125" r="O243"/>
      <c s="125" r="P243"/>
      <c s="125" r="Q243"/>
      <c s="125" r="R243"/>
      <c s="125" r="S243"/>
      <c s="125" r="T243"/>
      <c s="125" r="U243"/>
      <c s="125" r="V243"/>
      <c s="125" r="W243"/>
      <c s="125" r="X243"/>
      <c s="125" r="Y243"/>
      <c s="125" r="Z243"/>
      <c s="125" r="AA243"/>
      <c s="125" r="AB243"/>
      <c s="761" r="AC243"/>
      <c s="125" r="AD243"/>
    </row>
    <row r="244">
      <c s="125" r="A244"/>
      <c s="125" r="B244"/>
      <c s="125" r="C244"/>
      <c s="125" r="D244"/>
      <c s="125" r="E244"/>
      <c s="125" r="F244"/>
      <c s="125" r="G244"/>
      <c s="125" r="H244"/>
      <c s="125" r="I244"/>
      <c s="125" r="J244"/>
      <c s="125" r="K244"/>
      <c s="125" r="L244"/>
      <c s="125" r="M244"/>
      <c s="125" r="N244"/>
      <c s="125" r="O244"/>
      <c s="125" r="P244"/>
      <c s="125" r="Q244"/>
      <c s="125" r="R244"/>
      <c s="125" r="S244"/>
      <c s="125" r="T244"/>
      <c s="125" r="U244"/>
      <c s="125" r="V244"/>
      <c s="125" r="W244"/>
      <c s="125" r="X244"/>
      <c s="125" r="Y244"/>
      <c s="125" r="Z244"/>
      <c s="125" r="AA244"/>
      <c s="125" r="AB244"/>
      <c s="761" r="AC244"/>
      <c s="125" r="AD244"/>
    </row>
    <row r="245">
      <c s="125" r="A245"/>
      <c s="125" r="B245"/>
      <c s="125" r="C245"/>
      <c s="125" r="D245"/>
      <c s="125" r="E245"/>
      <c s="125" r="F245"/>
      <c s="125" r="G245"/>
      <c s="125" r="H245"/>
      <c s="125" r="I245"/>
      <c s="125" r="J245"/>
      <c s="125" r="K245"/>
      <c s="125" r="L245"/>
      <c s="125" r="M245"/>
      <c s="125" r="N245"/>
      <c s="125" r="O245"/>
      <c s="125" r="P245"/>
      <c s="125" r="Q245"/>
      <c s="125" r="R245"/>
      <c s="125" r="S245"/>
      <c s="125" r="T245"/>
      <c s="125" r="U245"/>
      <c s="125" r="V245"/>
      <c s="125" r="W245"/>
      <c s="125" r="X245"/>
      <c s="125" r="Y245"/>
      <c s="125" r="Z245"/>
      <c s="125" r="AA245"/>
      <c s="125" r="AB245"/>
      <c s="761" r="AC245"/>
      <c s="125" r="AD245"/>
    </row>
    <row r="246">
      <c s="125" r="A246"/>
      <c s="125" r="B246"/>
      <c s="125" r="C246"/>
      <c s="125" r="D246"/>
      <c s="125" r="E246"/>
      <c s="125" r="F246"/>
      <c s="125" r="G246"/>
      <c s="125" r="H246"/>
      <c s="125" r="I246"/>
      <c s="125" r="J246"/>
      <c s="125" r="K246"/>
      <c s="125" r="L246"/>
      <c s="125" r="M246"/>
      <c s="125" r="N246"/>
      <c s="125" r="O246"/>
      <c s="125" r="P246"/>
      <c s="125" r="Q246"/>
      <c s="125" r="R246"/>
      <c s="125" r="S246"/>
      <c s="125" r="T246"/>
      <c s="125" r="U246"/>
      <c s="125" r="V246"/>
      <c s="125" r="W246"/>
      <c s="125" r="X246"/>
      <c s="125" r="Y246"/>
      <c s="125" r="Z246"/>
      <c s="125" r="AA246"/>
      <c s="125" r="AB246"/>
      <c s="761" r="AC246"/>
      <c s="341" r="AD246"/>
    </row>
    <row r="247">
      <c s="125" r="A247"/>
      <c s="125" r="B247"/>
      <c s="125" r="C247"/>
      <c s="125" r="D247"/>
      <c s="125" r="E247"/>
      <c s="125" r="F247"/>
      <c s="125" r="G247"/>
      <c s="125" r="H247"/>
      <c s="125" r="I247"/>
      <c s="125" r="J247"/>
      <c s="125" r="K247"/>
      <c s="125" r="L247"/>
      <c s="125" r="M247"/>
      <c s="125" r="N247"/>
      <c s="125" r="O247"/>
      <c s="125" r="P247"/>
      <c s="125" r="Q247"/>
      <c s="125" r="R247"/>
      <c s="125" r="S247"/>
      <c s="125" r="T247"/>
      <c s="125" r="U247"/>
      <c s="125" r="V247"/>
      <c s="125" r="W247"/>
      <c s="125" r="X247"/>
      <c s="125" r="Y247"/>
      <c s="125" r="Z247"/>
      <c s="125" r="AA247"/>
      <c s="125" r="AB247"/>
      <c s="761" r="AC247"/>
      <c s="341" r="AD247"/>
    </row>
    <row r="248">
      <c s="125" r="A248"/>
      <c s="125" r="B248"/>
      <c s="125" r="C248"/>
      <c s="125" r="D248"/>
      <c s="125" r="E248"/>
      <c s="125" r="F248"/>
      <c s="125" r="G248"/>
      <c s="125" r="H248"/>
      <c s="125" r="I248"/>
      <c s="125" r="J248"/>
      <c s="125" r="K248"/>
      <c s="125" r="L248"/>
      <c s="125" r="M248"/>
      <c s="125" r="N248"/>
      <c s="125" r="O248"/>
      <c s="125" r="P248"/>
      <c s="125" r="Q248"/>
      <c s="125" r="R248"/>
      <c s="125" r="S248"/>
      <c s="125" r="T248"/>
      <c s="125" r="U248"/>
      <c s="125" r="V248"/>
      <c s="125" r="W248"/>
      <c s="125" r="X248"/>
      <c s="125" r="Y248"/>
      <c s="125" r="Z248"/>
      <c s="125" r="AA248"/>
      <c s="125" r="AB248"/>
      <c s="761" r="AC248"/>
      <c s="341" r="AD248"/>
    </row>
    <row r="249">
      <c s="125" r="A249"/>
      <c s="125" r="B249"/>
      <c s="125" r="C249"/>
      <c s="125" r="D249"/>
      <c s="125" r="E249"/>
      <c s="125" r="F249"/>
      <c s="125" r="G249"/>
      <c s="125" r="H249"/>
      <c s="125" r="I249"/>
      <c s="125" r="J249"/>
      <c s="125" r="K249"/>
      <c s="125" r="L249"/>
      <c s="125" r="M249"/>
      <c s="125" r="N249"/>
      <c s="125" r="O249"/>
      <c s="125" r="P249"/>
      <c s="125" r="Q249"/>
      <c s="125" r="R249"/>
      <c s="125" r="S249"/>
      <c s="125" r="T249"/>
      <c s="125" r="U249"/>
      <c s="125" r="V249"/>
      <c s="125" r="W249"/>
      <c s="125" r="X249"/>
      <c s="125" r="Y249"/>
      <c s="125" r="Z249"/>
      <c s="125" r="AA249"/>
      <c s="125" r="AB249"/>
      <c s="761" r="AC249"/>
      <c s="341" r="AD249"/>
    </row>
    <row r="250">
      <c s="125" r="A250"/>
      <c s="125" r="B250"/>
      <c s="125" r="C250"/>
      <c s="125" r="D250"/>
      <c s="125" r="E250"/>
      <c s="125" r="F250"/>
      <c s="125" r="G250"/>
      <c s="125" r="H250"/>
      <c s="125" r="I250"/>
      <c s="125" r="J250"/>
      <c s="125" r="K250"/>
      <c s="125" r="L250"/>
      <c s="125" r="M250"/>
      <c s="125" r="N250"/>
      <c s="125" r="O250"/>
      <c s="125" r="P250"/>
      <c s="125" r="Q250"/>
      <c s="125" r="R250"/>
      <c s="125" r="S250"/>
      <c s="125" r="T250"/>
      <c s="125" r="U250"/>
      <c s="125" r="V250"/>
      <c s="125" r="W250"/>
      <c s="125" r="X250"/>
      <c s="125" r="Y250"/>
      <c s="125" r="Z250"/>
      <c s="125" r="AA250"/>
      <c s="125" r="AB250"/>
      <c s="761" r="AC250"/>
      <c s="341" r="AD250"/>
    </row>
    <row r="251">
      <c s="125" r="A251"/>
      <c s="125" r="B251"/>
      <c s="125" r="C251"/>
      <c s="125" r="D251"/>
      <c s="125" r="E251"/>
      <c s="125" r="F251"/>
      <c s="125" r="G251"/>
      <c s="125" r="H251"/>
      <c s="125" r="I251"/>
      <c s="125" r="J251"/>
      <c s="125" r="K251"/>
      <c s="125" r="L251"/>
      <c s="125" r="M251"/>
      <c s="125" r="N251"/>
      <c s="125" r="O251"/>
      <c s="125" r="P251"/>
      <c s="125" r="Q251"/>
      <c s="125" r="R251"/>
      <c s="125" r="S251"/>
      <c s="125" r="T251"/>
      <c s="125" r="U251"/>
      <c s="125" r="V251"/>
      <c s="125" r="W251"/>
      <c s="125" r="X251"/>
      <c s="125" r="Y251"/>
      <c s="125" r="Z251"/>
      <c s="125" r="AA251"/>
      <c s="125" r="AB251"/>
      <c s="761" r="AC251"/>
      <c s="341" r="AD251"/>
    </row>
    <row r="252">
      <c s="125" r="A252"/>
      <c s="125" r="B252"/>
      <c s="125" r="C252"/>
      <c s="125" r="D252"/>
      <c s="125" r="E252"/>
      <c s="125" r="F252"/>
      <c s="125" r="G252"/>
      <c s="125" r="H252"/>
      <c s="125" r="I252"/>
      <c s="125" r="J252"/>
      <c s="125" r="K252"/>
      <c s="125" r="L252"/>
      <c s="125" r="M252"/>
      <c s="125" r="N252"/>
      <c s="125" r="O252"/>
      <c s="125" r="P252"/>
      <c s="125" r="Q252"/>
      <c s="125" r="R252"/>
      <c s="125" r="S252"/>
      <c s="125" r="T252"/>
      <c s="433" r="U252"/>
      <c s="433" r="V252"/>
      <c s="433" r="W252"/>
      <c s="433" r="X252"/>
      <c s="433" r="Y252"/>
      <c s="433" r="Z252"/>
      <c s="125" r="AA252"/>
      <c s="125" r="AB252"/>
      <c s="761" r="AC252"/>
      <c s="341" r="AD252"/>
    </row>
    <row r="253">
      <c s="125" r="A253"/>
      <c s="125" r="B253"/>
      <c s="125" r="C253"/>
      <c s="125" r="D253"/>
      <c s="125" r="E253"/>
      <c s="125" r="F253"/>
      <c s="125" r="G253"/>
      <c s="125" r="H253"/>
      <c s="125" r="I253"/>
      <c s="125" r="J253"/>
      <c s="125" r="K253"/>
      <c s="125" r="L253"/>
      <c s="125" r="M253"/>
      <c s="125" r="N253"/>
      <c s="125" r="O253"/>
      <c s="125" r="P253"/>
      <c s="125" r="Q253"/>
      <c s="125" r="R253"/>
      <c s="125" r="S253"/>
      <c s="125" r="T253"/>
      <c s="125" r="U253"/>
      <c s="125" r="V253"/>
      <c s="125" r="W253"/>
      <c s="125" r="X253"/>
      <c s="125" r="Y253"/>
      <c s="125" r="Z253"/>
      <c s="125" r="AA253"/>
      <c s="125" r="AB253"/>
      <c s="761" r="AC253"/>
      <c s="341" r="AD253"/>
    </row>
    <row r="254">
      <c s="125" r="A254"/>
      <c s="125" r="B254"/>
      <c s="125" r="C254"/>
      <c s="125" r="D254"/>
      <c s="125" r="E254"/>
      <c s="125" r="F254"/>
      <c s="125" r="G254"/>
      <c s="125" r="H254"/>
      <c s="125" r="I254"/>
      <c s="125" r="J254"/>
      <c s="125" r="K254"/>
      <c s="125" r="L254"/>
      <c s="125" r="M254"/>
      <c s="125" r="N254"/>
      <c s="125" r="O254"/>
      <c s="125" r="P254"/>
      <c s="125" r="Q254"/>
      <c s="125" r="R254"/>
      <c s="125" r="S254"/>
      <c s="125" r="T254"/>
      <c s="125" r="U254"/>
      <c s="125" r="V254"/>
      <c s="125" r="W254"/>
      <c s="125" r="X254"/>
      <c s="125" r="Y254"/>
      <c s="125" r="Z254"/>
      <c s="125" r="AA254"/>
      <c s="125" r="AB254"/>
      <c s="761" r="AC254"/>
      <c s="341" r="AD254"/>
    </row>
    <row r="255">
      <c s="125" r="A255"/>
      <c s="125" r="B255"/>
      <c s="125" r="C255"/>
      <c s="125" r="D255"/>
      <c s="125" r="E255"/>
      <c s="125" r="F255"/>
      <c s="125" r="G255"/>
      <c s="125" r="H255"/>
      <c s="125" r="I255"/>
      <c s="125" r="J255"/>
      <c s="125" r="K255"/>
      <c s="125" r="L255"/>
      <c s="125" r="M255"/>
      <c s="125" r="N255"/>
      <c s="125" r="O255"/>
      <c s="125" r="P255"/>
      <c s="125" r="Q255"/>
      <c s="125" r="R255"/>
      <c s="125" r="S255"/>
      <c s="125" r="T255"/>
      <c s="125" r="U255"/>
      <c s="125" r="V255"/>
      <c s="125" r="W255"/>
      <c s="125" r="X255"/>
      <c s="125" r="Y255"/>
      <c s="125" r="Z255"/>
      <c s="125" r="AA255"/>
      <c s="125" r="AB255"/>
      <c s="761" r="AC255"/>
      <c s="341" r="AD255"/>
    </row>
    <row r="256">
      <c s="125" r="A256"/>
      <c s="125" r="B256"/>
      <c s="125" r="C256"/>
      <c s="125" r="D256"/>
      <c s="125" r="E256"/>
      <c s="125" r="F256"/>
      <c s="125" r="G256"/>
      <c s="125" r="H256"/>
      <c s="125" r="I256"/>
      <c s="125" r="J256"/>
      <c s="125" r="K256"/>
      <c s="125" r="L256"/>
      <c s="125" r="M256"/>
      <c s="125" r="N256"/>
      <c s="125" r="O256"/>
      <c s="125" r="P256"/>
      <c s="125" r="Q256"/>
      <c s="125" r="R256"/>
      <c s="125" r="S256"/>
      <c s="125" r="T256"/>
      <c s="125" r="U256"/>
      <c s="125" r="V256"/>
      <c s="125" r="W256"/>
      <c s="125" r="X256"/>
      <c s="125" r="Y256"/>
      <c s="125" r="Z256"/>
      <c s="125" r="AA256"/>
      <c s="125" r="AB256"/>
      <c s="761" r="AC256"/>
      <c s="341" r="AD256"/>
    </row>
    <row r="257">
      <c s="125" r="A257"/>
      <c s="125" r="B257"/>
      <c s="125" r="C257"/>
      <c s="125" r="D257"/>
      <c s="125" r="E257"/>
      <c s="125" r="F257"/>
      <c s="125" r="G257"/>
      <c s="125" r="H257"/>
      <c s="125" r="I257"/>
      <c s="125" r="J257"/>
      <c s="125" r="K257"/>
      <c s="125" r="L257"/>
      <c s="125" r="M257"/>
      <c s="125" r="N257"/>
      <c s="125" r="O257"/>
      <c s="125" r="P257"/>
      <c s="125" r="Q257"/>
      <c s="125" r="R257"/>
      <c s="125" r="S257"/>
      <c s="125" r="T257"/>
      <c s="125" r="U257"/>
      <c s="125" r="V257"/>
      <c s="125" r="W257"/>
      <c s="125" r="X257"/>
      <c s="125" r="Y257"/>
      <c s="125" r="Z257"/>
      <c s="125" r="AA257"/>
      <c s="125" r="AB257"/>
      <c s="761" r="AC257"/>
      <c s="341" r="AD257"/>
    </row>
    <row r="258">
      <c s="125" r="A258"/>
      <c s="125" r="B258"/>
      <c s="125" r="C258"/>
      <c s="125" r="D258"/>
      <c s="125" r="E258"/>
      <c s="125" r="F258"/>
      <c s="125" r="G258"/>
      <c s="125" r="H258"/>
      <c s="125" r="I258"/>
      <c s="125" r="J258"/>
      <c s="125" r="K258"/>
      <c s="125" r="L258"/>
      <c s="125" r="M258"/>
      <c s="125" r="N258"/>
      <c s="125" r="O258"/>
      <c s="125" r="P258"/>
      <c s="125" r="Q258"/>
      <c s="125" r="R258"/>
      <c s="125" r="S258"/>
      <c s="125" r="T258"/>
      <c s="125" r="U258"/>
      <c s="125" r="V258"/>
      <c s="125" r="W258"/>
      <c s="125" r="X258"/>
      <c s="125" r="Y258"/>
      <c s="125" r="Z258"/>
      <c s="125" r="AA258"/>
      <c s="125" r="AB258"/>
      <c s="761" r="AC258"/>
      <c s="341" r="AD258"/>
    </row>
    <row r="259">
      <c s="125" r="A259"/>
      <c s="125" r="B259"/>
      <c s="125" r="C259"/>
      <c s="125" r="D259"/>
      <c s="125" r="E259"/>
      <c s="125" r="F259"/>
      <c s="125" r="G259"/>
      <c s="125" r="H259"/>
      <c s="125" r="I259"/>
      <c s="125" r="J259"/>
      <c s="125" r="K259"/>
      <c s="125" r="L259"/>
      <c s="125" r="M259"/>
      <c s="125" r="N259"/>
      <c s="125" r="O259"/>
      <c s="125" r="P259"/>
      <c s="125" r="Q259"/>
      <c s="125" r="R259"/>
      <c s="125" r="S259"/>
      <c s="125" r="T259"/>
      <c s="125" r="U259"/>
      <c s="125" r="V259"/>
      <c s="125" r="W259"/>
      <c s="125" r="X259"/>
      <c s="125" r="Y259"/>
      <c s="125" r="Z259"/>
      <c s="125" r="AA259"/>
      <c s="125" r="AB259"/>
      <c s="761" r="AC259"/>
      <c s="341" r="AD259"/>
    </row>
    <row r="260">
      <c s="125" r="A260"/>
      <c s="125" r="B260"/>
      <c s="125" r="C260"/>
      <c s="125" r="D260"/>
      <c s="125" r="E260"/>
      <c s="125" r="F260"/>
      <c s="125" r="G260"/>
      <c s="125" r="H260"/>
      <c s="125" r="I260"/>
      <c s="125" r="J260"/>
      <c s="125" r="K260"/>
      <c s="125" r="L260"/>
      <c s="125" r="M260"/>
      <c s="125" r="N260"/>
      <c s="125" r="O260"/>
      <c s="125" r="P260"/>
      <c s="125" r="Q260"/>
      <c s="125" r="R260"/>
      <c s="125" r="S260"/>
      <c s="125" r="T260"/>
      <c s="125" r="U260"/>
      <c s="125" r="V260"/>
      <c s="125" r="W260"/>
      <c s="125" r="X260"/>
      <c s="125" r="Y260"/>
      <c s="125" r="Z260"/>
      <c s="125" r="AA260"/>
      <c s="125" r="AB260"/>
      <c s="761" r="AC260"/>
      <c s="341" r="AD260"/>
    </row>
    <row r="261">
      <c s="125" r="A261"/>
      <c s="125" r="B261"/>
      <c s="125" r="C261"/>
      <c s="125" r="D261"/>
      <c s="125" r="E261"/>
      <c s="125" r="F261"/>
      <c s="125" r="G261"/>
      <c s="125" r="H261"/>
      <c s="125" r="I261"/>
      <c s="125" r="J261"/>
      <c s="125" r="K261"/>
      <c s="125" r="L261"/>
      <c s="125" r="M261"/>
      <c s="125" r="N261"/>
      <c s="125" r="O261"/>
      <c s="125" r="P261"/>
      <c s="125" r="Q261"/>
      <c s="125" r="R261"/>
      <c s="125" r="S261"/>
      <c s="125" r="T261"/>
      <c s="125" r="U261"/>
      <c s="125" r="V261"/>
      <c s="125" r="W261"/>
      <c s="125" r="X261"/>
      <c s="125" r="Y261"/>
      <c s="125" r="Z261"/>
      <c s="125" r="AA261"/>
      <c s="125" r="AB261"/>
      <c s="761" r="AC261"/>
      <c s="341" r="AD261"/>
    </row>
    <row r="262">
      <c s="125" r="A262"/>
      <c s="125" r="B262"/>
      <c s="125" r="C262"/>
      <c s="125" r="D262"/>
      <c s="125" r="E262"/>
      <c s="125" r="F262"/>
      <c s="125" r="G262"/>
      <c s="125" r="H262"/>
      <c s="125" r="I262"/>
      <c s="125" r="J262"/>
      <c s="125" r="K262"/>
      <c s="125" r="L262"/>
      <c s="125" r="M262"/>
      <c s="125" r="N262"/>
      <c s="125" r="O262"/>
      <c s="125" r="P262"/>
      <c s="125" r="Q262"/>
      <c s="125" r="R262"/>
      <c s="125" r="S262"/>
      <c s="125" r="T262"/>
      <c s="433" r="U262"/>
      <c s="433" r="V262"/>
      <c s="433" r="W262"/>
      <c s="433" r="X262"/>
      <c s="433" r="Y262"/>
      <c s="433" r="Z262"/>
      <c s="125" r="AA262"/>
      <c s="125" r="AB262"/>
      <c s="125" r="AC262"/>
      <c s="341" r="AD262"/>
    </row>
    <row r="263">
      <c s="125" r="A263"/>
      <c s="125" r="B263"/>
      <c s="125" r="C263"/>
      <c s="125" r="D263"/>
      <c s="125" r="E263"/>
      <c s="125" r="F263"/>
      <c s="125" r="G263"/>
      <c s="125" r="H263"/>
      <c s="125" r="I263"/>
      <c s="125" r="J263"/>
      <c s="125" r="K263"/>
      <c s="125" r="L263"/>
      <c s="125" r="M263"/>
      <c s="125" r="N263"/>
      <c s="125" r="O263"/>
      <c s="125" r="P263"/>
      <c s="125" r="Q263"/>
      <c s="125" r="R263"/>
      <c s="125" r="S263"/>
      <c s="125" r="T263"/>
      <c s="125" r="U263"/>
      <c s="125" r="V263"/>
      <c s="125" r="W263"/>
      <c s="125" r="X263"/>
      <c s="125" r="Y263"/>
      <c s="125" r="Z263"/>
      <c s="642" r="AA263"/>
      <c s="125" r="AB263"/>
      <c s="125" r="AC263"/>
      <c s="341" r="AD263"/>
    </row>
    <row r="264">
      <c s="125" r="A264"/>
      <c s="125" r="B264"/>
      <c s="125" r="C264"/>
      <c s="125" r="D264"/>
      <c s="125" r="E264"/>
      <c s="125" r="F264"/>
      <c s="125" r="G264"/>
      <c s="125" r="H264"/>
      <c s="125" r="I264"/>
      <c s="125" r="J264"/>
      <c s="125" r="K264"/>
      <c s="125" r="L264"/>
      <c s="125" r="M264"/>
      <c s="125" r="N264"/>
      <c s="125" r="O264"/>
      <c s="125" r="P264"/>
      <c s="125" r="Q264"/>
      <c s="125" r="R264"/>
      <c s="125" r="S264"/>
      <c s="125" r="T264"/>
      <c s="125" r="U264"/>
      <c s="125" r="V264"/>
      <c s="125" r="W264"/>
      <c s="125" r="X264"/>
      <c s="125" r="Y264"/>
      <c s="125" r="Z264"/>
      <c s="125" r="AA264"/>
      <c s="125" r="AB264"/>
      <c s="125" r="AC264"/>
      <c s="125" r="AD264"/>
    </row>
    <row r="265">
      <c s="125" r="A265"/>
      <c s="125" r="B265"/>
      <c s="125" r="C265"/>
      <c s="125" r="D265"/>
      <c s="125" r="E265"/>
      <c s="125" r="F265"/>
      <c s="125" r="G265"/>
      <c s="125" r="H265"/>
      <c s="125" r="I265"/>
      <c s="125" r="J265"/>
      <c s="125" r="K265"/>
      <c s="125" r="L265"/>
      <c s="125" r="M265"/>
      <c s="125" r="N265"/>
      <c s="125" r="O265"/>
      <c s="125" r="P265"/>
      <c s="125" r="Q265"/>
      <c s="125" r="R265"/>
      <c s="125" r="S265"/>
      <c s="125" r="T265"/>
      <c s="125" r="U265"/>
      <c s="125" r="V265"/>
      <c s="125" r="W265"/>
      <c s="125" r="X265"/>
      <c s="125" r="Y265"/>
      <c s="125" r="Z265"/>
      <c s="125" r="AA265"/>
      <c s="125" r="AB265"/>
      <c s="761" r="AC265"/>
      <c s="125" r="AD265"/>
    </row>
    <row r="266">
      <c s="125" r="A266"/>
      <c s="125" r="B266"/>
      <c s="125" r="C266"/>
      <c s="125" r="D266"/>
      <c s="125" r="E266"/>
      <c s="125" r="F266"/>
      <c s="125" r="G266"/>
      <c s="125" r="H266"/>
      <c s="125" r="I266"/>
      <c s="125" r="J266"/>
      <c s="125" r="K266"/>
      <c s="125" r="L266"/>
      <c s="125" r="M266"/>
      <c s="125" r="N266"/>
      <c s="125" r="O266"/>
      <c s="125" r="P266"/>
      <c s="125" r="Q266"/>
      <c s="125" r="R266"/>
      <c s="125" r="S266"/>
      <c s="125" r="T266"/>
      <c s="125" r="U266"/>
      <c s="125" r="V266"/>
      <c s="125" r="W266"/>
      <c s="125" r="X266"/>
      <c s="125" r="Y266"/>
      <c s="125" r="Z266"/>
      <c s="125" r="AA266"/>
      <c s="125" r="AB266"/>
      <c s="761" r="AC266"/>
      <c s="125" r="AD266"/>
    </row>
    <row r="267">
      <c s="125" r="A267"/>
      <c s="125" r="B267"/>
      <c s="125" r="C267"/>
      <c s="125" r="D267"/>
      <c s="125" r="E267"/>
      <c s="125" r="F267"/>
      <c s="125" r="G267"/>
      <c s="125" r="H267"/>
      <c s="125" r="I267"/>
      <c s="125" r="J267"/>
      <c s="125" r="K267"/>
      <c s="125" r="L267"/>
      <c s="125" r="M267"/>
      <c s="125" r="N267"/>
      <c s="125" r="O267"/>
      <c s="125" r="P267"/>
      <c s="125" r="Q267"/>
      <c s="125" r="R267"/>
      <c s="125" r="S267"/>
      <c s="125" r="T267"/>
      <c s="125" r="U267"/>
      <c s="125" r="V267"/>
      <c s="125" r="W267"/>
      <c s="125" r="X267"/>
      <c s="125" r="Y267"/>
      <c s="125" r="Z267"/>
      <c s="125" r="AA267"/>
      <c s="125" r="AB267"/>
      <c s="761" r="AC267"/>
      <c s="125" r="AD267"/>
    </row>
    <row r="268">
      <c s="125" r="A268"/>
      <c s="125" r="B268"/>
      <c s="125" r="C268"/>
      <c s="125" r="D268"/>
      <c s="125" r="E268"/>
      <c s="125" r="F268"/>
      <c s="125" r="G268"/>
      <c s="125" r="H268"/>
      <c s="125" r="I268"/>
      <c s="125" r="J268"/>
      <c s="125" r="K268"/>
      <c s="125" r="L268"/>
      <c s="125" r="M268"/>
      <c s="125" r="N268"/>
      <c s="125" r="O268"/>
      <c s="125" r="P268"/>
      <c s="125" r="Q268"/>
      <c s="125" r="R268"/>
      <c s="125" r="S268"/>
      <c s="125" r="T268"/>
      <c s="125" r="U268"/>
      <c s="125" r="V268"/>
      <c s="125" r="W268"/>
      <c s="125" r="X268"/>
      <c s="125" r="Y268"/>
      <c s="125" r="Z268"/>
      <c s="125" r="AA268"/>
      <c s="125" r="AB268"/>
      <c s="761" r="AC268"/>
      <c s="125" r="AD268"/>
    </row>
    <row r="269">
      <c s="125" r="A269"/>
      <c s="125" r="B269"/>
      <c s="125" r="C269"/>
      <c s="125" r="D269"/>
      <c s="125" r="E269"/>
      <c s="125" r="F269"/>
      <c s="125" r="G269"/>
      <c s="125" r="H269"/>
      <c s="125" r="I269"/>
      <c s="125" r="J269"/>
      <c s="125" r="K269"/>
      <c s="125" r="L269"/>
      <c s="125" r="M269"/>
      <c s="125" r="N269"/>
      <c s="125" r="O269"/>
      <c s="125" r="P269"/>
      <c s="125" r="Q269"/>
      <c s="125" r="R269"/>
      <c s="125" r="S269"/>
      <c s="125" r="T269"/>
      <c s="125" r="U269"/>
      <c s="125" r="V269"/>
      <c s="125" r="W269"/>
      <c s="125" r="X269"/>
      <c s="125" r="Y269"/>
      <c s="125" r="Z269"/>
      <c s="125" r="AA269"/>
      <c s="125" r="AB269"/>
      <c s="761" r="AC269"/>
      <c s="125" r="AD269"/>
    </row>
    <row r="270">
      <c s="125" r="A270"/>
      <c s="125" r="B270"/>
      <c s="125" r="C270"/>
      <c s="125" r="D270"/>
      <c s="125" r="E270"/>
      <c s="125" r="F270"/>
      <c s="125" r="G270"/>
      <c s="125" r="H270"/>
      <c s="125" r="I270"/>
      <c s="125" r="J270"/>
      <c s="125" r="K270"/>
      <c s="125" r="L270"/>
      <c s="125" r="M270"/>
      <c s="125" r="N270"/>
      <c s="125" r="O270"/>
      <c s="125" r="P270"/>
      <c s="125" r="Q270"/>
      <c s="125" r="R270"/>
      <c s="125" r="S270"/>
      <c s="125" r="T270"/>
      <c s="125" r="U270"/>
      <c s="125" r="V270"/>
      <c s="125" r="W270"/>
      <c s="125" r="X270"/>
      <c s="125" r="Y270"/>
      <c s="125" r="Z270"/>
      <c s="125" r="AA270"/>
      <c s="125" r="AB270"/>
      <c s="761" r="AC270"/>
      <c s="125" r="AD270"/>
    </row>
    <row r="271">
      <c s="125" r="A271"/>
      <c s="125" r="B271"/>
      <c s="125" r="C271"/>
      <c s="125" r="D271"/>
      <c s="125" r="E271"/>
      <c s="125" r="F271"/>
      <c s="125" r="G271"/>
      <c s="125" r="H271"/>
      <c s="125" r="I271"/>
      <c s="125" r="J271"/>
      <c s="125" r="K271"/>
      <c s="125" r="L271"/>
      <c s="125" r="M271"/>
      <c s="125" r="N271"/>
      <c s="125" r="O271"/>
      <c s="125" r="P271"/>
      <c s="125" r="Q271"/>
      <c s="125" r="R271"/>
      <c s="125" r="S271"/>
      <c s="125" r="T271"/>
      <c s="125" r="U271"/>
      <c s="125" r="V271"/>
      <c s="125" r="W271"/>
      <c s="125" r="X271"/>
      <c s="125" r="Y271"/>
      <c s="125" r="Z271"/>
      <c s="125" r="AA271"/>
      <c s="125" r="AB271"/>
      <c s="761" r="AC271"/>
      <c s="125" r="AD271"/>
    </row>
    <row r="272">
      <c s="125" r="A272"/>
      <c s="125" r="B272"/>
      <c s="125" r="C272"/>
      <c s="125" r="D272"/>
      <c s="125" r="E272"/>
      <c s="125" r="F272"/>
      <c s="125" r="G272"/>
      <c s="125" r="H272"/>
      <c s="125" r="I272"/>
      <c s="125" r="J272"/>
      <c s="125" r="K272"/>
      <c s="125" r="L272"/>
      <c s="125" r="M272"/>
      <c s="125" r="N272"/>
      <c s="125" r="O272"/>
      <c s="125" r="P272"/>
      <c s="125" r="Q272"/>
      <c s="125" r="R272"/>
      <c s="125" r="S272"/>
      <c s="125" r="T272"/>
      <c s="125" r="U272"/>
      <c s="125" r="V272"/>
      <c s="125" r="W272"/>
      <c s="125" r="X272"/>
      <c s="125" r="Y272"/>
      <c s="125" r="Z272"/>
      <c s="125" r="AA272"/>
      <c s="125" r="AB272"/>
      <c s="761" r="AC272"/>
      <c s="125" r="AD272"/>
    </row>
    <row r="273">
      <c s="125" r="A273"/>
      <c s="125" r="B273"/>
      <c s="125" r="C273"/>
      <c s="125" r="D273"/>
      <c s="125" r="E273"/>
      <c s="125" r="F273"/>
      <c s="125" r="G273"/>
      <c s="125" r="H273"/>
      <c s="125" r="I273"/>
      <c s="125" r="J273"/>
      <c s="125" r="K273"/>
      <c s="125" r="L273"/>
      <c s="125" r="M273"/>
      <c s="125" r="N273"/>
      <c s="125" r="O273"/>
      <c s="125" r="P273"/>
      <c s="125" r="Q273"/>
      <c s="125" r="R273"/>
      <c s="125" r="S273"/>
      <c s="125" r="T273"/>
      <c s="125" r="U273"/>
      <c s="125" r="V273"/>
      <c s="125" r="W273"/>
      <c s="125" r="X273"/>
      <c s="125" r="Y273"/>
      <c s="125" r="Z273"/>
      <c s="433" r="AA273"/>
      <c s="125" r="AB273"/>
      <c s="761" r="AC273"/>
      <c s="125" r="AD273"/>
    </row>
    <row r="274">
      <c s="125" r="A274"/>
      <c s="125" r="B274"/>
      <c s="125" r="C274"/>
      <c s="125" r="D274"/>
      <c s="125" r="E274"/>
      <c s="125" r="F274"/>
      <c s="125" r="G274"/>
      <c s="125" r="H274"/>
      <c s="125" r="I274"/>
      <c s="125" r="J274"/>
      <c s="125" r="K274"/>
      <c s="125" r="L274"/>
      <c s="125" r="M274"/>
      <c s="125" r="N274"/>
      <c s="125" r="O274"/>
      <c s="125" r="P274"/>
      <c s="125" r="Q274"/>
      <c s="125" r="R274"/>
      <c s="125" r="S274"/>
      <c s="125" r="T274"/>
      <c s="125" r="U274"/>
      <c s="125" r="V274"/>
      <c s="125" r="W274"/>
      <c s="125" r="X274"/>
      <c s="125" r="Y274"/>
      <c s="125" r="Z274"/>
      <c s="125" r="AA274"/>
      <c s="125" r="AB274"/>
      <c s="761" r="AC274"/>
      <c s="125" r="AD274"/>
    </row>
    <row r="275">
      <c s="125" r="A275"/>
      <c s="125" r="B275"/>
      <c s="125" r="C275"/>
      <c s="125" r="D275"/>
      <c s="125" r="E275"/>
      <c s="125" r="F275"/>
      <c s="125" r="G275"/>
      <c s="125" r="H275"/>
      <c s="125" r="I275"/>
      <c s="125" r="J275"/>
      <c s="125" r="K275"/>
      <c s="125" r="L275"/>
      <c s="125" r="M275"/>
      <c s="125" r="N275"/>
      <c s="125" r="O275"/>
      <c s="125" r="P275"/>
      <c s="125" r="Q275"/>
      <c s="125" r="R275"/>
      <c s="125" r="S275"/>
      <c s="125" r="T275"/>
      <c s="125" r="U275"/>
      <c s="125" r="V275"/>
      <c s="125" r="W275"/>
      <c s="125" r="X275"/>
      <c s="125" r="Y275"/>
      <c s="125" r="Z275"/>
      <c s="125" r="AA275"/>
      <c s="125" r="AB275"/>
      <c s="761" r="AC275"/>
      <c s="125" r="AD275"/>
    </row>
    <row r="276">
      <c s="125" r="A276"/>
      <c s="125" r="B276"/>
      <c s="125" r="C276"/>
      <c s="125" r="D276"/>
      <c s="125" r="E276"/>
      <c s="125" r="F276"/>
      <c s="125" r="G276"/>
      <c s="125" r="H276"/>
      <c s="125" r="I276"/>
      <c s="125" r="J276"/>
      <c s="125" r="K276"/>
      <c s="125" r="L276"/>
      <c s="125" r="M276"/>
      <c s="125" r="N276"/>
      <c s="125" r="O276"/>
      <c s="125" r="P276"/>
      <c s="125" r="Q276"/>
      <c s="125" r="R276"/>
      <c s="125" r="S276"/>
      <c s="125" r="T276"/>
      <c s="125" r="U276"/>
      <c s="125" r="V276"/>
      <c s="125" r="W276"/>
      <c s="125" r="X276"/>
      <c s="125" r="Y276"/>
      <c s="125" r="Z276"/>
      <c s="125" r="AA276"/>
      <c s="125" r="AB276"/>
      <c s="761" r="AC276"/>
      <c s="125" r="AD276"/>
    </row>
    <row r="277">
      <c s="125" r="A277"/>
      <c s="125" r="B277"/>
      <c s="125" r="C277"/>
      <c s="125" r="D277"/>
      <c s="125" r="E277"/>
      <c s="125" r="F277"/>
      <c s="125" r="G277"/>
      <c s="125" r="H277"/>
      <c s="125" r="I277"/>
      <c s="125" r="J277"/>
      <c s="125" r="K277"/>
      <c s="125" r="L277"/>
      <c s="125" r="M277"/>
      <c s="125" r="N277"/>
      <c s="125" r="O277"/>
      <c s="125" r="P277"/>
      <c s="125" r="Q277"/>
      <c s="125" r="R277"/>
      <c s="125" r="S277"/>
      <c s="125" r="T277"/>
      <c s="433" r="U277"/>
      <c s="433" r="V277"/>
      <c s="433" r="W277"/>
      <c s="433" r="X277"/>
      <c s="433" r="Y277"/>
      <c s="433" r="Z277"/>
      <c s="125" r="AA277"/>
      <c s="125" r="AB277"/>
      <c s="761" r="AC277"/>
      <c s="125" r="AD277"/>
    </row>
    <row r="278">
      <c s="125" r="A278"/>
      <c s="125" r="B278"/>
      <c s="125" r="C278"/>
      <c s="125" r="D278"/>
      <c s="125" r="E278"/>
      <c s="125" r="F278"/>
      <c s="125" r="G278"/>
      <c s="125" r="H278"/>
      <c s="125" r="I278"/>
      <c s="125" r="J278"/>
      <c s="125" r="K278"/>
      <c s="125" r="L278"/>
      <c s="125" r="M278"/>
      <c s="125" r="N278"/>
      <c s="125" r="O278"/>
      <c s="125" r="P278"/>
      <c s="125" r="Q278"/>
      <c s="125" r="R278"/>
      <c s="125" r="S278"/>
      <c s="125" r="T278"/>
      <c s="125" r="U278"/>
      <c s="125" r="V278"/>
      <c s="125" r="W278"/>
      <c s="125" r="X278"/>
      <c s="125" r="Y278"/>
      <c s="125" r="Z278"/>
      <c s="125" r="AA278"/>
      <c s="125" r="AB278"/>
      <c s="761" r="AC278"/>
      <c s="125" r="AD278"/>
    </row>
    <row r="279">
      <c s="125" r="A279"/>
      <c s="125" r="B279"/>
      <c s="125" r="C279"/>
      <c s="125" r="D279"/>
      <c s="125" r="E279"/>
      <c s="125" r="F279"/>
      <c s="125" r="G279"/>
      <c s="125" r="H279"/>
      <c s="125" r="I279"/>
      <c s="125" r="J279"/>
      <c s="125" r="K279"/>
      <c s="125" r="L279"/>
      <c s="125" r="M279"/>
      <c s="125" r="N279"/>
      <c s="125" r="O279"/>
      <c s="125" r="P279"/>
      <c s="125" r="Q279"/>
      <c s="125" r="R279"/>
      <c s="125" r="S279"/>
      <c s="125" r="T279"/>
      <c s="433" r="U279"/>
      <c s="433" r="V279"/>
      <c s="433" r="W279"/>
      <c s="433" r="X279"/>
      <c s="433" r="Y279"/>
      <c s="433" r="Z279"/>
      <c s="125" r="AA279"/>
      <c s="125" r="AB279"/>
      <c s="761" r="AC279"/>
      <c s="125" r="AD279"/>
    </row>
    <row r="280">
      <c s="125" r="A280"/>
      <c s="125" r="B280"/>
      <c s="125" r="C280"/>
      <c s="125" r="D280"/>
      <c s="125" r="E280"/>
      <c s="125" r="F280"/>
      <c s="125" r="G280"/>
      <c s="125" r="H280"/>
      <c s="125" r="I280"/>
      <c s="125" r="J280"/>
      <c s="125" r="K280"/>
      <c s="125" r="L280"/>
      <c s="125" r="M280"/>
      <c s="125" r="N280"/>
      <c s="125" r="O280"/>
      <c s="125" r="P280"/>
      <c s="125" r="Q280"/>
      <c s="125" r="R280"/>
      <c s="125" r="S280"/>
      <c s="125" r="T280"/>
      <c s="125" r="U280"/>
      <c s="125" r="V280"/>
      <c s="125" r="W280"/>
      <c s="125" r="X280"/>
      <c s="125" r="Y280"/>
      <c s="125" r="Z280"/>
      <c s="125" r="AA280"/>
      <c s="125" r="AB280"/>
      <c s="761" r="AC280"/>
      <c s="125" r="AD280"/>
    </row>
    <row r="281">
      <c s="125" r="A281"/>
      <c s="125" r="B281"/>
      <c s="125" r="C281"/>
      <c s="125" r="D281"/>
      <c s="125" r="E281"/>
      <c s="125" r="F281"/>
      <c s="125" r="G281"/>
      <c s="125" r="H281"/>
      <c s="125" r="I281"/>
      <c s="125" r="J281"/>
      <c s="125" r="K281"/>
      <c s="125" r="L281"/>
      <c s="125" r="M281"/>
      <c s="125" r="N281"/>
      <c s="125" r="O281"/>
      <c s="125" r="P281"/>
      <c s="125" r="Q281"/>
      <c s="125" r="R281"/>
      <c s="125" r="S281"/>
      <c s="125" r="T281"/>
      <c s="125" r="U281"/>
      <c s="125" r="V281"/>
      <c s="125" r="W281"/>
      <c s="125" r="X281"/>
      <c s="125" r="Y281"/>
      <c s="125" r="Z281"/>
      <c s="125" r="AA281"/>
      <c s="125" r="AB281"/>
      <c s="761" r="AC281"/>
      <c s="125" r="AD281"/>
    </row>
    <row r="282">
      <c s="125" r="A282"/>
      <c s="125" r="B282"/>
      <c s="125" r="C282"/>
      <c s="125" r="D282"/>
      <c s="125" r="E282"/>
      <c s="125" r="F282"/>
      <c s="125" r="G282"/>
      <c s="125" r="H282"/>
      <c s="125" r="I282"/>
      <c s="125" r="J282"/>
      <c s="125" r="K282"/>
      <c s="125" r="L282"/>
      <c s="125" r="M282"/>
      <c s="125" r="N282"/>
      <c s="125" r="O282"/>
      <c s="125" r="P282"/>
      <c s="125" r="Q282"/>
      <c s="125" r="R282"/>
      <c s="125" r="S282"/>
      <c s="125" r="T282"/>
      <c s="125" r="U282"/>
      <c s="125" r="V282"/>
      <c s="125" r="W282"/>
      <c s="125" r="X282"/>
      <c s="125" r="Y282"/>
      <c s="125" r="Z282"/>
      <c s="125" r="AA282"/>
      <c s="125" r="AB282"/>
      <c s="761" r="AC282"/>
      <c s="125" r="AD282"/>
    </row>
    <row r="283">
      <c s="125" r="A283"/>
      <c s="125" r="B283"/>
      <c s="125" r="C283"/>
      <c s="125" r="D283"/>
      <c s="125" r="E283"/>
      <c s="125" r="F283"/>
      <c s="125" r="G283"/>
      <c s="125" r="H283"/>
      <c s="125" r="I283"/>
      <c s="125" r="J283"/>
      <c s="125" r="K283"/>
      <c s="125" r="L283"/>
      <c s="125" r="M283"/>
      <c s="125" r="N283"/>
      <c s="125" r="O283"/>
      <c s="125" r="P283"/>
      <c s="125" r="Q283"/>
      <c s="125" r="R283"/>
      <c s="125" r="S283"/>
      <c s="125" r="T283"/>
      <c s="125" r="U283"/>
      <c s="125" r="V283"/>
      <c s="125" r="W283"/>
      <c s="125" r="X283"/>
      <c s="125" r="Y283"/>
      <c s="125" r="Z283"/>
      <c s="125" r="AA283"/>
      <c s="125" r="AB283"/>
      <c s="761" r="AC283"/>
      <c s="125" r="AD283"/>
    </row>
    <row r="284">
      <c s="125" r="A284"/>
      <c s="125" r="B284"/>
      <c s="125" r="C284"/>
      <c s="125" r="D284"/>
      <c s="125" r="E284"/>
      <c s="125" r="F284"/>
      <c s="125" r="G284"/>
      <c s="125" r="H284"/>
      <c s="125" r="I284"/>
      <c s="125" r="J284"/>
      <c s="125" r="K284"/>
      <c s="125" r="L284"/>
      <c s="125" r="M284"/>
      <c s="125" r="N284"/>
      <c s="125" r="O284"/>
      <c s="125" r="P284"/>
      <c s="125" r="Q284"/>
      <c s="125" r="R284"/>
      <c s="125" r="S284"/>
      <c s="125" r="T284"/>
      <c s="125" r="U284"/>
      <c s="125" r="V284"/>
      <c s="125" r="W284"/>
      <c s="125" r="X284"/>
      <c s="125" r="Y284"/>
      <c s="125" r="Z284"/>
      <c s="125" r="AA284"/>
      <c s="125" r="AB284"/>
      <c s="761" r="AC284"/>
      <c s="125" r="AD284"/>
    </row>
    <row r="285">
      <c s="125" r="A285"/>
      <c s="125" r="B285"/>
      <c s="125" r="C285"/>
      <c s="125" r="D285"/>
      <c s="125" r="E285"/>
      <c s="125" r="F285"/>
      <c s="125" r="G285"/>
      <c s="125" r="H285"/>
      <c s="125" r="I285"/>
      <c s="125" r="J285"/>
      <c s="125" r="K285"/>
      <c s="125" r="L285"/>
      <c s="125" r="M285"/>
      <c s="125" r="N285"/>
      <c s="125" r="O285"/>
      <c s="125" r="P285"/>
      <c s="125" r="Q285"/>
      <c s="125" r="R285"/>
      <c s="125" r="S285"/>
      <c s="125" r="T285"/>
      <c s="125" r="U285"/>
      <c s="125" r="V285"/>
      <c s="125" r="W285"/>
      <c s="125" r="X285"/>
      <c s="125" r="Y285"/>
      <c s="125" r="Z285"/>
      <c s="125" r="AA285"/>
      <c s="125" r="AB285"/>
      <c s="761" r="AC285"/>
      <c s="125" r="AD285"/>
    </row>
    <row r="286">
      <c s="125" r="A286"/>
      <c s="125" r="B286"/>
      <c s="125" r="C286"/>
      <c s="125" r="D286"/>
      <c s="125" r="E286"/>
      <c s="125" r="F286"/>
      <c s="125" r="G286"/>
      <c s="125" r="H286"/>
      <c s="125" r="I286"/>
      <c s="125" r="J286"/>
      <c s="125" r="K286"/>
      <c s="125" r="L286"/>
      <c s="125" r="M286"/>
      <c s="125" r="N286"/>
      <c s="125" r="O286"/>
      <c s="125" r="P286"/>
      <c s="125" r="Q286"/>
      <c s="125" r="R286"/>
      <c s="125" r="S286"/>
      <c s="125" r="T286"/>
      <c s="125" r="U286"/>
      <c s="125" r="V286"/>
      <c s="125" r="W286"/>
      <c s="125" r="X286"/>
      <c s="125" r="Y286"/>
      <c s="125" r="Z286"/>
      <c s="125" r="AA286"/>
      <c s="125" r="AB286"/>
      <c s="761" r="AC286"/>
      <c s="125" r="AD286"/>
    </row>
    <row r="287">
      <c s="125" r="A287"/>
      <c s="125" r="B287"/>
      <c s="125" r="C287"/>
      <c s="125" r="D287"/>
      <c s="125" r="E287"/>
      <c s="125" r="F287"/>
      <c s="125" r="G287"/>
      <c s="125" r="H287"/>
      <c s="125" r="I287"/>
      <c s="125" r="J287"/>
      <c s="125" r="K287"/>
      <c s="125" r="L287"/>
      <c s="125" r="M287"/>
      <c s="125" r="N287"/>
      <c s="125" r="O287"/>
      <c s="125" r="P287"/>
      <c s="125" r="Q287"/>
      <c s="125" r="R287"/>
      <c s="125" r="S287"/>
      <c s="125" r="T287"/>
      <c s="125" r="U287"/>
      <c s="125" r="V287"/>
      <c s="125" r="W287"/>
      <c s="125" r="X287"/>
      <c s="125" r="Y287"/>
      <c s="125" r="Z287"/>
      <c s="125" r="AA287"/>
      <c s="125" r="AB287"/>
      <c s="761" r="AC287"/>
      <c s="341" r="AD287"/>
    </row>
    <row r="288">
      <c s="125" r="A288"/>
      <c s="125" r="B288"/>
      <c s="125" r="C288"/>
      <c s="125" r="D288"/>
      <c s="125" r="E288"/>
      <c s="125" r="F288"/>
      <c s="125" r="G288"/>
      <c s="125" r="H288"/>
      <c s="125" r="I288"/>
      <c s="125" r="J288"/>
      <c s="125" r="K288"/>
      <c s="125" r="L288"/>
      <c s="125" r="M288"/>
      <c s="125" r="N288"/>
      <c s="125" r="O288"/>
      <c s="125" r="P288"/>
      <c s="125" r="Q288"/>
      <c s="125" r="R288"/>
      <c s="125" r="S288"/>
      <c s="125" r="T288"/>
      <c s="125" r="U288"/>
      <c s="125" r="V288"/>
      <c s="125" r="W288"/>
      <c s="125" r="X288"/>
      <c s="125" r="Y288"/>
      <c s="125" r="Z288"/>
      <c s="125" r="AA288"/>
      <c s="125" r="AB288"/>
      <c s="761" r="AC288"/>
      <c s="341" r="AD288"/>
    </row>
    <row r="289">
      <c s="125" r="A289"/>
      <c s="125" r="B289"/>
      <c s="125" r="C289"/>
      <c s="125" r="D289"/>
      <c s="125" r="E289"/>
      <c s="125" r="F289"/>
      <c s="125" r="G289"/>
      <c s="125" r="H289"/>
      <c s="125" r="I289"/>
      <c s="125" r="J289"/>
      <c s="125" r="K289"/>
      <c s="125" r="L289"/>
      <c s="125" r="M289"/>
      <c s="125" r="N289"/>
      <c s="125" r="O289"/>
      <c s="125" r="P289"/>
      <c s="125" r="Q289"/>
      <c s="125" r="R289"/>
      <c s="125" r="S289"/>
      <c s="125" r="T289"/>
      <c s="125" r="U289"/>
      <c s="125" r="V289"/>
      <c s="125" r="W289"/>
      <c s="125" r="X289"/>
      <c s="125" r="Y289"/>
      <c s="125" r="Z289"/>
      <c s="125" r="AA289"/>
      <c s="125" r="AB289"/>
      <c s="761" r="AC289"/>
      <c s="341" r="AD289"/>
    </row>
    <row r="290">
      <c s="125" r="A290"/>
      <c s="125" r="B290"/>
      <c s="125" r="C290"/>
      <c s="125" r="D290"/>
      <c s="125" r="E290"/>
      <c s="125" r="F290"/>
      <c s="125" r="G290"/>
      <c s="125" r="H290"/>
      <c s="125" r="I290"/>
      <c s="125" r="J290"/>
      <c s="125" r="K290"/>
      <c s="125" r="L290"/>
      <c s="125" r="M290"/>
      <c s="125" r="N290"/>
      <c s="125" r="O290"/>
      <c s="125" r="P290"/>
      <c s="125" r="Q290"/>
      <c s="125" r="R290"/>
      <c s="125" r="S290"/>
      <c s="125" r="T290"/>
      <c s="125" r="U290"/>
      <c s="125" r="V290"/>
      <c s="125" r="W290"/>
      <c s="125" r="X290"/>
      <c s="125" r="Y290"/>
      <c s="125" r="Z290"/>
      <c s="125" r="AA290"/>
      <c s="125" r="AB290"/>
      <c s="761" r="AC290"/>
      <c s="341" r="AD290"/>
    </row>
    <row r="291">
      <c s="125" r="A291"/>
      <c s="125" r="B291"/>
      <c s="125" r="C291"/>
      <c s="125" r="D291"/>
      <c s="125" r="E291"/>
      <c s="125" r="F291"/>
      <c s="125" r="G291"/>
      <c s="125" r="H291"/>
      <c s="125" r="I291"/>
      <c s="125" r="J291"/>
      <c s="125" r="K291"/>
      <c s="125" r="L291"/>
      <c s="125" r="M291"/>
      <c s="125" r="N291"/>
      <c s="125" r="O291"/>
      <c s="125" r="P291"/>
      <c s="125" r="Q291"/>
      <c s="125" r="R291"/>
      <c s="125" r="S291"/>
      <c s="125" r="T291"/>
      <c s="125" r="U291"/>
      <c s="125" r="V291"/>
      <c s="125" r="W291"/>
      <c s="125" r="X291"/>
      <c s="125" r="Y291"/>
      <c s="125" r="Z291"/>
      <c s="125" r="AA291"/>
      <c s="125" r="AB291"/>
      <c s="761" r="AC291"/>
      <c s="341" r="AD291"/>
    </row>
    <row r="292">
      <c s="125" r="A292"/>
      <c s="125" r="B292"/>
      <c s="125" r="C292"/>
      <c s="125" r="D292"/>
      <c s="125" r="E292"/>
      <c s="125" r="F292"/>
      <c s="125" r="G292"/>
      <c s="125" r="H292"/>
      <c s="125" r="I292"/>
      <c s="125" r="J292"/>
      <c s="125" r="K292"/>
      <c s="125" r="L292"/>
      <c s="125" r="M292"/>
      <c s="125" r="N292"/>
      <c s="125" r="O292"/>
      <c s="125" r="P292"/>
      <c s="125" r="Q292"/>
      <c s="125" r="R292"/>
      <c s="125" r="S292"/>
      <c s="125" r="T292"/>
      <c s="125" r="U292"/>
      <c s="125" r="V292"/>
      <c s="125" r="W292"/>
      <c s="125" r="X292"/>
      <c s="125" r="Y292"/>
      <c s="125" r="Z292"/>
      <c s="125" r="AA292"/>
      <c s="125" r="AB292"/>
      <c s="761" r="AC292"/>
      <c s="341" r="AD292"/>
    </row>
    <row r="293">
      <c s="125" r="A293"/>
      <c s="125" r="B293"/>
      <c s="125" r="C293"/>
      <c s="125" r="D293"/>
      <c s="125" r="E293"/>
      <c s="125" r="F293"/>
      <c s="125" r="G293"/>
      <c s="125" r="H293"/>
      <c s="125" r="I293"/>
      <c s="125" r="J293"/>
      <c s="125" r="K293"/>
      <c s="125" r="L293"/>
      <c s="125" r="M293"/>
      <c s="125" r="N293"/>
      <c s="125" r="O293"/>
      <c s="125" r="P293"/>
      <c s="125" r="Q293"/>
      <c s="125" r="R293"/>
      <c s="125" r="S293"/>
      <c s="125" r="T293"/>
      <c s="125" r="U293"/>
      <c s="125" r="V293"/>
      <c s="125" r="W293"/>
      <c s="125" r="X293"/>
      <c s="125" r="Y293"/>
      <c s="125" r="Z293"/>
      <c s="125" r="AA293"/>
      <c s="125" r="AB293"/>
      <c s="761" r="AC293"/>
      <c s="341" r="AD293"/>
    </row>
    <row r="294">
      <c s="125" r="A294"/>
      <c s="125" r="B294"/>
      <c s="125" r="C294"/>
      <c s="125" r="D294"/>
      <c s="125" r="E294"/>
      <c s="125" r="F294"/>
      <c s="125" r="G294"/>
      <c s="125" r="H294"/>
      <c s="125" r="I294"/>
      <c s="125" r="J294"/>
      <c s="125" r="K294"/>
      <c s="125" r="L294"/>
      <c s="125" r="M294"/>
      <c s="125" r="N294"/>
      <c s="125" r="O294"/>
      <c s="125" r="P294"/>
      <c s="125" r="Q294"/>
      <c s="125" r="R294"/>
      <c s="125" r="S294"/>
      <c s="125" r="T294"/>
      <c s="125" r="U294"/>
      <c s="125" r="V294"/>
      <c s="125" r="W294"/>
      <c s="125" r="X294"/>
      <c s="125" r="Y294"/>
      <c s="125" r="Z294"/>
      <c s="125" r="AA294"/>
      <c s="125" r="AB294"/>
      <c s="761" r="AC294"/>
      <c s="341" r="AD294"/>
    </row>
    <row r="295">
      <c s="125" r="A295"/>
      <c s="125" r="B295"/>
      <c s="125" r="C295"/>
      <c s="125" r="D295"/>
      <c s="125" r="E295"/>
      <c s="125" r="F295"/>
      <c s="125" r="G295"/>
      <c s="125" r="H295"/>
      <c s="125" r="I295"/>
      <c s="125" r="J295"/>
      <c s="125" r="K295"/>
      <c s="125" r="L295"/>
      <c s="125" r="M295"/>
      <c s="125" r="N295"/>
      <c s="125" r="O295"/>
      <c s="125" r="P295"/>
      <c s="125" r="Q295"/>
      <c s="125" r="R295"/>
      <c s="125" r="S295"/>
      <c s="125" r="T295"/>
      <c s="125" r="U295"/>
      <c s="125" r="V295"/>
      <c s="125" r="W295"/>
      <c s="125" r="X295"/>
      <c s="125" r="Y295"/>
      <c s="125" r="Z295"/>
      <c s="125" r="AA295"/>
      <c s="125" r="AB295"/>
      <c s="761" r="AC295"/>
      <c s="341" r="AD295"/>
    </row>
    <row r="296">
      <c s="125" r="A296"/>
      <c s="125" r="B296"/>
      <c s="125" r="C296"/>
      <c s="125" r="D296"/>
      <c s="125" r="E296"/>
      <c s="125" r="F296"/>
      <c s="125" r="G296"/>
      <c s="125" r="H296"/>
      <c s="125" r="I296"/>
      <c s="125" r="J296"/>
      <c s="125" r="K296"/>
      <c s="125" r="L296"/>
      <c s="125" r="M296"/>
      <c s="125" r="N296"/>
      <c s="125" r="O296"/>
      <c s="125" r="P296"/>
      <c s="125" r="Q296"/>
      <c s="125" r="R296"/>
      <c s="125" r="S296"/>
      <c s="125" r="T296"/>
      <c s="125" r="U296"/>
      <c s="125" r="V296"/>
      <c s="125" r="W296"/>
      <c s="125" r="X296"/>
      <c s="125" r="Y296"/>
      <c s="125" r="Z296"/>
      <c s="125" r="AA296"/>
      <c s="125" r="AB296"/>
      <c s="761" r="AC296"/>
      <c s="341" r="AD296"/>
    </row>
    <row r="297">
      <c s="125" r="A297"/>
      <c s="125" r="B297"/>
      <c s="125" r="C297"/>
      <c s="125" r="D297"/>
      <c s="125" r="E297"/>
      <c s="125" r="F297"/>
      <c s="125" r="G297"/>
      <c s="125" r="H297"/>
      <c s="125" r="I297"/>
      <c s="125" r="J297"/>
      <c s="125" r="K297"/>
      <c s="125" r="L297"/>
      <c s="125" r="M297"/>
      <c s="125" r="N297"/>
      <c s="125" r="O297"/>
      <c s="125" r="P297"/>
      <c s="125" r="Q297"/>
      <c s="125" r="R297"/>
      <c s="125" r="S297"/>
      <c s="125" r="T297"/>
      <c s="125" r="U297"/>
      <c s="125" r="V297"/>
      <c s="125" r="W297"/>
      <c s="125" r="X297"/>
      <c s="125" r="Y297"/>
      <c s="125" r="Z297"/>
      <c s="761" r="AA297"/>
      <c s="125" r="AB297"/>
      <c s="761" r="AC297"/>
      <c s="341" r="AD297"/>
    </row>
    <row r="298">
      <c s="125" r="A298"/>
      <c s="125" r="B298"/>
      <c s="125" r="C298"/>
      <c s="125" r="D298"/>
      <c s="125" r="E298"/>
      <c s="125" r="F298"/>
      <c s="125" r="G298"/>
      <c s="125" r="H298"/>
      <c s="125" r="I298"/>
      <c s="125" r="J298"/>
      <c s="125" r="K298"/>
      <c s="125" r="L298"/>
      <c s="125" r="M298"/>
      <c s="125" r="N298"/>
      <c s="125" r="O298"/>
      <c s="125" r="P298"/>
      <c s="125" r="Q298"/>
      <c s="125" r="R298"/>
      <c s="125" r="S298"/>
      <c s="125" r="T298"/>
      <c s="125" r="U298"/>
      <c s="125" r="V298"/>
      <c s="125" r="W298"/>
      <c s="125" r="X298"/>
      <c s="125" r="Y298"/>
      <c s="125" r="Z298"/>
      <c s="125" r="AA298"/>
      <c s="125" r="AB298"/>
      <c s="761" r="AC298"/>
      <c s="341" r="AD298"/>
    </row>
    <row r="299">
      <c s="125" r="A299"/>
      <c s="125" r="B299"/>
      <c s="125" r="C299"/>
      <c s="125" r="D299"/>
      <c s="125" r="E299"/>
      <c s="125" r="F299"/>
      <c s="125" r="G299"/>
      <c s="125" r="H299"/>
      <c s="125" r="I299"/>
      <c s="125" r="J299"/>
      <c s="125" r="K299"/>
      <c s="125" r="L299"/>
      <c s="125" r="M299"/>
      <c s="125" r="N299"/>
      <c s="125" r="O299"/>
      <c s="125" r="P299"/>
      <c s="125" r="Q299"/>
      <c s="125" r="R299"/>
      <c s="125" r="S299"/>
      <c s="125" r="T299"/>
      <c s="125" r="U299"/>
      <c s="125" r="V299"/>
      <c s="125" r="W299"/>
      <c s="125" r="X299"/>
      <c s="125" r="Y299"/>
      <c s="125" r="Z299"/>
      <c s="433" r="AA299"/>
      <c s="125" r="AB299"/>
      <c s="761" r="AC299"/>
      <c s="341" r="AD299"/>
    </row>
    <row r="300">
      <c s="125" r="A300"/>
      <c s="125" r="B300"/>
      <c s="125" r="C300"/>
      <c s="125" r="D300"/>
      <c s="125" r="E300"/>
      <c s="125" r="F300"/>
      <c s="125" r="G300"/>
      <c s="125" r="H300"/>
      <c s="125" r="I300"/>
      <c s="125" r="J300"/>
      <c s="125" r="K300"/>
      <c s="125" r="L300"/>
      <c s="125" r="M300"/>
      <c s="125" r="N300"/>
      <c s="125" r="O300"/>
      <c s="125" r="P300"/>
      <c s="125" r="Q300"/>
      <c s="125" r="R300"/>
      <c s="125" r="S300"/>
      <c s="125" r="T300"/>
      <c s="125" r="U300"/>
      <c s="125" r="V300"/>
      <c s="125" r="W300"/>
      <c s="125" r="X300"/>
      <c s="125" r="Y300"/>
      <c s="125" r="Z300"/>
      <c s="433" r="AA300"/>
      <c s="125" r="AB300"/>
      <c s="761" r="AC300"/>
      <c s="341" r="AD300"/>
    </row>
    <row r="301">
      <c s="125" r="A301"/>
      <c s="125" r="B301"/>
      <c s="125" r="C301"/>
      <c s="125" r="D301"/>
      <c s="125" r="E301"/>
      <c s="125" r="F301"/>
      <c s="125" r="G301"/>
      <c s="125" r="H301"/>
      <c s="125" r="I301"/>
      <c s="125" r="J301"/>
      <c s="125" r="K301"/>
      <c s="125" r="L301"/>
      <c s="125" r="M301"/>
      <c s="125" r="N301"/>
      <c s="125" r="O301"/>
      <c s="125" r="P301"/>
      <c s="125" r="Q301"/>
      <c s="125" r="R301"/>
      <c s="125" r="S301"/>
      <c s="125" r="T301"/>
      <c s="125" r="U301"/>
      <c s="125" r="V301"/>
      <c s="125" r="W301"/>
      <c s="125" r="X301"/>
      <c s="125" r="Y301"/>
      <c s="125" r="Z301"/>
      <c s="125" r="AA301"/>
      <c s="125" r="AB301"/>
      <c s="761" r="AC301"/>
      <c s="341" r="AD301"/>
    </row>
    <row r="302">
      <c s="125" r="A302"/>
      <c s="125" r="B302"/>
      <c s="125" r="C302"/>
      <c s="125" r="D302"/>
      <c s="125" r="E302"/>
      <c s="125" r="F302"/>
      <c s="125" r="G302"/>
      <c s="125" r="H302"/>
      <c s="125" r="I302"/>
      <c s="125" r="J302"/>
      <c s="125" r="K302"/>
      <c s="125" r="L302"/>
      <c s="125" r="M302"/>
      <c s="125" r="N302"/>
      <c s="125" r="O302"/>
      <c s="125" r="P302"/>
      <c s="125" r="Q302"/>
      <c s="125" r="R302"/>
      <c s="125" r="S302"/>
      <c s="125" r="T302"/>
      <c s="125" r="U302"/>
      <c s="125" r="V302"/>
      <c s="125" r="W302"/>
      <c s="125" r="X302"/>
      <c s="125" r="Y302"/>
      <c s="125" r="Z302"/>
      <c s="125" r="AA302"/>
      <c s="125" r="AB302"/>
      <c s="761" r="AC302"/>
      <c s="341" r="AD302"/>
    </row>
    <row r="303">
      <c s="125" r="A303"/>
      <c s="125" r="B303"/>
      <c s="125" r="C303"/>
      <c s="125" r="D303"/>
      <c s="125" r="E303"/>
      <c s="125" r="F303"/>
      <c s="125" r="G303"/>
      <c s="125" r="H303"/>
      <c s="125" r="I303"/>
      <c s="125" r="J303"/>
      <c s="125" r="K303"/>
      <c s="125" r="L303"/>
      <c s="125" r="M303"/>
      <c s="125" r="N303"/>
      <c s="125" r="O303"/>
      <c s="125" r="P303"/>
      <c s="125" r="Q303"/>
      <c s="125" r="R303"/>
      <c s="125" r="S303"/>
      <c s="125" r="T303"/>
      <c s="761" r="U303"/>
      <c s="761" r="V303"/>
      <c s="761" r="W303"/>
      <c s="761" r="X303"/>
      <c s="761" r="Y303"/>
      <c s="761" r="Z303"/>
      <c s="125" r="AA303"/>
      <c s="125" r="AB303"/>
      <c s="761" r="AC303"/>
      <c s="341" r="AD303"/>
    </row>
    <row r="304">
      <c s="125" r="A304"/>
      <c s="125" r="B304"/>
      <c s="125" r="C304"/>
      <c s="125" r="D304"/>
      <c s="125" r="E304"/>
      <c s="125" r="F304"/>
      <c s="125" r="G304"/>
      <c s="125" r="H304"/>
      <c s="125" r="I304"/>
      <c s="125" r="J304"/>
      <c s="125" r="K304"/>
      <c s="125" r="L304"/>
      <c s="125" r="M304"/>
      <c s="125" r="N304"/>
      <c s="125" r="O304"/>
      <c s="125" r="P304"/>
      <c s="125" r="Q304"/>
      <c s="125" r="R304"/>
      <c s="125" r="S304"/>
      <c s="125" r="T304"/>
      <c s="125" r="U304"/>
      <c s="125" r="V304"/>
      <c s="125" r="W304"/>
      <c s="125" r="X304"/>
      <c s="125" r="Y304"/>
      <c s="125" r="Z304"/>
      <c s="125" r="AA304"/>
      <c s="125" r="AB304"/>
      <c s="761" r="AC304"/>
      <c s="341" r="AD304"/>
    </row>
    <row r="305">
      <c s="125" r="A305"/>
      <c s="125" r="B305"/>
      <c s="125" r="C305"/>
      <c s="125" r="D305"/>
      <c s="125" r="E305"/>
      <c s="125" r="F305"/>
      <c s="125" r="G305"/>
      <c s="125" r="H305"/>
      <c s="125" r="I305"/>
      <c s="125" r="J305"/>
      <c s="125" r="K305"/>
      <c s="125" r="L305"/>
      <c s="125" r="M305"/>
      <c s="125" r="N305"/>
      <c s="125" r="O305"/>
      <c s="125" r="P305"/>
      <c s="125" r="Q305"/>
      <c s="125" r="R305"/>
      <c s="125" r="S305"/>
      <c s="125" r="T305"/>
      <c s="125" r="U305"/>
      <c s="125" r="V305"/>
      <c s="125" r="W305"/>
      <c s="125" r="X305"/>
      <c s="125" r="Y305"/>
      <c s="125" r="Z305"/>
      <c s="125" r="AA305"/>
      <c s="125" r="AB305"/>
      <c s="761" r="AC305"/>
      <c s="341" r="AD305"/>
    </row>
    <row r="306">
      <c s="125" r="A306"/>
      <c s="125" r="B306"/>
      <c s="125" r="C306"/>
      <c s="125" r="D306"/>
      <c s="125" r="E306"/>
      <c s="125" r="F306"/>
      <c s="125" r="G306"/>
      <c s="125" r="H306"/>
      <c s="125" r="I306"/>
      <c s="125" r="J306"/>
      <c s="125" r="K306"/>
      <c s="125" r="L306"/>
      <c s="125" r="M306"/>
      <c s="125" r="N306"/>
      <c s="125" r="O306"/>
      <c s="125" r="P306"/>
      <c s="125" r="Q306"/>
      <c s="125" r="R306"/>
      <c s="125" r="S306"/>
      <c s="125" r="T306"/>
      <c s="125" r="U306"/>
      <c s="125" r="V306"/>
      <c s="125" r="W306"/>
      <c s="125" r="X306"/>
      <c s="125" r="Y306"/>
      <c s="125" r="Z306"/>
      <c s="125" r="AA306"/>
      <c s="125" r="AB306"/>
      <c s="761" r="AC306"/>
      <c s="341" r="AD306"/>
    </row>
    <row r="307">
      <c s="125" r="A307"/>
      <c s="125" r="B307"/>
      <c s="125" r="C307"/>
      <c s="125" r="D307"/>
      <c s="125" r="E307"/>
      <c s="125" r="F307"/>
      <c s="125" r="G307"/>
      <c s="125" r="H307"/>
      <c s="125" r="I307"/>
      <c s="125" r="J307"/>
      <c s="125" r="K307"/>
      <c s="125" r="L307"/>
      <c s="125" r="M307"/>
      <c s="125" r="N307"/>
      <c s="125" r="O307"/>
      <c s="125" r="P307"/>
      <c s="125" r="Q307"/>
      <c s="125" r="R307"/>
      <c s="125" r="S307"/>
      <c s="125" r="T307"/>
      <c s="125" r="U307"/>
      <c s="125" r="V307"/>
      <c s="125" r="W307"/>
      <c s="125" r="X307"/>
      <c s="125" r="Y307"/>
      <c s="125" r="Z307"/>
      <c s="125" r="AA307"/>
      <c s="125" r="AB307"/>
      <c s="761" r="AC307"/>
      <c s="341" r="AD307"/>
    </row>
    <row r="308">
      <c s="125" r="A308"/>
      <c s="125" r="B308"/>
      <c s="125" r="C308"/>
      <c s="125" r="D308"/>
      <c s="125" r="E308"/>
      <c s="125" r="F308"/>
      <c s="125" r="G308"/>
      <c s="125" r="H308"/>
      <c s="125" r="I308"/>
      <c s="125" r="J308"/>
      <c s="125" r="K308"/>
      <c s="125" r="L308"/>
      <c s="125" r="M308"/>
      <c s="125" r="N308"/>
      <c s="125" r="O308"/>
      <c s="125" r="P308"/>
      <c s="125" r="Q308"/>
      <c s="125" r="R308"/>
      <c s="125" r="S308"/>
      <c s="125" r="T308"/>
      <c s="125" r="U308"/>
      <c s="125" r="V308"/>
      <c s="125" r="W308"/>
      <c s="125" r="X308"/>
      <c s="125" r="Y308"/>
      <c s="125" r="Z308"/>
      <c s="125" r="AA308"/>
      <c s="125" r="AB308"/>
      <c s="761" r="AC308"/>
      <c s="341" r="AD308"/>
    </row>
    <row r="309">
      <c s="125" r="A309"/>
      <c s="125" r="B309"/>
      <c s="125" r="C309"/>
      <c s="125" r="D309"/>
      <c s="125" r="E309"/>
      <c s="125" r="F309"/>
      <c s="125" r="G309"/>
      <c s="125" r="H309"/>
      <c s="125" r="I309"/>
      <c s="125" r="J309"/>
      <c s="125" r="K309"/>
      <c s="125" r="L309"/>
      <c s="125" r="M309"/>
      <c s="125" r="N309"/>
      <c s="125" r="O309"/>
      <c s="125" r="P309"/>
      <c s="125" r="Q309"/>
      <c s="125" r="R309"/>
      <c s="125" r="S309"/>
      <c s="125" r="T309"/>
      <c s="125" r="U309"/>
      <c s="125" r="V309"/>
      <c s="125" r="W309"/>
      <c s="125" r="X309"/>
      <c s="125" r="Y309"/>
      <c s="125" r="Z309"/>
      <c s="125" r="AA309"/>
      <c s="125" r="AB309"/>
      <c s="761" r="AC309"/>
      <c s="341" r="AD309"/>
    </row>
    <row r="310">
      <c s="125" r="A310"/>
      <c s="125" r="B310"/>
      <c s="125" r="C310"/>
      <c s="125" r="D310"/>
      <c s="125" r="E310"/>
      <c s="125" r="F310"/>
      <c s="125" r="G310"/>
      <c s="125" r="H310"/>
      <c s="125" r="I310"/>
      <c s="125" r="J310"/>
      <c s="125" r="K310"/>
      <c s="125" r="L310"/>
      <c s="125" r="M310"/>
      <c s="125" r="N310"/>
      <c s="125" r="O310"/>
      <c s="125" r="P310"/>
      <c s="125" r="Q310"/>
      <c s="125" r="R310"/>
      <c s="125" r="S310"/>
      <c s="125" r="T310"/>
      <c s="125" r="U310"/>
      <c s="125" r="V310"/>
      <c s="125" r="W310"/>
      <c s="125" r="X310"/>
      <c s="125" r="Y310"/>
      <c s="125" r="Z310"/>
      <c s="125" r="AA310"/>
      <c s="125" r="AB310"/>
      <c s="761" r="AC310"/>
      <c s="341" r="AD310"/>
    </row>
    <row r="311">
      <c s="125" r="A311"/>
      <c s="125" r="B311"/>
      <c s="125" r="C311"/>
      <c s="125" r="D311"/>
      <c s="125" r="E311"/>
      <c s="125" r="F311"/>
      <c s="125" r="G311"/>
      <c s="125" r="H311"/>
      <c s="125" r="I311"/>
      <c s="125" r="J311"/>
      <c s="125" r="K311"/>
      <c s="125" r="L311"/>
      <c s="125" r="M311"/>
      <c s="125" r="N311"/>
      <c s="125" r="O311"/>
      <c s="125" r="P311"/>
      <c s="125" r="Q311"/>
      <c s="125" r="R311"/>
      <c s="125" r="S311"/>
      <c s="125" r="T311"/>
      <c s="125" r="U311"/>
      <c s="125" r="V311"/>
      <c s="125" r="W311"/>
      <c s="125" r="X311"/>
      <c s="125" r="Y311"/>
      <c s="125" r="Z311"/>
      <c s="125" r="AA311"/>
      <c s="125" r="AB311"/>
      <c s="761" r="AC311"/>
      <c s="341" r="AD311"/>
    </row>
    <row r="312">
      <c s="125" r="A312"/>
      <c s="125" r="B312"/>
      <c s="125" r="C312"/>
      <c s="125" r="D312"/>
      <c s="125" r="E312"/>
      <c s="125" r="F312"/>
      <c s="125" r="G312"/>
      <c s="125" r="H312"/>
      <c s="125" r="I312"/>
      <c s="125" r="J312"/>
      <c s="125" r="K312"/>
      <c s="125" r="L312"/>
      <c s="125" r="M312"/>
      <c s="125" r="N312"/>
      <c s="125" r="O312"/>
      <c s="125" r="P312"/>
      <c s="125" r="Q312"/>
      <c s="125" r="R312"/>
      <c s="125" r="S312"/>
      <c s="125" r="T312"/>
      <c s="125" r="U312"/>
      <c s="125" r="V312"/>
      <c s="125" r="W312"/>
      <c s="125" r="X312"/>
      <c s="125" r="Y312"/>
      <c s="125" r="Z312"/>
      <c s="125" r="AA312"/>
      <c s="125" r="AB312"/>
      <c s="761" r="AC312"/>
      <c s="341" r="AD312"/>
    </row>
    <row r="313">
      <c s="125" r="A313"/>
      <c s="125" r="B313"/>
      <c s="125" r="C313"/>
      <c s="125" r="D313"/>
      <c s="125" r="E313"/>
      <c s="125" r="F313"/>
      <c s="125" r="G313"/>
      <c s="125" r="H313"/>
      <c s="125" r="I313"/>
      <c s="125" r="J313"/>
      <c s="125" r="K313"/>
      <c s="125" r="L313"/>
      <c s="125" r="M313"/>
      <c s="125" r="N313"/>
      <c s="125" r="O313"/>
      <c s="125" r="P313"/>
      <c s="125" r="Q313"/>
      <c s="125" r="R313"/>
      <c s="125" r="S313"/>
      <c s="125" r="T313"/>
      <c s="125" r="U313"/>
      <c s="125" r="V313"/>
      <c s="125" r="W313"/>
      <c s="125" r="X313"/>
      <c s="125" r="Y313"/>
      <c s="125" r="Z313"/>
      <c s="433" r="AA313"/>
      <c s="125" r="AB313"/>
      <c s="761" r="AC313"/>
      <c s="341" r="AD313"/>
    </row>
    <row r="314">
      <c s="125" r="A314"/>
      <c s="125" r="B314"/>
      <c s="125" r="C314"/>
      <c s="125" r="D314"/>
      <c s="125" r="E314"/>
      <c s="125" r="F314"/>
      <c s="125" r="G314"/>
      <c s="125" r="H314"/>
      <c s="125" r="I314"/>
      <c s="125" r="J314"/>
      <c s="125" r="K314"/>
      <c s="125" r="L314"/>
      <c s="125" r="M314"/>
      <c s="125" r="N314"/>
      <c s="125" r="O314"/>
      <c s="125" r="P314"/>
      <c s="125" r="Q314"/>
      <c s="125" r="R314"/>
      <c s="125" r="S314"/>
      <c s="125" r="T314"/>
      <c s="125" r="U314"/>
      <c s="125" r="V314"/>
      <c s="125" r="W314"/>
      <c s="125" r="X314"/>
      <c s="125" r="Y314"/>
      <c s="125" r="Z314"/>
      <c s="715" r="AA314"/>
      <c s="125" r="AB314"/>
      <c s="761" r="AC314"/>
      <c s="341" r="AD314"/>
    </row>
    <row r="315">
      <c s="125" r="A315"/>
      <c s="125" r="B315"/>
      <c s="125" r="C315"/>
      <c s="125" r="D315"/>
      <c s="125" r="E315"/>
      <c s="125" r="F315"/>
      <c s="125" r="G315"/>
      <c s="125" r="H315"/>
      <c s="125" r="I315"/>
      <c s="125" r="J315"/>
      <c s="125" r="K315"/>
      <c s="125" r="L315"/>
      <c s="125" r="M315"/>
      <c s="125" r="N315"/>
      <c s="125" r="O315"/>
      <c s="125" r="P315"/>
      <c s="125" r="Q315"/>
      <c s="125" r="R315"/>
      <c s="125" r="S315"/>
      <c s="125" r="T315"/>
      <c s="125" r="U315"/>
      <c s="125" r="V315"/>
      <c s="125" r="W315"/>
      <c s="125" r="X315"/>
      <c s="125" r="Y315"/>
      <c s="125" r="Z315"/>
      <c s="125" r="AA315"/>
      <c s="125" r="AB315"/>
      <c s="761" r="AC315"/>
      <c s="341" r="AD315"/>
    </row>
    <row r="316">
      <c s="125" r="A316"/>
      <c s="125" r="B316"/>
      <c s="125" r="C316"/>
      <c s="125" r="D316"/>
      <c s="125" r="E316"/>
      <c s="125" r="F316"/>
      <c s="125" r="G316"/>
      <c s="125" r="H316"/>
      <c s="125" r="I316"/>
      <c s="125" r="J316"/>
      <c s="125" r="K316"/>
      <c s="125" r="L316"/>
      <c s="125" r="M316"/>
      <c s="125" r="N316"/>
      <c s="125" r="O316"/>
      <c s="125" r="P316"/>
      <c s="125" r="Q316"/>
      <c s="125" r="R316"/>
      <c s="125" r="S316"/>
      <c s="125" r="T316"/>
      <c s="125" r="U316"/>
      <c s="125" r="V316"/>
      <c s="125" r="W316"/>
      <c s="125" r="X316"/>
      <c s="125" r="Y316"/>
      <c s="125" r="Z316"/>
      <c s="125" r="AA316"/>
      <c s="125" r="AB316"/>
      <c s="761" r="AC316"/>
      <c s="341" r="AD316"/>
    </row>
    <row r="317">
      <c s="125" r="A317"/>
      <c s="125" r="B317"/>
      <c s="125" r="C317"/>
      <c s="125" r="D317"/>
      <c s="125" r="E317"/>
      <c s="125" r="F317"/>
      <c s="125" r="G317"/>
      <c s="125" r="H317"/>
      <c s="125" r="I317"/>
      <c s="125" r="J317"/>
      <c s="125" r="K317"/>
      <c s="125" r="L317"/>
      <c s="125" r="M317"/>
      <c s="125" r="N317"/>
      <c s="125" r="O317"/>
      <c s="125" r="P317"/>
      <c s="125" r="Q317"/>
      <c s="125" r="R317"/>
      <c s="125" r="S317"/>
      <c s="125" r="T317"/>
      <c s="125" r="U317"/>
      <c s="125" r="V317"/>
      <c s="125" r="W317"/>
      <c s="125" r="X317"/>
      <c s="125" r="Y317"/>
      <c s="125" r="Z317"/>
      <c s="125" r="AA317"/>
      <c s="125" r="AB317"/>
      <c s="761" r="AC317"/>
      <c s="341" r="AD317"/>
    </row>
    <row r="318">
      <c s="125" r="A318"/>
      <c s="125" r="B318"/>
      <c s="125" r="C318"/>
      <c s="125" r="D318"/>
      <c s="125" r="E318"/>
      <c s="125" r="F318"/>
      <c s="125" r="G318"/>
      <c s="125" r="H318"/>
      <c s="125" r="I318"/>
      <c s="125" r="J318"/>
      <c s="125" r="K318"/>
      <c s="125" r="L318"/>
      <c s="125" r="M318"/>
      <c s="125" r="N318"/>
      <c s="125" r="O318"/>
      <c s="125" r="P318"/>
      <c s="125" r="Q318"/>
      <c s="125" r="R318"/>
      <c s="125" r="S318"/>
      <c s="125" r="T318"/>
      <c s="125" r="U318"/>
      <c s="125" r="V318"/>
      <c s="125" r="W318"/>
      <c s="125" r="X318"/>
      <c s="125" r="Y318"/>
      <c s="125" r="Z318"/>
      <c s="125" r="AA318"/>
      <c s="125" r="AB318"/>
      <c s="761" r="AC318"/>
      <c s="341" r="AD318"/>
    </row>
    <row r="319">
      <c s="125" r="A319"/>
      <c s="125" r="B319"/>
      <c s="125" r="C319"/>
      <c s="125" r="D319"/>
      <c s="125" r="E319"/>
      <c s="125" r="F319"/>
      <c s="125" r="G319"/>
      <c s="125" r="H319"/>
      <c s="125" r="I319"/>
      <c s="125" r="J319"/>
      <c s="125" r="K319"/>
      <c s="125" r="L319"/>
      <c s="125" r="M319"/>
      <c s="125" r="N319"/>
      <c s="125" r="O319"/>
      <c s="125" r="P319"/>
      <c s="125" r="Q319"/>
      <c s="125" r="R319"/>
      <c s="125" r="S319"/>
      <c s="125" r="T319"/>
      <c s="125" r="U319"/>
      <c s="125" r="V319"/>
      <c s="125" r="W319"/>
      <c s="125" r="X319"/>
      <c s="125" r="Y319"/>
      <c s="125" r="Z319"/>
      <c s="125" r="AA319"/>
      <c s="125" r="AB319"/>
      <c s="761" r="AC319"/>
      <c s="341" r="AD319"/>
    </row>
    <row r="320">
      <c s="125" r="A320"/>
      <c s="125" r="B320"/>
      <c s="125" r="C320"/>
      <c s="125" r="D320"/>
      <c s="125" r="E320"/>
      <c s="125" r="F320"/>
      <c s="125" r="G320"/>
      <c s="125" r="H320"/>
      <c s="125" r="I320"/>
      <c s="125" r="J320"/>
      <c s="125" r="K320"/>
      <c s="125" r="L320"/>
      <c s="125" r="M320"/>
      <c s="125" r="N320"/>
      <c s="125" r="O320"/>
      <c s="125" r="P320"/>
      <c s="125" r="Q320"/>
      <c s="125" r="R320"/>
      <c s="125" r="S320"/>
      <c s="125" r="T320"/>
      <c s="125" r="U320"/>
      <c s="125" r="V320"/>
      <c s="125" r="W320"/>
      <c s="125" r="X320"/>
      <c s="125" r="Y320"/>
      <c s="125" r="Z320"/>
      <c s="125" r="AA320"/>
      <c s="125" r="AB320"/>
      <c s="761" r="AC320"/>
      <c s="341" r="AD320"/>
    </row>
    <row r="321">
      <c s="125" r="A321"/>
      <c s="125" r="B321"/>
      <c s="125" r="C321"/>
      <c s="125" r="D321"/>
      <c s="125" r="E321"/>
      <c s="125" r="F321"/>
      <c s="125" r="G321"/>
      <c s="125" r="H321"/>
      <c s="125" r="I321"/>
      <c s="125" r="J321"/>
      <c s="125" r="K321"/>
      <c s="125" r="L321"/>
      <c s="125" r="M321"/>
      <c s="125" r="N321"/>
      <c s="125" r="O321"/>
      <c s="125" r="P321"/>
      <c s="125" r="Q321"/>
      <c s="125" r="R321"/>
      <c s="125" r="S321"/>
      <c s="125" r="T321"/>
      <c s="433" r="U321"/>
      <c s="433" r="V321"/>
      <c s="433" r="W321"/>
      <c s="433" r="X321"/>
      <c s="433" r="Y321"/>
      <c s="433" r="Z321"/>
      <c s="125" r="AA321"/>
      <c s="125" r="AB321"/>
      <c s="761" r="AC321"/>
      <c s="341" r="AD321"/>
    </row>
    <row r="322">
      <c s="125" r="A322"/>
      <c s="125" r="B322"/>
      <c s="125" r="C322"/>
      <c s="125" r="D322"/>
      <c s="125" r="E322"/>
      <c s="125" r="F322"/>
      <c s="125" r="G322"/>
      <c s="125" r="H322"/>
      <c s="125" r="I322"/>
      <c s="125" r="J322"/>
      <c s="125" r="K322"/>
      <c s="125" r="L322"/>
      <c s="125" r="M322"/>
      <c s="125" r="N322"/>
      <c s="125" r="O322"/>
      <c s="125" r="P322"/>
      <c s="125" r="Q322"/>
      <c s="125" r="R322"/>
      <c s="125" r="S322"/>
      <c s="125" r="T322"/>
      <c s="715" r="U322"/>
      <c s="715" r="V322"/>
      <c s="715" r="W322"/>
      <c s="715" r="X322"/>
      <c s="715" r="Y322"/>
      <c s="715" r="Z322"/>
      <c s="125" r="AA322"/>
      <c s="761" r="AB322"/>
      <c s="761" r="AC322"/>
      <c s="341" r="AD322"/>
    </row>
    <row r="323">
      <c s="125" r="A323"/>
      <c s="125" r="B323"/>
      <c s="125" r="C323"/>
      <c s="125" r="D323"/>
      <c s="125" r="E323"/>
      <c s="125" r="F323"/>
      <c s="125" r="G323"/>
      <c s="125" r="H323"/>
      <c s="125" r="I323"/>
      <c s="125" r="J323"/>
      <c s="125" r="K323"/>
      <c s="125" r="L323"/>
      <c s="125" r="M323"/>
      <c s="125" r="N323"/>
      <c s="125" r="O323"/>
      <c s="125" r="P323"/>
      <c s="125" r="Q323"/>
      <c s="125" r="R323"/>
      <c s="125" r="S323"/>
      <c s="125" r="T323"/>
      <c s="125" r="U323"/>
      <c s="125" r="V323"/>
      <c s="125" r="W323"/>
      <c s="125" r="X323"/>
      <c s="125" r="Y323"/>
      <c s="125" r="Z323"/>
      <c s="125" r="AA323"/>
      <c s="761" r="AB323"/>
      <c s="761" r="AC323"/>
      <c s="341" r="AD323"/>
    </row>
    <row r="324">
      <c s="125" r="A324"/>
      <c s="125" r="B324"/>
      <c s="125" r="C324"/>
      <c s="125" r="D324"/>
      <c s="125" r="E324"/>
      <c s="125" r="F324"/>
      <c s="125" r="G324"/>
      <c s="125" r="H324"/>
      <c s="125" r="I324"/>
      <c s="125" r="J324"/>
      <c s="125" r="K324"/>
      <c s="125" r="L324"/>
      <c s="125" r="M324"/>
      <c s="125" r="N324"/>
      <c s="125" r="O324"/>
      <c s="125" r="P324"/>
      <c s="125" r="Q324"/>
      <c s="125" r="R324"/>
      <c s="125" r="S324"/>
      <c s="125" r="T324"/>
      <c s="125" r="U324"/>
      <c s="125" r="V324"/>
      <c s="125" r="W324"/>
      <c s="125" r="X324"/>
      <c s="125" r="Y324"/>
      <c s="125" r="Z324"/>
      <c s="125" r="AA324"/>
      <c s="761" r="AB324"/>
      <c s="761" r="AC324"/>
      <c s="341" r="AD324"/>
    </row>
    <row r="325">
      <c s="125" r="A325"/>
      <c s="125" r="B325"/>
      <c s="125" r="C325"/>
      <c s="125" r="D325"/>
      <c s="125" r="E325"/>
      <c s="125" r="F325"/>
      <c s="125" r="G325"/>
      <c s="125" r="H325"/>
      <c s="125" r="I325"/>
      <c s="125" r="J325"/>
      <c s="125" r="K325"/>
      <c s="125" r="L325"/>
      <c s="125" r="M325"/>
      <c s="125" r="N325"/>
      <c s="125" r="O325"/>
      <c s="125" r="P325"/>
      <c s="125" r="Q325"/>
      <c s="125" r="R325"/>
      <c s="125" r="S325"/>
      <c s="125" r="T325"/>
      <c s="125" r="U325"/>
      <c s="125" r="V325"/>
      <c s="125" r="W325"/>
      <c s="125" r="X325"/>
      <c s="125" r="Y325"/>
      <c s="125" r="Z325"/>
      <c s="125" r="AA325"/>
      <c s="761" r="AB325"/>
      <c s="761" r="AC325"/>
      <c s="341" r="AD325"/>
    </row>
    <row r="326">
      <c s="125" r="A326"/>
      <c s="125" r="B326"/>
      <c s="125" r="C326"/>
      <c s="125" r="D326"/>
      <c s="125" r="E326"/>
      <c s="125" r="F326"/>
      <c s="125" r="G326"/>
      <c s="125" r="H326"/>
      <c s="125" r="I326"/>
      <c s="125" r="J326"/>
      <c s="125" r="K326"/>
      <c s="125" r="L326"/>
      <c s="125" r="M326"/>
      <c s="125" r="N326"/>
      <c s="125" r="O326"/>
      <c s="125" r="P326"/>
      <c s="125" r="Q326"/>
      <c s="125" r="R326"/>
      <c s="125" r="S326"/>
      <c s="125" r="T326"/>
      <c s="125" r="U326"/>
      <c s="125" r="V326"/>
      <c s="125" r="W326"/>
      <c s="125" r="X326"/>
      <c s="125" r="Y326"/>
      <c s="125" r="Z326"/>
      <c s="125" r="AA326"/>
      <c s="761" r="AB326"/>
      <c s="761" r="AC326"/>
      <c s="341" r="AD326"/>
    </row>
    <row r="327">
      <c s="125" r="A327"/>
      <c s="125" r="B327"/>
      <c s="125" r="C327"/>
      <c s="125" r="D327"/>
      <c s="125" r="E327"/>
      <c s="125" r="F327"/>
      <c s="125" r="G327"/>
      <c s="125" r="H327"/>
      <c s="125" r="I327"/>
      <c s="125" r="J327"/>
      <c s="125" r="K327"/>
      <c s="125" r="L327"/>
      <c s="125" r="M327"/>
      <c s="125" r="N327"/>
      <c s="125" r="O327"/>
      <c s="125" r="P327"/>
      <c s="125" r="Q327"/>
      <c s="125" r="R327"/>
      <c s="125" r="S327"/>
      <c s="125" r="T327"/>
      <c s="125" r="U327"/>
      <c s="125" r="V327"/>
      <c s="125" r="W327"/>
      <c s="125" r="X327"/>
      <c s="125" r="Y327"/>
      <c s="125" r="Z327"/>
      <c s="642" r="AA327"/>
      <c s="761" r="AB327"/>
      <c s="761" r="AC327"/>
      <c s="341" r="AD327"/>
    </row>
    <row r="328">
      <c s="125" r="A328"/>
      <c s="125" r="B328"/>
      <c s="125" r="C328"/>
      <c s="125" r="D328"/>
      <c s="125" r="E328"/>
      <c s="125" r="F328"/>
      <c s="125" r="G328"/>
      <c s="125" r="H328"/>
      <c s="125" r="I328"/>
      <c s="125" r="J328"/>
      <c s="125" r="K328"/>
      <c s="125" r="L328"/>
      <c s="125" r="M328"/>
      <c s="125" r="N328"/>
      <c s="125" r="O328"/>
      <c s="125" r="P328"/>
      <c s="125" r="Q328"/>
      <c s="125" r="R328"/>
      <c s="125" r="S328"/>
      <c s="125" r="T328"/>
      <c s="125" r="U328"/>
      <c s="125" r="V328"/>
      <c s="125" r="W328"/>
      <c s="125" r="X328"/>
      <c s="125" r="Y328"/>
      <c s="125" r="Z328"/>
      <c s="125" r="AA328"/>
      <c s="761" r="AB328"/>
      <c s="761" r="AC328"/>
      <c s="341" r="AD328"/>
    </row>
    <row r="329">
      <c s="125" r="A329"/>
      <c s="125" r="B329"/>
      <c s="125" r="C329"/>
      <c s="125" r="D329"/>
      <c s="125" r="E329"/>
      <c s="125" r="F329"/>
      <c s="125" r="G329"/>
      <c s="125" r="H329"/>
      <c s="125" r="I329"/>
      <c s="125" r="J329"/>
      <c s="125" r="K329"/>
      <c s="125" r="L329"/>
      <c s="125" r="M329"/>
      <c s="125" r="N329"/>
      <c s="125" r="O329"/>
      <c s="125" r="P329"/>
      <c s="125" r="Q329"/>
      <c s="125" r="R329"/>
      <c s="125" r="S329"/>
      <c s="125" r="T329"/>
      <c s="125" r="U329"/>
      <c s="125" r="V329"/>
      <c s="125" r="W329"/>
      <c s="125" r="X329"/>
      <c s="125" r="Y329"/>
      <c s="125" r="Z329"/>
      <c s="125" r="AA329"/>
      <c s="125" r="AB329"/>
      <c s="761" r="AC329"/>
      <c s="341" r="AD329"/>
    </row>
    <row r="330">
      <c s="125" r="A330"/>
      <c s="125" r="B330"/>
      <c s="125" r="C330"/>
      <c s="125" r="D330"/>
      <c s="125" r="E330"/>
      <c s="125" r="F330"/>
      <c s="125" r="G330"/>
      <c s="125" r="H330"/>
      <c s="125" r="I330"/>
      <c s="125" r="J330"/>
      <c s="125" r="K330"/>
      <c s="125" r="L330"/>
      <c s="125" r="M330"/>
      <c s="125" r="N330"/>
      <c s="125" r="O330"/>
      <c s="125" r="P330"/>
      <c s="125" r="Q330"/>
      <c s="125" r="R330"/>
      <c s="125" r="S330"/>
      <c s="125" r="T330"/>
      <c s="125" r="U330"/>
      <c s="125" r="V330"/>
      <c s="125" r="W330"/>
      <c s="125" r="X330"/>
      <c s="125" r="Y330"/>
      <c s="125" r="Z330"/>
      <c s="125" r="AA330"/>
      <c s="125" r="AB330"/>
      <c s="761" r="AC330"/>
      <c s="341" r="AD330"/>
    </row>
    <row r="331">
      <c s="125" r="A331"/>
      <c s="125" r="B331"/>
      <c s="125" r="C331"/>
      <c s="125" r="D331"/>
      <c s="125" r="E331"/>
      <c s="125" r="F331"/>
      <c s="125" r="G331"/>
      <c s="125" r="H331"/>
      <c s="125" r="I331"/>
      <c s="125" r="J331"/>
      <c s="125" r="K331"/>
      <c s="125" r="L331"/>
      <c s="125" r="M331"/>
      <c s="125" r="N331"/>
      <c s="125" r="O331"/>
      <c s="125" r="P331"/>
      <c s="125" r="Q331"/>
      <c s="125" r="R331"/>
      <c s="125" r="S331"/>
      <c s="125" r="T331"/>
      <c s="125" r="U331"/>
      <c s="125" r="V331"/>
      <c s="125" r="W331"/>
      <c s="125" r="X331"/>
      <c s="125" r="Y331"/>
      <c s="125" r="Z331"/>
      <c s="125" r="AA331"/>
      <c s="125" r="AB331"/>
      <c s="761" r="AC331"/>
      <c s="341" r="AD331"/>
    </row>
    <row r="332">
      <c s="125" r="A332"/>
      <c s="125" r="B332"/>
      <c s="125" r="C332"/>
      <c s="125" r="D332"/>
      <c s="125" r="E332"/>
      <c s="125" r="F332"/>
      <c s="125" r="G332"/>
      <c s="125" r="H332"/>
      <c s="125" r="I332"/>
      <c s="125" r="J332"/>
      <c s="125" r="K332"/>
      <c s="125" r="L332"/>
      <c s="125" r="M332"/>
      <c s="125" r="N332"/>
      <c s="125" r="O332"/>
      <c s="125" r="P332"/>
      <c s="125" r="Q332"/>
      <c s="125" r="R332"/>
      <c s="125" r="S332"/>
      <c s="125" r="T332"/>
      <c s="761" r="U332"/>
      <c s="761" r="V332"/>
      <c s="761" r="W332"/>
      <c s="761" r="X332"/>
      <c s="761" r="Y332"/>
      <c s="761" r="Z332"/>
      <c s="125" r="AA332"/>
      <c s="125" r="AB332"/>
      <c s="761" r="AC332"/>
      <c s="341" r="AD332"/>
    </row>
    <row r="333">
      <c s="125" r="A333"/>
      <c s="125" r="B333"/>
      <c s="125" r="C333"/>
      <c s="125" r="D333"/>
      <c s="125" r="E333"/>
      <c s="125" r="F333"/>
      <c s="125" r="G333"/>
      <c s="125" r="H333"/>
      <c s="125" r="I333"/>
      <c s="125" r="J333"/>
      <c s="125" r="K333"/>
      <c s="125" r="L333"/>
      <c s="125" r="M333"/>
      <c s="125" r="N333"/>
      <c s="125" r="O333"/>
      <c s="125" r="P333"/>
      <c s="125" r="Q333"/>
      <c s="125" r="R333"/>
      <c s="125" r="S333"/>
      <c s="125" r="T333"/>
      <c s="761" r="U333"/>
      <c s="761" r="V333"/>
      <c s="761" r="W333"/>
      <c s="761" r="X333"/>
      <c s="761" r="Y333"/>
      <c s="761" r="Z333"/>
      <c s="125" r="AA333"/>
      <c s="125" r="AB333"/>
      <c s="761" r="AC333"/>
      <c s="341" r="AD333"/>
    </row>
    <row r="334">
      <c s="125" r="A334"/>
      <c s="125" r="B334"/>
      <c s="125" r="C334"/>
      <c s="125" r="D334"/>
      <c s="125" r="E334"/>
      <c s="125" r="F334"/>
      <c s="125" r="G334"/>
      <c s="125" r="H334"/>
      <c s="125" r="I334"/>
      <c s="125" r="J334"/>
      <c s="125" r="K334"/>
      <c s="125" r="L334"/>
      <c s="125" r="M334"/>
      <c s="125" r="N334"/>
      <c s="125" r="O334"/>
      <c s="125" r="P334"/>
      <c s="125" r="Q334"/>
      <c s="125" r="R334"/>
      <c s="125" r="S334"/>
      <c s="125" r="T334"/>
      <c s="761" r="U334"/>
      <c s="761" r="V334"/>
      <c s="761" r="W334"/>
      <c s="761" r="X334"/>
      <c s="761" r="Y334"/>
      <c s="761" r="Z334"/>
      <c s="125" r="AA334"/>
      <c s="125" r="AB334"/>
      <c s="761" r="AC334"/>
      <c s="341" r="AD334"/>
    </row>
    <row r="335">
      <c s="125" r="A335"/>
      <c s="125" r="B335"/>
      <c s="125" r="C335"/>
      <c s="125" r="D335"/>
      <c s="125" r="E335"/>
      <c s="125" r="F335"/>
      <c s="125" r="G335"/>
      <c s="125" r="H335"/>
      <c s="125" r="I335"/>
      <c s="125" r="J335"/>
      <c s="125" r="K335"/>
      <c s="125" r="L335"/>
      <c s="125" r="M335"/>
      <c s="125" r="N335"/>
      <c s="125" r="O335"/>
      <c s="125" r="P335"/>
      <c s="125" r="Q335"/>
      <c s="125" r="R335"/>
      <c s="125" r="S335"/>
      <c s="125" r="T335"/>
      <c s="125" r="U335"/>
      <c s="125" r="V335"/>
      <c s="125" r="W335"/>
      <c s="125" r="X335"/>
      <c s="125" r="Y335"/>
      <c s="125" r="Z335"/>
      <c s="125" r="AA335"/>
      <c s="125" r="AB335"/>
      <c s="761" r="AC335"/>
      <c s="341" r="AD335"/>
    </row>
    <row r="336">
      <c s="125" r="A336"/>
      <c s="125" r="B336"/>
      <c s="125" r="C336"/>
      <c s="125" r="D336"/>
      <c s="125" r="E336"/>
      <c s="125" r="F336"/>
      <c s="125" r="G336"/>
      <c s="125" r="H336"/>
      <c s="125" r="I336"/>
      <c s="125" r="J336"/>
      <c s="125" r="K336"/>
      <c s="125" r="L336"/>
      <c s="125" r="M336"/>
      <c s="125" r="N336"/>
      <c s="125" r="O336"/>
      <c s="125" r="P336"/>
      <c s="125" r="Q336"/>
      <c s="125" r="R336"/>
      <c s="125" r="S336"/>
      <c s="125" r="T336"/>
      <c s="125" r="U336"/>
      <c s="125" r="V336"/>
      <c s="125" r="W336"/>
      <c s="125" r="X336"/>
      <c s="125" r="Y336"/>
      <c s="125" r="Z336"/>
      <c s="125" r="AA336"/>
      <c s="125" r="AB336"/>
      <c s="761" r="AC336"/>
      <c s="341" r="AD336"/>
    </row>
    <row r="337">
      <c s="125" r="A337"/>
      <c s="125" r="B337"/>
      <c s="125" r="C337"/>
      <c s="125" r="D337"/>
      <c s="125" r="E337"/>
      <c s="125" r="F337"/>
      <c s="125" r="G337"/>
      <c s="125" r="H337"/>
      <c s="125" r="I337"/>
      <c s="125" r="J337"/>
      <c s="125" r="K337"/>
      <c s="125" r="L337"/>
      <c s="125" r="M337"/>
      <c s="125" r="N337"/>
      <c s="125" r="O337"/>
      <c s="125" r="P337"/>
      <c s="125" r="Q337"/>
      <c s="125" r="R337"/>
      <c s="125" r="S337"/>
      <c s="125" r="T337"/>
      <c s="125" r="U337"/>
      <c s="125" r="V337"/>
      <c s="125" r="W337"/>
      <c s="125" r="X337"/>
      <c s="125" r="Y337"/>
      <c s="125" r="Z337"/>
      <c s="125" r="AA337"/>
      <c s="125" r="AB337"/>
      <c s="761" r="AC337"/>
      <c s="341" r="AD337"/>
    </row>
    <row r="338">
      <c s="125" r="A338"/>
      <c s="125" r="B338"/>
      <c s="125" r="C338"/>
      <c s="125" r="D338"/>
      <c s="125" r="E338"/>
      <c s="125" r="F338"/>
      <c s="125" r="G338"/>
      <c s="125" r="H338"/>
      <c s="125" r="I338"/>
      <c s="125" r="J338"/>
      <c s="125" r="K338"/>
      <c s="125" r="L338"/>
      <c s="125" r="M338"/>
      <c s="125" r="N338"/>
      <c s="125" r="O338"/>
      <c s="125" r="P338"/>
      <c s="125" r="Q338"/>
      <c s="125" r="R338"/>
      <c s="125" r="S338"/>
      <c s="125" r="T338"/>
      <c s="761" r="U338"/>
      <c s="125" r="V338"/>
      <c s="125" r="W338"/>
      <c s="125" r="X338"/>
      <c s="125" r="Y338"/>
      <c s="642" r="Z338"/>
      <c s="125" r="AA338"/>
      <c s="125" r="AB338"/>
      <c s="761" r="AC338"/>
      <c s="341" r="AD338"/>
    </row>
    <row r="339">
      <c s="125" r="A339"/>
      <c s="125" r="B339"/>
      <c s="125" r="C339"/>
      <c s="125" r="D339"/>
      <c s="125" r="E339"/>
      <c s="125" r="F339"/>
      <c s="125" r="G339"/>
      <c s="125" r="H339"/>
      <c s="125" r="I339"/>
      <c s="125" r="J339"/>
      <c s="125" r="K339"/>
      <c s="125" r="L339"/>
      <c s="125" r="M339"/>
      <c s="125" r="N339"/>
      <c s="125" r="O339"/>
      <c s="125" r="P339"/>
      <c s="125" r="Q339"/>
      <c s="125" r="R339"/>
      <c s="125" r="S339"/>
      <c s="125" r="T339"/>
      <c s="761" r="U339"/>
      <c s="125" r="V339"/>
      <c s="125" r="W339"/>
      <c s="125" r="X339"/>
      <c s="125" r="Y339"/>
      <c s="642" r="Z339"/>
      <c s="125" r="AA339"/>
      <c s="125" r="AB339"/>
      <c s="761" r="AC339"/>
      <c s="341" r="AD339"/>
    </row>
    <row r="340">
      <c s="125" r="A340"/>
      <c s="125" r="B340"/>
      <c s="125" r="C340"/>
      <c s="125" r="D340"/>
      <c s="125" r="E340"/>
      <c s="125" r="F340"/>
      <c s="125" r="G340"/>
      <c s="125" r="H340"/>
      <c s="125" r="I340"/>
      <c s="125" r="J340"/>
      <c s="125" r="K340"/>
      <c s="125" r="L340"/>
      <c s="125" r="M340"/>
      <c s="125" r="N340"/>
      <c s="125" r="O340"/>
      <c s="125" r="P340"/>
      <c s="125" r="Q340"/>
      <c s="125" r="R340"/>
      <c s="125" r="S340"/>
      <c s="125" r="T340"/>
      <c s="761" r="U340"/>
      <c s="125" r="V340"/>
      <c s="125" r="W340"/>
      <c s="125" r="X340"/>
      <c s="125" r="Y340"/>
      <c s="642" r="Z340"/>
      <c s="433" r="AA340"/>
      <c s="125" r="AB340"/>
      <c s="761" r="AC340"/>
      <c s="341" r="AD340"/>
    </row>
    <row r="341">
      <c s="125" r="A341"/>
      <c s="125" r="B341"/>
      <c s="125" r="C341"/>
      <c s="125" r="D341"/>
      <c s="125" r="E341"/>
      <c s="125" r="F341"/>
      <c s="125" r="G341"/>
      <c s="125" r="H341"/>
      <c s="125" r="I341"/>
      <c s="125" r="J341"/>
      <c s="125" r="K341"/>
      <c s="125" r="L341"/>
      <c s="125" r="M341"/>
      <c s="125" r="N341"/>
      <c s="125" r="O341"/>
      <c s="125" r="P341"/>
      <c s="125" r="Q341"/>
      <c s="125" r="R341"/>
      <c s="125" r="S341"/>
      <c s="125" r="T341"/>
      <c s="761" r="U341"/>
      <c s="125" r="V341"/>
      <c s="125" r="W341"/>
      <c s="125" r="X341"/>
      <c s="125" r="Y341"/>
      <c s="642" r="Z341"/>
      <c s="125" r="AA341"/>
      <c s="125" r="AB341"/>
      <c s="761" r="AC341"/>
      <c s="341" r="AD341"/>
    </row>
    <row r="342">
      <c s="125" r="A342"/>
      <c s="125" r="B342"/>
      <c s="125" r="C342"/>
      <c s="125" r="D342"/>
      <c s="125" r="E342"/>
      <c s="125" r="F342"/>
      <c s="125" r="G342"/>
      <c s="125" r="H342"/>
      <c s="125" r="I342"/>
      <c s="125" r="J342"/>
      <c s="125" r="K342"/>
      <c s="125" r="L342"/>
      <c s="125" r="M342"/>
      <c s="125" r="N342"/>
      <c s="125" r="O342"/>
      <c s="125" r="P342"/>
      <c s="125" r="Q342"/>
      <c s="125" r="R342"/>
      <c s="125" r="S342"/>
      <c s="125" r="T342"/>
      <c s="761" r="U342"/>
      <c s="125" r="V342"/>
      <c s="125" r="W342"/>
      <c s="125" r="X342"/>
      <c s="125" r="Y342"/>
      <c s="642" r="Z342"/>
      <c s="125" r="AA342"/>
      <c s="125" r="AB342"/>
      <c s="761" r="AC342"/>
      <c s="341" r="AD342"/>
    </row>
    <row r="343">
      <c s="125" r="A343"/>
      <c s="125" r="B343"/>
      <c s="125" r="C343"/>
      <c s="125" r="D343"/>
      <c s="125" r="E343"/>
      <c s="125" r="F343"/>
      <c s="125" r="G343"/>
      <c s="125" r="H343"/>
      <c s="125" r="I343"/>
      <c s="125" r="J343"/>
      <c s="125" r="K343"/>
      <c s="125" r="L343"/>
      <c s="125" r="M343"/>
      <c s="125" r="N343"/>
      <c s="125" r="O343"/>
      <c s="125" r="P343"/>
      <c s="125" r="Q343"/>
      <c s="125" r="R343"/>
      <c s="125" r="S343"/>
      <c s="125" r="T343"/>
      <c s="761" r="U343"/>
      <c s="125" r="V343"/>
      <c s="125" r="W343"/>
      <c s="125" r="X343"/>
      <c s="125" r="Y343"/>
      <c s="642" r="Z343"/>
      <c s="125" r="AA343"/>
      <c s="125" r="AB343"/>
      <c s="761" r="AC343"/>
      <c s="341" r="AD343"/>
    </row>
    <row r="344">
      <c s="125" r="A344"/>
      <c s="125" r="B344"/>
      <c s="125" r="C344"/>
      <c s="125" r="D344"/>
      <c s="125" r="E344"/>
      <c s="125" r="F344"/>
      <c s="125" r="G344"/>
      <c s="125" r="H344"/>
      <c s="125" r="I344"/>
      <c s="125" r="J344"/>
      <c s="125" r="K344"/>
      <c s="125" r="L344"/>
      <c s="125" r="M344"/>
      <c s="125" r="N344"/>
      <c s="125" r="O344"/>
      <c s="125" r="P344"/>
      <c s="125" r="Q344"/>
      <c s="125" r="R344"/>
      <c s="125" r="S344"/>
      <c s="125" r="T344"/>
      <c s="125" r="U344"/>
      <c s="125" r="V344"/>
      <c s="125" r="W344"/>
      <c s="125" r="X344"/>
      <c s="125" r="Y344"/>
      <c s="642" r="Z344"/>
      <c s="125" r="AA344"/>
      <c s="125" r="AB344"/>
      <c s="761" r="AC344"/>
      <c s="341" r="AD344"/>
    </row>
    <row r="345">
      <c s="125" r="A345"/>
      <c s="125" r="B345"/>
      <c s="125" r="C345"/>
      <c s="125" r="D345"/>
      <c s="125" r="E345"/>
      <c s="125" r="F345"/>
      <c s="125" r="G345"/>
      <c s="125" r="H345"/>
      <c s="125" r="I345"/>
      <c s="125" r="J345"/>
      <c s="125" r="K345"/>
      <c s="125" r="L345"/>
      <c s="125" r="M345"/>
      <c s="125" r="N345"/>
      <c s="125" r="O345"/>
      <c s="125" r="P345"/>
      <c s="125" r="Q345"/>
      <c s="125" r="R345"/>
      <c s="125" r="S345"/>
      <c s="125" r="T345"/>
      <c s="125" r="U345"/>
      <c s="125" r="V345"/>
      <c s="125" r="W345"/>
      <c s="125" r="X345"/>
      <c s="125" r="Y345"/>
      <c s="642" r="Z345"/>
      <c s="125" r="AA345"/>
      <c s="125" r="AB345"/>
      <c s="761" r="AC345"/>
      <c s="341" r="AD345"/>
    </row>
    <row r="346">
      <c s="125" r="A346"/>
      <c s="125" r="B346"/>
      <c s="125" r="C346"/>
      <c s="125" r="D346"/>
      <c s="125" r="E346"/>
      <c s="125" r="F346"/>
      <c s="125" r="G346"/>
      <c s="125" r="H346"/>
      <c s="125" r="I346"/>
      <c s="125" r="J346"/>
      <c s="125" r="K346"/>
      <c s="125" r="L346"/>
      <c s="125" r="M346"/>
      <c s="125" r="N346"/>
      <c s="125" r="O346"/>
      <c s="125" r="P346"/>
      <c s="125" r="Q346"/>
      <c s="125" r="R346"/>
      <c s="125" r="S346"/>
      <c s="125" r="T346"/>
      <c s="125" r="U346"/>
      <c s="125" r="V346"/>
      <c s="125" r="W346"/>
      <c s="125" r="X346"/>
      <c s="125" r="Y346"/>
      <c s="642" r="Z346"/>
      <c s="125" r="AA346"/>
      <c s="125" r="AB346"/>
      <c s="761" r="AC346"/>
      <c s="341" r="AD346"/>
    </row>
    <row r="347">
      <c s="125" r="A347"/>
      <c s="125" r="B347"/>
      <c s="125" r="C347"/>
      <c s="125" r="D347"/>
      <c s="125" r="E347"/>
      <c s="125" r="F347"/>
      <c s="125" r="G347"/>
      <c s="125" r="H347"/>
      <c s="125" r="I347"/>
      <c s="125" r="J347"/>
      <c s="125" r="K347"/>
      <c s="125" r="L347"/>
      <c s="125" r="M347"/>
      <c s="125" r="N347"/>
      <c s="125" r="O347"/>
      <c s="125" r="P347"/>
      <c s="125" r="Q347"/>
      <c s="125" r="R347"/>
      <c s="125" r="S347"/>
      <c s="125" r="T347"/>
      <c s="125" r="U347"/>
      <c s="125" r="V347"/>
      <c s="125" r="W347"/>
      <c s="125" r="X347"/>
      <c s="125" r="Y347"/>
      <c s="642" r="Z347"/>
      <c s="125" r="AA347"/>
      <c s="125" r="AB347"/>
      <c s="761" r="AC347"/>
      <c s="341" r="AD347"/>
    </row>
    <row r="348">
      <c s="125" r="A348"/>
      <c s="125" r="B348"/>
      <c s="125" r="C348"/>
      <c s="125" r="D348"/>
      <c s="125" r="E348"/>
      <c s="125" r="F348"/>
      <c s="125" r="G348"/>
      <c s="125" r="H348"/>
      <c s="125" r="I348"/>
      <c s="125" r="J348"/>
      <c s="125" r="K348"/>
      <c s="125" r="L348"/>
      <c s="125" r="M348"/>
      <c s="125" r="N348"/>
      <c s="125" r="O348"/>
      <c s="125" r="P348"/>
      <c s="125" r="Q348"/>
      <c s="125" r="R348"/>
      <c s="125" r="S348"/>
      <c s="125" r="T348"/>
      <c s="125" r="U348"/>
      <c s="125" r="V348"/>
      <c s="125" r="W348"/>
      <c s="125" r="X348"/>
      <c s="125" r="Y348"/>
      <c s="642" r="Z348"/>
      <c s="125" r="AA348"/>
      <c s="125" r="AB348"/>
      <c s="761" r="AC348"/>
      <c s="341" r="AD348"/>
    </row>
    <row r="349">
      <c s="125" r="A349"/>
      <c s="125" r="B349"/>
      <c s="125" r="C349"/>
      <c s="125" r="D349"/>
      <c s="125" r="E349"/>
      <c s="125" r="F349"/>
      <c s="125" r="G349"/>
      <c s="125" r="H349"/>
      <c s="125" r="I349"/>
      <c s="125" r="J349"/>
      <c s="125" r="K349"/>
      <c s="125" r="L349"/>
      <c s="125" r="M349"/>
      <c s="125" r="N349"/>
      <c s="125" r="O349"/>
      <c s="125" r="P349"/>
      <c s="125" r="Q349"/>
      <c s="125" r="R349"/>
      <c s="125" r="S349"/>
      <c s="125" r="T349"/>
      <c s="125" r="U349"/>
      <c s="125" r="V349"/>
      <c s="125" r="W349"/>
      <c s="125" r="X349"/>
      <c s="125" r="Y349"/>
      <c s="642" r="Z349"/>
      <c s="125" r="AA349"/>
      <c s="125" r="AB349"/>
      <c s="761" r="AC349"/>
      <c s="341" r="AD349"/>
    </row>
    <row r="350">
      <c s="125" r="A350"/>
      <c s="125" r="B350"/>
      <c s="125" r="C350"/>
      <c s="125" r="D350"/>
      <c s="125" r="E350"/>
      <c s="125" r="F350"/>
      <c s="125" r="G350"/>
      <c s="125" r="H350"/>
      <c s="125" r="I350"/>
      <c s="125" r="J350"/>
      <c s="125" r="K350"/>
      <c s="125" r="L350"/>
      <c s="125" r="M350"/>
      <c s="125" r="N350"/>
      <c s="125" r="O350"/>
      <c s="125" r="P350"/>
      <c s="125" r="Q350"/>
      <c s="125" r="R350"/>
      <c s="125" r="S350"/>
      <c s="125" r="T350"/>
      <c s="125" r="U350"/>
      <c s="125" r="V350"/>
      <c s="125" r="W350"/>
      <c s="125" r="X350"/>
      <c s="125" r="Y350"/>
      <c s="642" r="Z350"/>
      <c s="433" r="AA350"/>
      <c s="125" r="AB350"/>
      <c s="761" r="AC350"/>
      <c s="341" r="AD350"/>
    </row>
    <row r="351">
      <c s="125" r="A351"/>
      <c s="125" r="B351"/>
      <c s="125" r="C351"/>
      <c s="125" r="D351"/>
      <c s="125" r="E351"/>
      <c s="125" r="F351"/>
      <c s="125" r="G351"/>
      <c s="125" r="H351"/>
      <c s="125" r="I351"/>
      <c s="125" r="J351"/>
      <c s="125" r="K351"/>
      <c s="125" r="L351"/>
      <c s="125" r="M351"/>
      <c s="125" r="N351"/>
      <c s="125" r="O351"/>
      <c s="125" r="P351"/>
      <c s="125" r="Q351"/>
      <c s="125" r="R351"/>
      <c s="125" r="S351"/>
      <c s="125" r="T351"/>
      <c s="125" r="U351"/>
      <c s="125" r="V351"/>
      <c s="125" r="W351"/>
      <c s="125" r="X351"/>
      <c s="125" r="Y351"/>
      <c s="642" r="Z351"/>
      <c s="125" r="AA351"/>
      <c s="125" r="AB351"/>
      <c s="761" r="AC351"/>
      <c s="341" r="AD351"/>
    </row>
    <row r="352">
      <c s="125" r="A352"/>
      <c s="125" r="B352"/>
      <c s="125" r="C352"/>
      <c s="125" r="D352"/>
      <c s="125" r="E352"/>
      <c s="125" r="F352"/>
      <c s="125" r="G352"/>
      <c s="125" r="H352"/>
      <c s="125" r="I352"/>
      <c s="125" r="J352"/>
      <c s="125" r="K352"/>
      <c s="125" r="L352"/>
      <c s="125" r="M352"/>
      <c s="125" r="N352"/>
      <c s="125" r="O352"/>
      <c s="125" r="P352"/>
      <c s="125" r="Q352"/>
      <c s="125" r="R352"/>
      <c s="125" r="S352"/>
      <c s="125" r="T352"/>
      <c s="125" r="U352"/>
      <c s="125" r="V352"/>
      <c s="125" r="W352"/>
      <c s="125" r="X352"/>
      <c s="125" r="Y352"/>
      <c s="642" r="Z352"/>
      <c s="125" r="AA352"/>
      <c s="125" r="AB352"/>
      <c s="761" r="AC352"/>
      <c s="341" r="AD352"/>
    </row>
    <row r="353">
      <c s="125" r="A353"/>
      <c s="125" r="B353"/>
      <c s="125" r="C353"/>
      <c s="125" r="D353"/>
      <c s="125" r="E353"/>
      <c s="125" r="F353"/>
      <c s="125" r="G353"/>
      <c s="125" r="H353"/>
      <c s="125" r="I353"/>
      <c s="125" r="J353"/>
      <c s="125" r="K353"/>
      <c s="125" r="L353"/>
      <c s="125" r="M353"/>
      <c s="125" r="N353"/>
      <c s="125" r="O353"/>
      <c s="125" r="P353"/>
      <c s="125" r="Q353"/>
      <c s="125" r="R353"/>
      <c s="125" r="S353"/>
      <c s="125" r="T353"/>
      <c s="125" r="U353"/>
      <c s="125" r="V353"/>
      <c s="125" r="W353"/>
      <c s="125" r="X353"/>
      <c s="125" r="Y353"/>
      <c s="642" r="Z353"/>
      <c s="125" r="AA353"/>
      <c s="125" r="AB353"/>
      <c s="761" r="AC353"/>
      <c s="341" r="AD353"/>
    </row>
    <row r="354">
      <c s="125" r="A354"/>
      <c s="125" r="B354"/>
      <c s="125" r="C354"/>
      <c s="125" r="D354"/>
      <c s="125" r="E354"/>
      <c s="125" r="F354"/>
      <c s="125" r="G354"/>
      <c s="125" r="H354"/>
      <c s="125" r="I354"/>
      <c s="125" r="J354"/>
      <c s="125" r="K354"/>
      <c s="125" r="L354"/>
      <c s="125" r="M354"/>
      <c s="125" r="N354"/>
      <c s="125" r="O354"/>
      <c s="125" r="P354"/>
      <c s="125" r="Q354"/>
      <c s="125" r="R354"/>
      <c s="125" r="S354"/>
      <c s="125" r="T354"/>
      <c s="125" r="U354"/>
      <c s="125" r="V354"/>
      <c s="125" r="W354"/>
      <c s="125" r="X354"/>
      <c s="125" r="Y354"/>
      <c s="642" r="Z354"/>
      <c s="125" r="AA354"/>
      <c s="125" r="AB354"/>
      <c s="761" r="AC354"/>
      <c s="341" r="AD354"/>
    </row>
    <row r="355">
      <c s="125" r="A355"/>
      <c s="125" r="B355"/>
      <c s="125" r="C355"/>
      <c s="125" r="D355"/>
      <c s="125" r="E355"/>
      <c s="125" r="F355"/>
      <c s="125" r="G355"/>
      <c s="125" r="H355"/>
      <c s="125" r="I355"/>
      <c s="125" r="J355"/>
      <c s="125" r="K355"/>
      <c s="125" r="L355"/>
      <c s="125" r="M355"/>
      <c s="125" r="N355"/>
      <c s="125" r="O355"/>
      <c s="125" r="P355"/>
      <c s="125" r="Q355"/>
      <c s="125" r="R355"/>
      <c s="125" r="S355"/>
      <c s="125" r="T355"/>
      <c s="125" r="U355"/>
      <c s="125" r="V355"/>
      <c s="125" r="W355"/>
      <c s="125" r="X355"/>
      <c s="125" r="Y355"/>
      <c s="642" r="Z355"/>
      <c s="125" r="AA355"/>
      <c s="125" r="AB355"/>
      <c s="761" r="AC355"/>
      <c s="341" r="AD355"/>
    </row>
    <row r="356">
      <c s="125" r="A356"/>
      <c s="125" r="B356"/>
      <c s="125" r="C356"/>
      <c s="125" r="D356"/>
      <c s="125" r="E356"/>
      <c s="125" r="F356"/>
      <c s="125" r="G356"/>
      <c s="125" r="H356"/>
      <c s="125" r="I356"/>
      <c s="125" r="J356"/>
      <c s="125" r="K356"/>
      <c s="125" r="L356"/>
      <c s="125" r="M356"/>
      <c s="125" r="N356"/>
      <c s="125" r="O356"/>
      <c s="125" r="P356"/>
      <c s="125" r="Q356"/>
      <c s="125" r="R356"/>
      <c s="125" r="S356"/>
      <c s="125" r="T356"/>
      <c s="125" r="U356"/>
      <c s="125" r="V356"/>
      <c s="125" r="W356"/>
      <c s="125" r="X356"/>
      <c s="125" r="Y356"/>
      <c s="642" r="Z356"/>
      <c s="125" r="AA356"/>
      <c s="125" r="AB356"/>
      <c s="761" r="AC356"/>
      <c s="341" r="AD356"/>
    </row>
    <row r="357">
      <c s="125" r="A357"/>
      <c s="125" r="B357"/>
      <c s="125" r="C357"/>
      <c s="125" r="D357"/>
      <c s="125" r="E357"/>
      <c s="125" r="F357"/>
      <c s="125" r="G357"/>
      <c s="125" r="H357"/>
      <c s="125" r="I357"/>
      <c s="125" r="J357"/>
      <c s="125" r="K357"/>
      <c s="125" r="L357"/>
      <c s="125" r="M357"/>
      <c s="125" r="N357"/>
      <c s="125" r="O357"/>
      <c s="125" r="P357"/>
      <c s="125" r="Q357"/>
      <c s="125" r="R357"/>
      <c s="125" r="S357"/>
      <c s="125" r="T357"/>
      <c s="125" r="U357"/>
      <c s="125" r="V357"/>
      <c s="125" r="W357"/>
      <c s="125" r="X357"/>
      <c s="125" r="Y357"/>
      <c s="642" r="Z357"/>
      <c s="125" r="AA357"/>
      <c s="125" r="AB357"/>
      <c s="761" r="AC357"/>
      <c s="341" r="AD357"/>
    </row>
    <row r="358">
      <c s="125" r="A358"/>
      <c s="125" r="B358"/>
      <c s="125" r="C358"/>
      <c s="125" r="D358"/>
      <c s="125" r="E358"/>
      <c s="125" r="F358"/>
      <c s="125" r="G358"/>
      <c s="125" r="H358"/>
      <c s="125" r="I358"/>
      <c s="125" r="J358"/>
      <c s="125" r="K358"/>
      <c s="125" r="L358"/>
      <c s="125" r="M358"/>
      <c s="125" r="N358"/>
      <c s="125" r="O358"/>
      <c s="125" r="P358"/>
      <c s="125" r="Q358"/>
      <c s="125" r="R358"/>
      <c s="125" r="S358"/>
      <c s="125" r="T358"/>
      <c s="125" r="U358"/>
      <c s="125" r="V358"/>
      <c s="125" r="W358"/>
      <c s="125" r="X358"/>
      <c s="125" r="Y358"/>
      <c s="642" r="Z358"/>
      <c s="125" r="AA358"/>
      <c s="125" r="AB358"/>
      <c s="761" r="AC358"/>
      <c s="341" r="AD358"/>
    </row>
    <row r="359">
      <c s="125" r="A359"/>
      <c s="125" r="B359"/>
      <c s="125" r="C359"/>
      <c s="125" r="D359"/>
      <c s="125" r="E359"/>
      <c s="125" r="F359"/>
      <c s="125" r="G359"/>
      <c s="125" r="H359"/>
      <c s="125" r="I359"/>
      <c s="125" r="J359"/>
      <c s="125" r="K359"/>
      <c s="125" r="L359"/>
      <c s="125" r="M359"/>
      <c s="125" r="N359"/>
      <c s="125" r="O359"/>
      <c s="125" r="P359"/>
      <c s="125" r="Q359"/>
      <c s="125" r="R359"/>
      <c s="125" r="S359"/>
      <c s="125" r="T359"/>
      <c s="125" r="U359"/>
      <c s="125" r="V359"/>
      <c s="125" r="W359"/>
      <c s="125" r="X359"/>
      <c s="125" r="Y359"/>
      <c s="642" r="Z359"/>
      <c s="125" r="AA359"/>
      <c s="125" r="AB359"/>
      <c s="761" r="AC359"/>
      <c s="341" r="AD359"/>
    </row>
    <row r="360">
      <c s="125" r="A360"/>
      <c s="125" r="B360"/>
      <c s="125" r="C360"/>
      <c s="125" r="D360"/>
      <c s="125" r="E360"/>
      <c s="125" r="F360"/>
      <c s="125" r="G360"/>
      <c s="125" r="H360"/>
      <c s="125" r="I360"/>
      <c s="125" r="J360"/>
      <c s="125" r="K360"/>
      <c s="125" r="L360"/>
      <c s="125" r="M360"/>
      <c s="125" r="N360"/>
      <c s="125" r="O360"/>
      <c s="125" r="P360"/>
      <c s="125" r="Q360"/>
      <c s="125" r="R360"/>
      <c s="125" r="S360"/>
      <c s="125" r="T360"/>
      <c s="125" r="U360"/>
      <c s="125" r="V360"/>
      <c s="125" r="W360"/>
      <c s="125" r="X360"/>
      <c s="125" r="Y360"/>
      <c s="642" r="Z360"/>
      <c s="433" r="AA360"/>
      <c s="125" r="AB360"/>
      <c s="761" r="AC360"/>
      <c s="341" r="AD360"/>
    </row>
    <row r="361">
      <c s="125" r="A361"/>
      <c s="125" r="B361"/>
      <c s="125" r="C361"/>
      <c s="125" r="D361"/>
      <c s="125" r="E361"/>
      <c s="125" r="F361"/>
      <c s="125" r="G361"/>
      <c s="125" r="H361"/>
      <c s="125" r="I361"/>
      <c s="125" r="J361"/>
      <c s="125" r="K361"/>
      <c s="125" r="L361"/>
      <c s="125" r="M361"/>
      <c s="125" r="N361"/>
      <c s="125" r="O361"/>
      <c s="125" r="P361"/>
      <c s="125" r="Q361"/>
      <c s="125" r="R361"/>
      <c s="125" r="S361"/>
      <c s="125" r="T361"/>
      <c s="125" r="U361"/>
      <c s="125" r="V361"/>
      <c s="125" r="W361"/>
      <c s="125" r="X361"/>
      <c s="125" r="Y361"/>
      <c s="642" r="Z361"/>
      <c s="125" r="AA361"/>
      <c s="125" r="AB361"/>
      <c s="761" r="AC361"/>
      <c s="341" r="AD361"/>
    </row>
    <row r="362">
      <c s="125" r="A362"/>
      <c s="125" r="B362"/>
      <c s="125" r="C362"/>
      <c s="125" r="D362"/>
      <c s="125" r="E362"/>
      <c s="125" r="F362"/>
      <c s="125" r="G362"/>
      <c s="125" r="H362"/>
      <c s="125" r="I362"/>
      <c s="125" r="J362"/>
      <c s="125" r="K362"/>
      <c s="125" r="L362"/>
      <c s="125" r="M362"/>
      <c s="125" r="N362"/>
      <c s="125" r="O362"/>
      <c s="125" r="P362"/>
      <c s="125" r="Q362"/>
      <c s="125" r="R362"/>
      <c s="125" r="S362"/>
      <c s="125" r="T362"/>
      <c s="125" r="U362"/>
      <c s="125" r="V362"/>
      <c s="125" r="W362"/>
      <c s="125" r="X362"/>
      <c s="125" r="Y362"/>
      <c s="642" r="Z362"/>
      <c s="125" r="AA362"/>
      <c s="125" r="AB362"/>
      <c s="761" r="AC362"/>
      <c s="341" r="AD362"/>
    </row>
    <row r="363">
      <c s="125" r="A363"/>
      <c s="125" r="B363"/>
      <c s="125" r="C363"/>
      <c s="125" r="D363"/>
      <c s="125" r="E363"/>
      <c s="125" r="F363"/>
      <c s="125" r="G363"/>
      <c s="125" r="H363"/>
      <c s="125" r="I363"/>
      <c s="125" r="J363"/>
      <c s="125" r="K363"/>
      <c s="125" r="L363"/>
      <c s="125" r="M363"/>
      <c s="125" r="N363"/>
      <c s="125" r="O363"/>
      <c s="125" r="P363"/>
      <c s="125" r="Q363"/>
      <c s="125" r="R363"/>
      <c s="125" r="S363"/>
      <c s="125" r="T363"/>
      <c s="125" r="U363"/>
      <c s="125" r="V363"/>
      <c s="125" r="W363"/>
      <c s="125" r="X363"/>
      <c s="125" r="Y363"/>
      <c s="642" r="Z363"/>
      <c s="125" r="AA363"/>
      <c s="125" r="AB363"/>
      <c s="761" r="AC363"/>
      <c s="341" r="AD363"/>
    </row>
    <row r="364">
      <c s="125" r="A364"/>
      <c s="125" r="B364"/>
      <c s="125" r="C364"/>
      <c s="125" r="D364"/>
      <c s="125" r="E364"/>
      <c s="125" r="F364"/>
      <c s="125" r="G364"/>
      <c s="125" r="H364"/>
      <c s="125" r="I364"/>
      <c s="125" r="J364"/>
      <c s="125" r="K364"/>
      <c s="125" r="L364"/>
      <c s="125" r="M364"/>
      <c s="125" r="N364"/>
      <c s="125" r="O364"/>
      <c s="125" r="P364"/>
      <c s="125" r="Q364"/>
      <c s="125" r="R364"/>
      <c s="125" r="S364"/>
      <c s="125" r="T364"/>
      <c s="125" r="U364"/>
      <c s="125" r="V364"/>
      <c s="125" r="W364"/>
      <c s="125" r="X364"/>
      <c s="125" r="Y364"/>
      <c s="642" r="Z364"/>
      <c s="125" r="AA364"/>
      <c s="125" r="AB364"/>
      <c s="761" r="AC364"/>
      <c s="341" r="AD364"/>
    </row>
    <row r="365">
      <c s="125" r="A365"/>
      <c s="125" r="B365"/>
      <c s="125" r="C365"/>
      <c s="125" r="D365"/>
      <c s="125" r="E365"/>
      <c s="125" r="F365"/>
      <c s="125" r="G365"/>
      <c s="125" r="H365"/>
      <c s="125" r="I365"/>
      <c s="125" r="J365"/>
      <c s="125" r="K365"/>
      <c s="125" r="L365"/>
      <c s="125" r="M365"/>
      <c s="125" r="N365"/>
      <c s="125" r="O365"/>
      <c s="125" r="P365"/>
      <c s="125" r="Q365"/>
      <c s="125" r="R365"/>
      <c s="125" r="S365"/>
      <c s="125" r="T365"/>
      <c s="125" r="U365"/>
      <c s="125" r="V365"/>
      <c s="125" r="W365"/>
      <c s="125" r="X365"/>
      <c s="125" r="Y365"/>
      <c s="642" r="Z365"/>
      <c s="125" r="AA365"/>
      <c s="125" r="AB365"/>
      <c s="761" r="AC365"/>
      <c s="341" r="AD365"/>
    </row>
    <row r="366">
      <c s="125" r="A366"/>
      <c s="125" r="B366"/>
      <c s="125" r="C366"/>
      <c s="125" r="D366"/>
      <c s="125" r="E366"/>
      <c s="125" r="F366"/>
      <c s="125" r="G366"/>
      <c s="125" r="H366"/>
      <c s="125" r="I366"/>
      <c s="125" r="J366"/>
      <c s="125" r="K366"/>
      <c s="125" r="L366"/>
      <c s="125" r="M366"/>
      <c s="125" r="N366"/>
      <c s="125" r="O366"/>
      <c s="125" r="P366"/>
      <c s="125" r="Q366"/>
      <c s="125" r="R366"/>
      <c s="125" r="S366"/>
      <c s="125" r="T366"/>
      <c s="125" r="U366"/>
      <c s="125" r="V366"/>
      <c s="125" r="W366"/>
      <c s="125" r="X366"/>
      <c s="125" r="Y366"/>
      <c s="642" r="Z366"/>
      <c s="125" r="AA366"/>
      <c s="125" r="AB366"/>
      <c s="761" r="AC366"/>
      <c s="341" r="AD366"/>
    </row>
    <row r="367">
      <c s="125" r="A367"/>
      <c s="125" r="B367"/>
      <c s="125" r="C367"/>
      <c s="125" r="D367"/>
      <c s="125" r="E367"/>
      <c s="125" r="F367"/>
      <c s="125" r="G367"/>
      <c s="125" r="H367"/>
      <c s="125" r="I367"/>
      <c s="125" r="J367"/>
      <c s="125" r="K367"/>
      <c s="125" r="L367"/>
      <c s="125" r="M367"/>
      <c s="125" r="N367"/>
      <c s="125" r="O367"/>
      <c s="125" r="P367"/>
      <c s="125" r="Q367"/>
      <c s="125" r="R367"/>
      <c s="125" r="S367"/>
      <c s="125" r="T367"/>
      <c s="125" r="U367"/>
      <c s="125" r="V367"/>
      <c s="125" r="W367"/>
      <c s="125" r="X367"/>
      <c s="125" r="Y367"/>
      <c s="642" r="Z367"/>
      <c s="125" r="AA367"/>
      <c s="125" r="AB367"/>
      <c s="761" r="AC367"/>
      <c s="341" r="AD367"/>
    </row>
    <row r="368">
      <c s="125" r="A368"/>
      <c s="125" r="B368"/>
      <c s="125" r="C368"/>
      <c s="125" r="D368"/>
      <c s="125" r="E368"/>
      <c s="125" r="F368"/>
      <c s="125" r="G368"/>
      <c s="125" r="H368"/>
      <c s="125" r="I368"/>
      <c s="125" r="J368"/>
      <c s="125" r="K368"/>
      <c s="125" r="L368"/>
      <c s="125" r="M368"/>
      <c s="125" r="N368"/>
      <c s="125" r="O368"/>
      <c s="125" r="P368"/>
      <c s="125" r="Q368"/>
      <c s="125" r="R368"/>
      <c s="125" r="S368"/>
      <c s="125" r="T368"/>
      <c s="125" r="U368"/>
      <c s="125" r="V368"/>
      <c s="125" r="W368"/>
      <c s="125" r="X368"/>
      <c s="125" r="Y368"/>
      <c s="642" r="Z368"/>
      <c s="125" r="AA368"/>
      <c s="125" r="AB368"/>
      <c s="761" r="AC368"/>
      <c s="341" r="AD368"/>
    </row>
    <row r="369">
      <c s="125" r="A369"/>
      <c s="125" r="B369"/>
      <c s="125" r="C369"/>
      <c s="125" r="D369"/>
      <c s="125" r="E369"/>
      <c s="125" r="F369"/>
      <c s="125" r="G369"/>
      <c s="125" r="H369"/>
      <c s="125" r="I369"/>
      <c s="125" r="J369"/>
      <c s="125" r="K369"/>
      <c s="125" r="L369"/>
      <c s="125" r="M369"/>
      <c s="125" r="N369"/>
      <c s="125" r="O369"/>
      <c s="125" r="P369"/>
      <c s="125" r="Q369"/>
      <c s="125" r="R369"/>
      <c s="125" r="S369"/>
      <c s="125" r="T369"/>
      <c s="125" r="U369"/>
      <c s="125" r="V369"/>
      <c s="125" r="W369"/>
      <c s="125" r="X369"/>
      <c s="125" r="Y369"/>
      <c s="642" r="Z369"/>
      <c s="125" r="AA369"/>
      <c s="125" r="AB369"/>
      <c s="761" r="AC369"/>
      <c s="341" r="AD369"/>
    </row>
    <row r="370">
      <c s="125" r="A370"/>
      <c s="125" r="B370"/>
      <c s="125" r="C370"/>
      <c s="125" r="D370"/>
      <c s="125" r="E370"/>
      <c s="125" r="F370"/>
      <c s="125" r="G370"/>
      <c s="125" r="H370"/>
      <c s="125" r="I370"/>
      <c s="125" r="J370"/>
      <c s="125" r="K370"/>
      <c s="125" r="L370"/>
      <c s="125" r="M370"/>
      <c s="125" r="N370"/>
      <c s="125" r="O370"/>
      <c s="125" r="P370"/>
      <c s="125" r="Q370"/>
      <c s="125" r="R370"/>
      <c s="125" r="S370"/>
      <c s="125" r="T370"/>
      <c s="125" r="U370"/>
      <c s="125" r="V370"/>
      <c s="125" r="W370"/>
      <c s="125" r="X370"/>
      <c s="125" r="Y370"/>
      <c s="642" r="Z370"/>
      <c s="125" r="AA370"/>
      <c s="125" r="AB370"/>
      <c s="761" r="AC370"/>
      <c s="341" r="AD370"/>
    </row>
    <row r="371">
      <c s="125" r="A371"/>
      <c s="125" r="B371"/>
      <c s="125" r="C371"/>
      <c s="125" r="D371"/>
      <c s="125" r="E371"/>
      <c s="125" r="F371"/>
      <c s="125" r="G371"/>
      <c s="125" r="H371"/>
      <c s="125" r="I371"/>
      <c s="125" r="J371"/>
      <c s="125" r="K371"/>
      <c s="125" r="L371"/>
      <c s="125" r="M371"/>
      <c s="125" r="N371"/>
      <c s="125" r="O371"/>
      <c s="125" r="P371"/>
      <c s="125" r="Q371"/>
      <c s="125" r="R371"/>
      <c s="125" r="S371"/>
      <c s="125" r="T371"/>
      <c s="125" r="U371"/>
      <c s="125" r="V371"/>
      <c s="125" r="W371"/>
      <c s="125" r="X371"/>
      <c s="125" r="Y371"/>
      <c s="642" r="Z371"/>
      <c s="125" r="AA371"/>
      <c s="125" r="AB371"/>
      <c s="761" r="AC371"/>
      <c s="341" r="AD371"/>
    </row>
    <row r="372">
      <c s="125" r="A372"/>
      <c s="125" r="B372"/>
      <c s="125" r="C372"/>
      <c s="125" r="D372"/>
      <c s="125" r="E372"/>
      <c s="125" r="F372"/>
      <c s="125" r="G372"/>
      <c s="125" r="H372"/>
      <c s="125" r="I372"/>
      <c s="125" r="J372"/>
      <c s="125" r="K372"/>
      <c s="125" r="L372"/>
      <c s="125" r="M372"/>
      <c s="125" r="N372"/>
      <c s="125" r="O372"/>
      <c s="125" r="P372"/>
      <c s="125" r="Q372"/>
      <c s="125" r="R372"/>
      <c s="125" r="S372"/>
      <c s="125" r="T372"/>
      <c s="125" r="U372"/>
      <c s="125" r="V372"/>
      <c s="125" r="W372"/>
      <c s="125" r="X372"/>
      <c s="125" r="Y372"/>
      <c s="642" r="Z372"/>
      <c s="125" r="AA372"/>
      <c s="125" r="AB372"/>
      <c s="761" r="AC372"/>
      <c s="341" r="AD372"/>
    </row>
    <row r="373">
      <c s="125" r="A373"/>
      <c s="125" r="B373"/>
      <c s="125" r="C373"/>
      <c s="125" r="D373"/>
      <c s="125" r="E373"/>
      <c s="125" r="F373"/>
      <c s="125" r="G373"/>
      <c s="125" r="H373"/>
      <c s="125" r="I373"/>
      <c s="125" r="J373"/>
      <c s="125" r="K373"/>
      <c s="125" r="L373"/>
      <c s="125" r="M373"/>
      <c s="125" r="N373"/>
      <c s="125" r="O373"/>
      <c s="125" r="P373"/>
      <c s="125" r="Q373"/>
      <c s="125" r="R373"/>
      <c s="125" r="S373"/>
      <c s="125" r="T373"/>
      <c s="125" r="U373"/>
      <c s="125" r="V373"/>
      <c s="125" r="W373"/>
      <c s="125" r="X373"/>
      <c s="125" r="Y373"/>
      <c s="642" r="Z373"/>
      <c s="125" r="AA373"/>
      <c s="125" r="AB373"/>
      <c s="761" r="AC373"/>
      <c s="341" r="AD373"/>
    </row>
    <row r="374">
      <c s="125" r="A374"/>
      <c s="125" r="B374"/>
      <c s="125" r="C374"/>
      <c s="125" r="D374"/>
      <c s="125" r="E374"/>
      <c s="125" r="F374"/>
      <c s="125" r="G374"/>
      <c s="125" r="H374"/>
      <c s="125" r="I374"/>
      <c s="125" r="J374"/>
      <c s="125" r="K374"/>
      <c s="125" r="L374"/>
      <c s="125" r="M374"/>
      <c s="125" r="N374"/>
      <c s="125" r="O374"/>
      <c s="125" r="P374"/>
      <c s="125" r="Q374"/>
      <c s="125" r="R374"/>
      <c s="125" r="S374"/>
      <c s="125" r="T374"/>
      <c s="125" r="U374"/>
      <c s="125" r="V374"/>
      <c s="125" r="W374"/>
      <c s="125" r="X374"/>
      <c s="125" r="Y374"/>
      <c s="642" r="Z374"/>
      <c s="125" r="AA374"/>
      <c s="125" r="AB374"/>
      <c s="761" r="AC374"/>
      <c s="341" r="AD374"/>
    </row>
    <row r="375">
      <c s="125" r="A375"/>
      <c s="125" r="B375"/>
      <c s="125" r="C375"/>
      <c s="125" r="D375"/>
      <c s="125" r="E375"/>
      <c s="125" r="F375"/>
      <c s="125" r="G375"/>
      <c s="125" r="H375"/>
      <c s="125" r="I375"/>
      <c s="125" r="J375"/>
      <c s="125" r="K375"/>
      <c s="125" r="L375"/>
      <c s="125" r="M375"/>
      <c s="125" r="N375"/>
      <c s="125" r="O375"/>
      <c s="125" r="P375"/>
      <c s="125" r="Q375"/>
      <c s="125" r="R375"/>
      <c s="125" r="S375"/>
      <c s="125" r="T375"/>
      <c s="125" r="U375"/>
      <c s="125" r="V375"/>
      <c s="125" r="W375"/>
      <c s="125" r="X375"/>
      <c s="125" r="Y375"/>
      <c s="642" r="Z375"/>
      <c s="433" r="AA375"/>
      <c s="125" r="AB375"/>
      <c s="761" r="AC375"/>
      <c s="341" r="AD375"/>
    </row>
    <row r="376">
      <c s="125" r="A376"/>
      <c s="125" r="B376"/>
      <c s="125" r="C376"/>
      <c s="125" r="D376"/>
      <c s="125" r="E376"/>
      <c s="125" r="F376"/>
      <c s="125" r="G376"/>
      <c s="125" r="H376"/>
      <c s="125" r="I376"/>
      <c s="125" r="J376"/>
      <c s="125" r="K376"/>
      <c s="125" r="L376"/>
      <c s="125" r="M376"/>
      <c s="125" r="N376"/>
      <c s="125" r="O376"/>
      <c s="125" r="P376"/>
      <c s="125" r="Q376"/>
      <c s="125" r="R376"/>
      <c s="125" r="S376"/>
      <c s="125" r="T376"/>
      <c s="125" r="U376"/>
      <c s="125" r="V376"/>
      <c s="125" r="W376"/>
      <c s="125" r="X376"/>
      <c s="125" r="Y376"/>
      <c s="642" r="Z376"/>
      <c s="125" r="AA376"/>
      <c s="125" r="AB376"/>
      <c s="761" r="AC376"/>
      <c s="341" r="AD376"/>
    </row>
    <row r="377">
      <c s="125" r="A377"/>
      <c s="125" r="B377"/>
      <c s="125" r="C377"/>
      <c s="125" r="D377"/>
      <c s="125" r="E377"/>
      <c s="125" r="F377"/>
      <c s="125" r="G377"/>
      <c s="125" r="H377"/>
      <c s="125" r="I377"/>
      <c s="125" r="J377"/>
      <c s="125" r="K377"/>
      <c s="125" r="L377"/>
      <c s="125" r="M377"/>
      <c s="125" r="N377"/>
      <c s="125" r="O377"/>
      <c s="125" r="P377"/>
      <c s="125" r="Q377"/>
      <c s="125" r="R377"/>
      <c s="125" r="S377"/>
      <c s="125" r="T377"/>
      <c s="125" r="U377"/>
      <c s="125" r="V377"/>
      <c s="125" r="W377"/>
      <c s="125" r="X377"/>
      <c s="125" r="Y377"/>
      <c s="642" r="Z377"/>
      <c s="433" r="AA377"/>
      <c s="125" r="AB377"/>
      <c s="761" r="AC377"/>
      <c s="341" r="AD377"/>
    </row>
    <row r="378">
      <c s="125" r="A378"/>
      <c s="125" r="B378"/>
      <c s="125" r="C378"/>
      <c s="125" r="D378"/>
      <c s="125" r="E378"/>
      <c s="125" r="F378"/>
      <c s="125" r="G378"/>
      <c s="125" r="H378"/>
      <c s="125" r="I378"/>
      <c s="125" r="J378"/>
      <c s="125" r="K378"/>
      <c s="125" r="L378"/>
      <c s="125" r="M378"/>
      <c s="125" r="N378"/>
      <c s="125" r="O378"/>
      <c s="125" r="P378"/>
      <c s="125" r="Q378"/>
      <c s="125" r="R378"/>
      <c s="125" r="S378"/>
      <c s="125" r="T378"/>
      <c s="125" r="U378"/>
      <c s="125" r="V378"/>
      <c s="125" r="W378"/>
      <c s="125" r="X378"/>
      <c s="125" r="Y378"/>
      <c s="642" r="Z378"/>
      <c s="125" r="AA378"/>
      <c s="125" r="AB378"/>
      <c s="761" r="AC378"/>
      <c s="341" r="AD378"/>
    </row>
    <row r="379">
      <c s="125" r="A379"/>
      <c s="125" r="B379"/>
      <c s="125" r="C379"/>
      <c s="125" r="D379"/>
      <c s="125" r="E379"/>
      <c s="125" r="F379"/>
      <c s="125" r="G379"/>
      <c s="125" r="H379"/>
      <c s="125" r="I379"/>
      <c s="125" r="J379"/>
      <c s="125" r="K379"/>
      <c s="125" r="L379"/>
      <c s="125" r="M379"/>
      <c s="125" r="N379"/>
      <c s="125" r="O379"/>
      <c s="125" r="P379"/>
      <c s="125" r="Q379"/>
      <c s="125" r="R379"/>
      <c s="125" r="S379"/>
      <c s="125" r="T379"/>
      <c s="125" r="U379"/>
      <c s="125" r="V379"/>
      <c s="125" r="W379"/>
      <c s="125" r="X379"/>
      <c s="125" r="Y379"/>
      <c s="642" r="Z379"/>
      <c s="125" r="AA379"/>
      <c s="125" r="AB379"/>
      <c s="761" r="AC379"/>
      <c s="341" r="AD379"/>
    </row>
    <row r="380">
      <c s="125" r="A380"/>
      <c s="125" r="B380"/>
      <c s="125" r="C380"/>
      <c s="125" r="D380"/>
      <c s="125" r="E380"/>
      <c s="125" r="F380"/>
      <c s="125" r="G380"/>
      <c s="125" r="H380"/>
      <c s="125" r="I380"/>
      <c s="125" r="J380"/>
      <c s="125" r="K380"/>
      <c s="125" r="L380"/>
      <c s="125" r="M380"/>
      <c s="125" r="N380"/>
      <c s="125" r="O380"/>
      <c s="125" r="P380"/>
      <c s="125" r="Q380"/>
      <c s="125" r="R380"/>
      <c s="125" r="S380"/>
      <c s="125" r="T380"/>
      <c s="125" r="U380"/>
      <c s="125" r="V380"/>
      <c s="125" r="W380"/>
      <c s="125" r="X380"/>
      <c s="125" r="Y380"/>
      <c s="642" r="Z380"/>
      <c s="125" r="AA380"/>
      <c s="125" r="AB380"/>
      <c s="761" r="AC380"/>
      <c s="341" r="AD380"/>
    </row>
    <row r="381">
      <c s="125" r="A381"/>
      <c s="125" r="B381"/>
      <c s="125" r="C381"/>
      <c s="125" r="D381"/>
      <c s="125" r="E381"/>
      <c s="125" r="F381"/>
      <c s="125" r="G381"/>
      <c s="125" r="H381"/>
      <c s="125" r="I381"/>
      <c s="125" r="J381"/>
      <c s="125" r="K381"/>
      <c s="125" r="L381"/>
      <c s="125" r="M381"/>
      <c s="125" r="N381"/>
      <c s="125" r="O381"/>
      <c s="125" r="P381"/>
      <c s="125" r="Q381"/>
      <c s="125" r="R381"/>
      <c s="125" r="S381"/>
      <c s="125" r="T381"/>
      <c s="125" r="U381"/>
      <c s="125" r="V381"/>
      <c s="125" r="W381"/>
      <c s="125" r="X381"/>
      <c s="125" r="Y381"/>
      <c s="642" r="Z381"/>
      <c s="125" r="AA381"/>
      <c s="125" r="AB381"/>
      <c s="761" r="AC381"/>
      <c s="341" r="AD381"/>
    </row>
    <row r="382">
      <c s="125" r="A382"/>
      <c s="125" r="B382"/>
      <c s="125" r="C382"/>
      <c s="125" r="D382"/>
      <c s="125" r="E382"/>
      <c s="125" r="F382"/>
      <c s="125" r="G382"/>
      <c s="125" r="H382"/>
      <c s="125" r="I382"/>
      <c s="125" r="J382"/>
      <c s="125" r="K382"/>
      <c s="125" r="L382"/>
      <c s="125" r="M382"/>
      <c s="125" r="N382"/>
      <c s="125" r="O382"/>
      <c s="125" r="P382"/>
      <c s="125" r="Q382"/>
      <c s="125" r="R382"/>
      <c s="125" r="S382"/>
      <c s="125" r="T382"/>
      <c s="125" r="U382"/>
      <c s="125" r="V382"/>
      <c s="125" r="W382"/>
      <c s="125" r="X382"/>
      <c s="125" r="Y382"/>
      <c s="642" r="Z382"/>
      <c s="125" r="AA382"/>
      <c s="125" r="AB382"/>
      <c s="761" r="AC382"/>
      <c s="341" r="AD382"/>
    </row>
    <row r="383">
      <c s="125" r="A383"/>
      <c s="125" r="B383"/>
      <c s="125" r="C383"/>
      <c s="125" r="D383"/>
      <c s="125" r="E383"/>
      <c s="125" r="F383"/>
      <c s="125" r="G383"/>
      <c s="125" r="H383"/>
      <c s="125" r="I383"/>
      <c s="125" r="J383"/>
      <c s="125" r="K383"/>
      <c s="125" r="L383"/>
      <c s="125" r="M383"/>
      <c s="125" r="N383"/>
      <c s="125" r="O383"/>
      <c s="125" r="P383"/>
      <c s="125" r="Q383"/>
      <c s="125" r="R383"/>
      <c s="125" r="S383"/>
      <c s="125" r="T383"/>
      <c s="125" r="U383"/>
      <c s="125" r="V383"/>
      <c s="125" r="W383"/>
      <c s="125" r="X383"/>
      <c s="125" r="Y383"/>
      <c s="642" r="Z383"/>
      <c s="125" r="AA383"/>
      <c s="125" r="AB383"/>
      <c s="761" r="AC383"/>
      <c s="341" r="AD383"/>
    </row>
    <row r="384">
      <c s="125" r="A384"/>
      <c s="125" r="B384"/>
      <c s="125" r="C384"/>
      <c s="125" r="D384"/>
      <c s="125" r="E384"/>
      <c s="125" r="F384"/>
      <c s="125" r="G384"/>
      <c s="125" r="H384"/>
      <c s="125" r="I384"/>
      <c s="125" r="J384"/>
      <c s="125" r="K384"/>
      <c s="125" r="L384"/>
      <c s="125" r="M384"/>
      <c s="125" r="N384"/>
      <c s="125" r="O384"/>
      <c s="125" r="P384"/>
      <c s="125" r="Q384"/>
      <c s="125" r="R384"/>
      <c s="125" r="S384"/>
      <c s="125" r="T384"/>
      <c s="125" r="U384"/>
      <c s="125" r="V384"/>
      <c s="125" r="W384"/>
      <c s="125" r="X384"/>
      <c s="125" r="Y384"/>
      <c s="642" r="Z384"/>
      <c s="125" r="AA384"/>
      <c s="125" r="AB384"/>
      <c s="761" r="AC384"/>
      <c s="341" r="AD384"/>
    </row>
    <row r="385">
      <c s="125" r="A385"/>
      <c s="125" r="B385"/>
      <c s="125" r="C385"/>
      <c s="125" r="D385"/>
      <c s="125" r="E385"/>
      <c s="125" r="F385"/>
      <c s="125" r="G385"/>
      <c s="125" r="H385"/>
      <c s="125" r="I385"/>
      <c s="125" r="J385"/>
      <c s="125" r="K385"/>
      <c s="125" r="L385"/>
      <c s="125" r="M385"/>
      <c s="125" r="N385"/>
      <c s="125" r="O385"/>
      <c s="125" r="P385"/>
      <c s="125" r="Q385"/>
      <c s="125" r="R385"/>
      <c s="125" r="S385"/>
      <c s="125" r="T385"/>
      <c s="125" r="U385"/>
      <c s="125" r="V385"/>
      <c s="125" r="W385"/>
      <c s="125" r="X385"/>
      <c s="125" r="Y385"/>
      <c s="642" r="Z385"/>
      <c s="125" r="AA385"/>
      <c s="125" r="AB385"/>
      <c s="761" r="AC385"/>
      <c s="341" r="AD385"/>
    </row>
    <row r="386">
      <c s="125" r="A386"/>
      <c s="125" r="B386"/>
      <c s="125" r="C386"/>
      <c s="125" r="D386"/>
      <c s="125" r="E386"/>
      <c s="125" r="F386"/>
      <c s="125" r="G386"/>
      <c s="125" r="H386"/>
      <c s="125" r="I386"/>
      <c s="125" r="J386"/>
      <c s="125" r="K386"/>
      <c s="125" r="L386"/>
      <c s="125" r="M386"/>
      <c s="125" r="N386"/>
      <c s="125" r="O386"/>
      <c s="125" r="P386"/>
      <c s="125" r="Q386"/>
      <c s="125" r="R386"/>
      <c s="125" r="S386"/>
      <c s="125" r="T386"/>
      <c s="125" r="U386"/>
      <c s="125" r="V386"/>
      <c s="125" r="W386"/>
      <c s="125" r="X386"/>
      <c s="125" r="Y386"/>
      <c s="642" r="Z386"/>
      <c s="125" r="AA386"/>
      <c s="125" r="AB386"/>
      <c s="761" r="AC386"/>
      <c s="341" r="AD386"/>
    </row>
    <row r="387">
      <c s="125" r="A387"/>
      <c s="125" r="B387"/>
      <c s="125" r="C387"/>
      <c s="125" r="D387"/>
      <c s="125" r="E387"/>
      <c s="125" r="F387"/>
      <c s="125" r="G387"/>
      <c s="125" r="H387"/>
      <c s="125" r="I387"/>
      <c s="125" r="J387"/>
      <c s="125" r="K387"/>
      <c s="125" r="L387"/>
      <c s="125" r="M387"/>
      <c s="125" r="N387"/>
      <c s="125" r="O387"/>
      <c s="125" r="P387"/>
      <c s="125" r="Q387"/>
      <c s="125" r="R387"/>
      <c s="125" r="S387"/>
      <c s="125" r="T387"/>
      <c s="125" r="U387"/>
      <c s="125" r="V387"/>
      <c s="125" r="W387"/>
      <c s="125" r="X387"/>
      <c s="125" r="Y387"/>
      <c s="642" r="Z387"/>
      <c s="125" r="AA387"/>
      <c s="125" r="AB387"/>
      <c s="761" r="AC387"/>
      <c s="341" r="AD387"/>
    </row>
    <row r="388">
      <c s="125" r="A388"/>
      <c s="125" r="B388"/>
      <c s="125" r="C388"/>
      <c s="125" r="D388"/>
      <c s="125" r="E388"/>
      <c s="125" r="F388"/>
      <c s="125" r="G388"/>
      <c s="125" r="H388"/>
      <c s="125" r="I388"/>
      <c s="125" r="J388"/>
      <c s="125" r="K388"/>
      <c s="125" r="L388"/>
      <c s="125" r="M388"/>
      <c s="125" r="N388"/>
      <c s="125" r="O388"/>
      <c s="125" r="P388"/>
      <c s="125" r="Q388"/>
      <c s="125" r="R388"/>
      <c s="125" r="S388"/>
      <c s="125" r="T388"/>
      <c s="125" r="U388"/>
      <c s="125" r="V388"/>
      <c s="125" r="W388"/>
      <c s="125" r="X388"/>
      <c s="125" r="Y388"/>
      <c s="642" r="Z388"/>
      <c s="125" r="AA388"/>
      <c s="125" r="AB388"/>
      <c s="761" r="AC388"/>
      <c s="341" r="AD388"/>
    </row>
    <row r="389">
      <c s="125" r="A389"/>
      <c s="125" r="B389"/>
      <c s="125" r="C389"/>
      <c s="125" r="D389"/>
      <c s="125" r="E389"/>
      <c s="125" r="F389"/>
      <c s="125" r="G389"/>
      <c s="125" r="H389"/>
      <c s="125" r="I389"/>
      <c s="125" r="J389"/>
      <c s="125" r="K389"/>
      <c s="125" r="L389"/>
      <c s="125" r="M389"/>
      <c s="125" r="N389"/>
      <c s="125" r="O389"/>
      <c s="125" r="P389"/>
      <c s="125" r="Q389"/>
      <c s="125" r="R389"/>
      <c s="125" r="S389"/>
      <c s="125" r="T389"/>
      <c s="125" r="U389"/>
      <c s="125" r="V389"/>
      <c s="125" r="W389"/>
      <c s="125" r="X389"/>
      <c s="125" r="Y389"/>
      <c s="642" r="Z389"/>
      <c s="125" r="AA389"/>
      <c s="125" r="AB389"/>
      <c s="761" r="AC389"/>
      <c s="341" r="AD389"/>
    </row>
    <row r="390">
      <c s="125" r="A390"/>
      <c s="125" r="B390"/>
      <c s="125" r="C390"/>
      <c s="125" r="D390"/>
      <c s="125" r="E390"/>
      <c s="125" r="F390"/>
      <c s="125" r="G390"/>
      <c s="125" r="H390"/>
      <c s="125" r="I390"/>
      <c s="125" r="J390"/>
      <c s="125" r="K390"/>
      <c s="125" r="L390"/>
      <c s="125" r="M390"/>
      <c s="125" r="N390"/>
      <c s="125" r="O390"/>
      <c s="125" r="P390"/>
      <c s="125" r="Q390"/>
      <c s="125" r="R390"/>
      <c s="125" r="S390"/>
      <c s="125" r="T390"/>
      <c s="125" r="U390"/>
      <c s="125" r="V390"/>
      <c s="125" r="W390"/>
      <c s="125" r="X390"/>
      <c s="125" r="Y390"/>
      <c s="642" r="Z390"/>
      <c s="125" r="AA390"/>
      <c s="125" r="AB390"/>
      <c s="761" r="AC390"/>
      <c s="341" r="AD390"/>
    </row>
    <row r="391">
      <c s="125" r="A391"/>
      <c s="125" r="B391"/>
      <c s="125" r="C391"/>
      <c s="125" r="D391"/>
      <c s="125" r="E391"/>
      <c s="125" r="F391"/>
      <c s="125" r="G391"/>
      <c s="125" r="H391"/>
      <c s="125" r="I391"/>
      <c s="125" r="J391"/>
      <c s="125" r="K391"/>
      <c s="125" r="L391"/>
      <c s="125" r="M391"/>
      <c s="125" r="N391"/>
      <c s="125" r="O391"/>
      <c s="125" r="P391"/>
      <c s="125" r="Q391"/>
      <c s="125" r="R391"/>
      <c s="125" r="S391"/>
      <c s="125" r="T391"/>
      <c s="125" r="U391"/>
      <c s="125" r="V391"/>
      <c s="125" r="W391"/>
      <c s="125" r="X391"/>
      <c s="125" r="Y391"/>
      <c s="642" r="Z391"/>
      <c s="125" r="AA391"/>
      <c s="125" r="AB391"/>
      <c s="761" r="AC391"/>
      <c s="341" r="AD391"/>
    </row>
    <row r="392">
      <c s="125" r="A392"/>
      <c s="125" r="B392"/>
      <c s="125" r="C392"/>
      <c s="125" r="D392"/>
      <c s="125" r="E392"/>
      <c s="125" r="F392"/>
      <c s="125" r="G392"/>
      <c s="125" r="H392"/>
      <c s="125" r="I392"/>
      <c s="125" r="J392"/>
      <c s="125" r="K392"/>
      <c s="125" r="L392"/>
      <c s="125" r="M392"/>
      <c s="125" r="N392"/>
      <c s="125" r="O392"/>
      <c s="125" r="P392"/>
      <c s="125" r="Q392"/>
      <c s="125" r="R392"/>
      <c s="125" r="S392"/>
      <c s="125" r="T392"/>
      <c s="125" r="U392"/>
      <c s="125" r="V392"/>
      <c s="125" r="W392"/>
      <c s="125" r="X392"/>
      <c s="125" r="Y392"/>
      <c s="642" r="Z392"/>
      <c s="125" r="AA392"/>
      <c s="125" r="AB392"/>
      <c s="761" r="AC392"/>
      <c s="341" r="AD392"/>
    </row>
    <row r="393">
      <c s="125" r="A393"/>
      <c s="125" r="B393"/>
      <c s="125" r="C393"/>
      <c s="125" r="D393"/>
      <c s="125" r="E393"/>
      <c s="125" r="F393"/>
      <c s="125" r="G393"/>
      <c s="125" r="H393"/>
      <c s="125" r="I393"/>
      <c s="125" r="J393"/>
      <c s="125" r="K393"/>
      <c s="125" r="L393"/>
      <c s="125" r="M393"/>
      <c s="125" r="N393"/>
      <c s="125" r="O393"/>
      <c s="125" r="P393"/>
      <c s="125" r="Q393"/>
      <c s="125" r="R393"/>
      <c s="125" r="S393"/>
      <c s="125" r="T393"/>
      <c s="125" r="U393"/>
      <c s="125" r="V393"/>
      <c s="125" r="W393"/>
      <c s="125" r="X393"/>
      <c s="125" r="Y393"/>
      <c s="642" r="Z393"/>
      <c s="125" r="AA393"/>
      <c s="125" r="AB393"/>
      <c s="761" r="AC393"/>
      <c s="341" r="AD393"/>
    </row>
    <row r="394">
      <c s="125" r="A394"/>
      <c s="125" r="B394"/>
      <c s="125" r="C394"/>
      <c s="125" r="D394"/>
      <c s="125" r="E394"/>
      <c s="125" r="F394"/>
      <c s="125" r="G394"/>
      <c s="125" r="H394"/>
      <c s="125" r="I394"/>
      <c s="125" r="J394"/>
      <c s="125" r="K394"/>
      <c s="125" r="L394"/>
      <c s="125" r="M394"/>
      <c s="125" r="N394"/>
      <c s="125" r="O394"/>
      <c s="125" r="P394"/>
      <c s="125" r="Q394"/>
      <c s="125" r="R394"/>
      <c s="125" r="S394"/>
      <c s="125" r="T394"/>
      <c s="125" r="U394"/>
      <c s="125" r="V394"/>
      <c s="125" r="W394"/>
      <c s="125" r="X394"/>
      <c s="125" r="Y394"/>
      <c s="642" r="Z394"/>
      <c s="125" r="AA394"/>
      <c s="125" r="AB394"/>
      <c s="761" r="AC394"/>
      <c s="341" r="AD394"/>
    </row>
    <row r="395">
      <c s="125" r="A395"/>
      <c s="125" r="B395"/>
      <c s="125" r="C395"/>
      <c s="125" r="D395"/>
      <c s="125" r="E395"/>
      <c s="125" r="F395"/>
      <c s="125" r="G395"/>
      <c s="125" r="H395"/>
      <c s="125" r="I395"/>
      <c s="125" r="J395"/>
      <c s="125" r="K395"/>
      <c s="125" r="L395"/>
      <c s="125" r="M395"/>
      <c s="125" r="N395"/>
      <c s="125" r="O395"/>
      <c s="125" r="P395"/>
      <c s="125" r="Q395"/>
      <c s="125" r="R395"/>
      <c s="125" r="S395"/>
      <c s="125" r="T395"/>
      <c s="125" r="U395"/>
      <c s="125" r="V395"/>
      <c s="125" r="W395"/>
      <c s="125" r="X395"/>
      <c s="125" r="Y395"/>
      <c s="642" r="Z395"/>
      <c s="125" r="AA395"/>
      <c s="125" r="AB395"/>
      <c s="761" r="AC395"/>
      <c s="341" r="AD395"/>
    </row>
    <row r="396">
      <c s="125" r="A396"/>
      <c s="125" r="B396"/>
      <c s="125" r="C396"/>
      <c s="125" r="D396"/>
      <c s="125" r="E396"/>
      <c s="125" r="F396"/>
      <c s="125" r="G396"/>
      <c s="125" r="H396"/>
      <c s="125" r="I396"/>
      <c s="125" r="J396"/>
      <c s="125" r="K396"/>
      <c s="125" r="L396"/>
      <c s="125" r="M396"/>
      <c s="125" r="N396"/>
      <c s="125" r="O396"/>
      <c s="125" r="P396"/>
      <c s="125" r="Q396"/>
      <c s="125" r="R396"/>
      <c s="125" r="S396"/>
      <c s="125" r="T396"/>
      <c s="125" r="U396"/>
      <c s="125" r="V396"/>
      <c s="125" r="W396"/>
      <c s="125" r="X396"/>
      <c s="125" r="Y396"/>
      <c s="642" r="Z396"/>
      <c s="125" r="AA396"/>
      <c s="125" r="AB396"/>
      <c s="761" r="AC396"/>
      <c s="341" r="AD396"/>
    </row>
    <row r="397">
      <c s="125" r="A397"/>
      <c s="125" r="B397"/>
      <c s="125" r="C397"/>
      <c s="125" r="D397"/>
      <c s="125" r="E397"/>
      <c s="125" r="F397"/>
      <c s="125" r="G397"/>
      <c s="125" r="H397"/>
      <c s="125" r="I397"/>
      <c s="125" r="J397"/>
      <c s="125" r="K397"/>
      <c s="125" r="L397"/>
      <c s="125" r="M397"/>
      <c s="125" r="N397"/>
      <c s="125" r="O397"/>
      <c s="125" r="P397"/>
      <c s="125" r="Q397"/>
      <c s="125" r="R397"/>
      <c s="125" r="S397"/>
      <c s="125" r="T397"/>
      <c s="125" r="U397"/>
      <c s="125" r="V397"/>
      <c s="125" r="W397"/>
      <c s="125" r="X397"/>
      <c s="125" r="Y397"/>
      <c s="642" r="Z397"/>
      <c s="125" r="AA397"/>
      <c s="125" r="AB397"/>
      <c s="761" r="AC397"/>
      <c s="341" r="AD397"/>
    </row>
    <row r="398">
      <c s="125" r="A398"/>
      <c s="125" r="B398"/>
      <c s="125" r="C398"/>
      <c s="125" r="D398"/>
      <c s="125" r="E398"/>
      <c s="125" r="F398"/>
      <c s="125" r="G398"/>
      <c s="125" r="H398"/>
      <c s="125" r="I398"/>
      <c s="125" r="J398"/>
      <c s="125" r="K398"/>
      <c s="125" r="L398"/>
      <c s="125" r="M398"/>
      <c s="125" r="N398"/>
      <c s="125" r="O398"/>
      <c s="125" r="P398"/>
      <c s="125" r="Q398"/>
      <c s="125" r="R398"/>
      <c s="125" r="S398"/>
      <c s="125" r="T398"/>
      <c s="125" r="U398"/>
      <c s="125" r="V398"/>
      <c s="125" r="W398"/>
      <c s="125" r="X398"/>
      <c s="125" r="Y398"/>
      <c s="642" r="Z398"/>
      <c s="125" r="AA398"/>
      <c s="125" r="AB398"/>
      <c s="761" r="AC398"/>
      <c s="341" r="AD398"/>
    </row>
    <row r="399">
      <c s="125" r="A399"/>
      <c s="125" r="B399"/>
      <c s="125" r="C399"/>
      <c s="125" r="D399"/>
      <c s="125" r="E399"/>
      <c s="125" r="F399"/>
      <c s="125" r="G399"/>
      <c s="125" r="H399"/>
      <c s="125" r="I399"/>
      <c s="125" r="J399"/>
      <c s="125" r="K399"/>
      <c s="125" r="L399"/>
      <c s="125" r="M399"/>
      <c s="125" r="N399"/>
      <c s="125" r="O399"/>
      <c s="125" r="P399"/>
      <c s="125" r="Q399"/>
      <c s="125" r="R399"/>
      <c s="125" r="S399"/>
      <c s="125" r="T399"/>
      <c s="125" r="U399"/>
      <c s="125" r="V399"/>
      <c s="125" r="W399"/>
      <c s="125" r="X399"/>
      <c s="125" r="Y399"/>
      <c s="642" r="Z399"/>
      <c s="125" r="AA399"/>
      <c s="125" r="AB399"/>
      <c s="761" r="AC399"/>
      <c s="341" r="AD399"/>
    </row>
    <row r="400">
      <c s="125" r="A400"/>
      <c s="125" r="B400"/>
      <c s="125" r="C400"/>
      <c s="125" r="D400"/>
      <c s="125" r="E400"/>
      <c s="125" r="F400"/>
      <c s="125" r="G400"/>
      <c s="125" r="H400"/>
      <c s="125" r="I400"/>
      <c s="125" r="J400"/>
      <c s="125" r="K400"/>
      <c s="125" r="L400"/>
      <c s="125" r="M400"/>
      <c s="125" r="N400"/>
      <c s="125" r="O400"/>
      <c s="125" r="P400"/>
      <c s="125" r="Q400"/>
      <c s="125" r="R400"/>
      <c s="125" r="S400"/>
      <c s="125" r="T400"/>
      <c s="125" r="U400"/>
      <c s="125" r="V400"/>
      <c s="125" r="W400"/>
      <c s="125" r="X400"/>
      <c s="125" r="Y400"/>
      <c s="642" r="Z400"/>
      <c s="125" r="AA400"/>
      <c s="125" r="AB400"/>
      <c s="761" r="AC400"/>
      <c s="341" r="AD400"/>
    </row>
    <row r="401">
      <c s="125" r="A401"/>
      <c s="125" r="B401"/>
      <c s="125" r="C401"/>
      <c s="125" r="D401"/>
      <c s="125" r="E401"/>
      <c s="125" r="F401"/>
      <c s="125" r="G401"/>
      <c s="125" r="H401"/>
      <c s="125" r="I401"/>
      <c s="125" r="J401"/>
      <c s="125" r="K401"/>
      <c s="125" r="L401"/>
      <c s="125" r="M401"/>
      <c s="125" r="N401"/>
      <c s="125" r="O401"/>
      <c s="125" r="P401"/>
      <c s="125" r="Q401"/>
      <c s="125" r="R401"/>
      <c s="125" r="S401"/>
      <c s="125" r="T401"/>
      <c s="125" r="U401"/>
      <c s="125" r="V401"/>
      <c s="125" r="W401"/>
      <c s="125" r="X401"/>
      <c s="125" r="Y401"/>
      <c s="642" r="Z401"/>
      <c s="761" r="AA401"/>
      <c s="125" r="AB401"/>
      <c s="761" r="AC401"/>
      <c s="341" r="AD401"/>
    </row>
    <row r="402">
      <c s="125" r="A402"/>
      <c s="125" r="B402"/>
      <c s="125" r="C402"/>
      <c s="125" r="D402"/>
      <c s="125" r="E402"/>
      <c s="125" r="F402"/>
      <c s="125" r="G402"/>
      <c s="125" r="H402"/>
      <c s="125" r="I402"/>
      <c s="125" r="J402"/>
      <c s="125" r="K402"/>
      <c s="125" r="L402"/>
      <c s="125" r="M402"/>
      <c s="125" r="N402"/>
      <c s="125" r="O402"/>
      <c s="125" r="P402"/>
      <c s="125" r="Q402"/>
      <c s="125" r="R402"/>
      <c s="125" r="S402"/>
      <c s="125" r="T402"/>
      <c s="125" r="U402"/>
      <c s="125" r="V402"/>
      <c s="125" r="W402"/>
      <c s="125" r="X402"/>
      <c s="125" r="Y402"/>
      <c s="642" r="Z402"/>
      <c s="125" r="AA402"/>
      <c s="125" r="AB402"/>
      <c s="761" r="AC402"/>
      <c s="341" r="AD402"/>
    </row>
    <row r="403">
      <c s="125" r="A403"/>
      <c s="125" r="B403"/>
      <c s="125" r="C403"/>
      <c s="125" r="D403"/>
      <c s="125" r="E403"/>
      <c s="125" r="F403"/>
      <c s="125" r="G403"/>
      <c s="125" r="H403"/>
      <c s="125" r="I403"/>
      <c s="125" r="J403"/>
      <c s="125" r="K403"/>
      <c s="125" r="L403"/>
      <c s="125" r="M403"/>
      <c s="125" r="N403"/>
      <c s="125" r="O403"/>
      <c s="125" r="P403"/>
      <c s="125" r="Q403"/>
      <c s="125" r="R403"/>
      <c s="125" r="S403"/>
      <c s="125" r="T403"/>
      <c s="125" r="U403"/>
      <c s="125" r="V403"/>
      <c s="125" r="W403"/>
      <c s="125" r="X403"/>
      <c s="125" r="Y403"/>
      <c s="642" r="Z403"/>
      <c s="125" r="AA403"/>
      <c s="125" r="AB403"/>
      <c s="761" r="AC403"/>
      <c s="341" r="AD403"/>
    </row>
    <row r="404">
      <c s="125" r="A404"/>
      <c s="125" r="B404"/>
      <c s="125" r="C404"/>
      <c s="125" r="D404"/>
      <c s="125" r="E404"/>
      <c s="125" r="F404"/>
      <c s="125" r="G404"/>
      <c s="125" r="H404"/>
      <c s="125" r="I404"/>
      <c s="125" r="J404"/>
      <c s="125" r="K404"/>
      <c s="125" r="L404"/>
      <c s="125" r="M404"/>
      <c s="125" r="N404"/>
      <c s="125" r="O404"/>
      <c s="125" r="P404"/>
      <c s="125" r="Q404"/>
      <c s="125" r="R404"/>
      <c s="125" r="S404"/>
      <c s="125" r="T404"/>
      <c s="125" r="U404"/>
      <c s="125" r="V404"/>
      <c s="125" r="W404"/>
      <c s="125" r="X404"/>
      <c s="125" r="Y404"/>
      <c s="642" r="Z404"/>
      <c s="125" r="AA404"/>
      <c s="125" r="AB404"/>
      <c s="761" r="AC404"/>
      <c s="341" r="AD404"/>
    </row>
    <row r="405">
      <c s="125" r="A405"/>
      <c s="125" r="B405"/>
      <c s="125" r="C405"/>
      <c s="125" r="D405"/>
      <c s="125" r="E405"/>
      <c s="125" r="F405"/>
      <c s="125" r="G405"/>
      <c s="125" r="H405"/>
      <c s="125" r="I405"/>
      <c s="125" r="J405"/>
      <c s="125" r="K405"/>
      <c s="125" r="L405"/>
      <c s="125" r="M405"/>
      <c s="125" r="N405"/>
      <c s="125" r="O405"/>
      <c s="125" r="P405"/>
      <c s="125" r="Q405"/>
      <c s="125" r="R405"/>
      <c s="125" r="S405"/>
      <c s="125" r="T405"/>
      <c s="125" r="U405"/>
      <c s="125" r="V405"/>
      <c s="125" r="W405"/>
      <c s="125" r="X405"/>
      <c s="125" r="Y405"/>
      <c s="642" r="Z405"/>
      <c s="125" r="AA405"/>
      <c s="125" r="AB405"/>
      <c s="761" r="AC405"/>
      <c s="341" r="AD405"/>
    </row>
    <row r="406">
      <c s="125" r="A406"/>
      <c s="125" r="B406"/>
      <c s="125" r="C406"/>
      <c s="125" r="D406"/>
      <c s="125" r="E406"/>
      <c s="125" r="F406"/>
      <c s="125" r="G406"/>
      <c s="125" r="H406"/>
      <c s="125" r="I406"/>
      <c s="125" r="J406"/>
      <c s="125" r="K406"/>
      <c s="125" r="L406"/>
      <c s="125" r="M406"/>
      <c s="125" r="N406"/>
      <c s="125" r="O406"/>
      <c s="125" r="P406"/>
      <c s="125" r="Q406"/>
      <c s="125" r="R406"/>
      <c s="125" r="S406"/>
      <c s="125" r="T406"/>
      <c s="125" r="U406"/>
      <c s="125" r="V406"/>
      <c s="125" r="W406"/>
      <c s="125" r="X406"/>
      <c s="125" r="Y406"/>
      <c s="642" r="Z406"/>
      <c s="125" r="AA406"/>
      <c s="125" r="AB406"/>
      <c s="761" r="AC406"/>
      <c s="341" r="AD406"/>
    </row>
    <row r="407">
      <c s="125" r="A407"/>
      <c s="125" r="B407"/>
      <c s="125" r="C407"/>
      <c s="125" r="D407"/>
      <c s="125" r="E407"/>
      <c s="125" r="F407"/>
      <c s="125" r="G407"/>
      <c s="125" r="H407"/>
      <c s="125" r="I407"/>
      <c s="125" r="J407"/>
      <c s="125" r="K407"/>
      <c s="125" r="L407"/>
      <c s="125" r="M407"/>
      <c s="125" r="N407"/>
      <c s="125" r="O407"/>
      <c s="125" r="P407"/>
      <c s="125" r="Q407"/>
      <c s="125" r="R407"/>
      <c s="125" r="S407"/>
      <c s="125" r="T407"/>
      <c s="125" r="U407"/>
      <c s="125" r="V407"/>
      <c s="125" r="W407"/>
      <c s="125" r="X407"/>
      <c s="125" r="Y407"/>
      <c s="642" r="Z407"/>
      <c s="125" r="AA407"/>
      <c s="125" r="AB407"/>
      <c s="761" r="AC407"/>
      <c s="341" r="AD407"/>
    </row>
    <row r="408">
      <c s="125" r="A408"/>
      <c s="125" r="B408"/>
      <c s="125" r="C408"/>
      <c s="125" r="D408"/>
      <c s="125" r="E408"/>
      <c s="125" r="F408"/>
      <c s="125" r="G408"/>
      <c s="125" r="H408"/>
      <c s="125" r="I408"/>
      <c s="125" r="J408"/>
      <c s="125" r="K408"/>
      <c s="125" r="L408"/>
      <c s="125" r="M408"/>
      <c s="125" r="N408"/>
      <c s="125" r="O408"/>
      <c s="125" r="P408"/>
      <c s="125" r="Q408"/>
      <c s="125" r="R408"/>
      <c s="125" r="S408"/>
      <c s="125" r="T408"/>
      <c s="125" r="U408"/>
      <c s="125" r="V408"/>
      <c s="125" r="W408"/>
      <c s="125" r="X408"/>
      <c s="125" r="Y408"/>
      <c s="642" r="Z408"/>
      <c s="125" r="AA408"/>
      <c s="125" r="AB408"/>
      <c s="761" r="AC408"/>
      <c s="341" r="AD408"/>
    </row>
    <row r="409">
      <c s="125" r="A409"/>
      <c s="125" r="B409"/>
      <c s="125" r="C409"/>
      <c s="125" r="D409"/>
      <c s="125" r="E409"/>
      <c s="125" r="F409"/>
      <c s="125" r="G409"/>
      <c s="125" r="H409"/>
      <c s="125" r="I409"/>
      <c s="125" r="J409"/>
      <c s="125" r="K409"/>
      <c s="125" r="L409"/>
      <c s="125" r="M409"/>
      <c s="125" r="N409"/>
      <c s="125" r="O409"/>
      <c s="125" r="P409"/>
      <c s="125" r="Q409"/>
      <c s="125" r="R409"/>
      <c s="125" r="S409"/>
      <c s="125" r="T409"/>
      <c s="125" r="U409"/>
      <c s="125" r="V409"/>
      <c s="125" r="W409"/>
      <c s="125" r="X409"/>
      <c s="125" r="Y409"/>
      <c s="642" r="Z409"/>
      <c s="125" r="AA409"/>
      <c s="125" r="AB409"/>
      <c s="761" r="AC409"/>
      <c s="341" r="AD409"/>
    </row>
    <row r="410">
      <c s="125" r="A410"/>
      <c s="125" r="B410"/>
      <c s="125" r="C410"/>
      <c s="125" r="D410"/>
      <c s="125" r="E410"/>
      <c s="125" r="F410"/>
      <c s="125" r="G410"/>
      <c s="125" r="H410"/>
      <c s="125" r="I410"/>
      <c s="125" r="J410"/>
      <c s="125" r="K410"/>
      <c s="125" r="L410"/>
      <c s="125" r="M410"/>
      <c s="125" r="N410"/>
      <c s="125" r="O410"/>
      <c s="125" r="P410"/>
      <c s="125" r="Q410"/>
      <c s="125" r="R410"/>
      <c s="125" r="S410"/>
      <c s="125" r="T410"/>
      <c s="125" r="U410"/>
      <c s="125" r="V410"/>
      <c s="125" r="W410"/>
      <c s="125" r="X410"/>
      <c s="125" r="Y410"/>
      <c s="642" r="Z410"/>
      <c s="125" r="AA410"/>
      <c s="125" r="AB410"/>
      <c s="761" r="AC410"/>
      <c s="341" r="AD410"/>
    </row>
    <row r="411">
      <c s="125" r="A411"/>
      <c s="125" r="B411"/>
      <c s="125" r="C411"/>
      <c s="125" r="D411"/>
      <c s="125" r="E411"/>
      <c s="125" r="F411"/>
      <c s="125" r="G411"/>
      <c s="125" r="H411"/>
      <c s="125" r="I411"/>
      <c s="125" r="J411"/>
      <c s="125" r="K411"/>
      <c s="125" r="L411"/>
      <c s="125" r="M411"/>
      <c s="125" r="N411"/>
      <c s="125" r="O411"/>
      <c s="125" r="P411"/>
      <c s="125" r="Q411"/>
      <c s="125" r="R411"/>
      <c s="125" r="S411"/>
      <c s="125" r="T411"/>
      <c s="125" r="U411"/>
      <c s="125" r="V411"/>
      <c s="125" r="W411"/>
      <c s="125" r="X411"/>
      <c s="125" r="Y411"/>
      <c s="642" r="Z411"/>
      <c s="125" r="AA411"/>
      <c s="125" r="AB411"/>
      <c s="761" r="AC411"/>
      <c s="341" r="AD411"/>
    </row>
    <row r="412">
      <c s="125" r="A412"/>
      <c s="125" r="B412"/>
      <c s="125" r="C412"/>
      <c s="125" r="D412"/>
      <c s="125" r="E412"/>
      <c s="125" r="F412"/>
      <c s="125" r="G412"/>
      <c s="125" r="H412"/>
      <c s="125" r="I412"/>
      <c s="125" r="J412"/>
      <c s="125" r="K412"/>
      <c s="125" r="L412"/>
      <c s="125" r="M412"/>
      <c s="125" r="N412"/>
      <c s="125" r="O412"/>
      <c s="125" r="P412"/>
      <c s="125" r="Q412"/>
      <c s="125" r="R412"/>
      <c s="125" r="S412"/>
      <c s="125" r="T412"/>
      <c s="125" r="U412"/>
      <c s="125" r="V412"/>
      <c s="125" r="W412"/>
      <c s="125" r="X412"/>
      <c s="125" r="Y412"/>
      <c s="642" r="Z412"/>
      <c s="125" r="AA412"/>
      <c s="125" r="AB412"/>
      <c s="761" r="AC412"/>
      <c s="341" r="AD412"/>
    </row>
    <row r="413">
      <c s="125" r="A413"/>
      <c s="125" r="B413"/>
      <c s="125" r="C413"/>
      <c s="125" r="D413"/>
      <c s="125" r="E413"/>
      <c s="125" r="F413"/>
      <c s="125" r="G413"/>
      <c s="125" r="H413"/>
      <c s="125" r="I413"/>
      <c s="125" r="J413"/>
      <c s="125" r="K413"/>
      <c s="125" r="L413"/>
      <c s="125" r="M413"/>
      <c s="125" r="N413"/>
      <c s="125" r="O413"/>
      <c s="125" r="P413"/>
      <c s="125" r="Q413"/>
      <c s="125" r="R413"/>
      <c s="125" r="S413"/>
      <c s="125" r="T413"/>
      <c s="125" r="U413"/>
      <c s="125" r="V413"/>
      <c s="125" r="W413"/>
      <c s="125" r="X413"/>
      <c s="125" r="Y413"/>
      <c s="642" r="Z413"/>
      <c s="125" r="AA413"/>
      <c s="125" r="AB413"/>
      <c s="761" r="AC413"/>
      <c s="341" r="AD413"/>
    </row>
    <row r="414">
      <c s="125" r="A414"/>
      <c s="125" r="B414"/>
      <c s="125" r="C414"/>
      <c s="125" r="D414"/>
      <c s="125" r="E414"/>
      <c s="125" r="F414"/>
      <c s="125" r="G414"/>
      <c s="125" r="H414"/>
      <c s="125" r="I414"/>
      <c s="125" r="J414"/>
      <c s="125" r="K414"/>
      <c s="125" r="L414"/>
      <c s="125" r="M414"/>
      <c s="125" r="N414"/>
      <c s="125" r="O414"/>
      <c s="125" r="P414"/>
      <c s="125" r="Q414"/>
      <c s="125" r="R414"/>
      <c s="125" r="S414"/>
      <c s="125" r="T414"/>
      <c s="125" r="U414"/>
      <c s="125" r="V414"/>
      <c s="125" r="W414"/>
      <c s="125" r="X414"/>
      <c s="125" r="Y414"/>
      <c s="642" r="Z414"/>
      <c s="125" r="AA414"/>
      <c s="125" r="AB414"/>
      <c s="761" r="AC414"/>
      <c s="341" r="AD414"/>
    </row>
    <row r="415">
      <c s="125" r="A415"/>
      <c s="125" r="B415"/>
      <c s="125" r="C415"/>
      <c s="125" r="D415"/>
      <c s="125" r="E415"/>
      <c s="125" r="F415"/>
      <c s="125" r="G415"/>
      <c s="125" r="H415"/>
      <c s="125" r="I415"/>
      <c s="125" r="J415"/>
      <c s="125" r="K415"/>
      <c s="125" r="L415"/>
      <c s="125" r="M415"/>
      <c s="125" r="N415"/>
      <c s="125" r="O415"/>
      <c s="125" r="P415"/>
      <c s="125" r="Q415"/>
      <c s="125" r="R415"/>
      <c s="125" r="S415"/>
      <c s="125" r="T415"/>
      <c s="125" r="U415"/>
      <c s="125" r="V415"/>
      <c s="125" r="W415"/>
      <c s="125" r="X415"/>
      <c s="125" r="Y415"/>
      <c s="642" r="Z415"/>
      <c s="125" r="AA415"/>
      <c s="125" r="AB415"/>
      <c s="761" r="AC415"/>
      <c s="341" r="AD415"/>
    </row>
    <row r="416">
      <c s="125" r="A416"/>
      <c s="125" r="B416"/>
      <c s="125" r="C416"/>
      <c s="125" r="D416"/>
      <c s="125" r="E416"/>
      <c s="125" r="F416"/>
      <c s="125" r="G416"/>
      <c s="125" r="H416"/>
      <c s="125" r="I416"/>
      <c s="125" r="J416"/>
      <c s="125" r="K416"/>
      <c s="125" r="L416"/>
      <c s="125" r="M416"/>
      <c s="125" r="N416"/>
      <c s="125" r="O416"/>
      <c s="125" r="P416"/>
      <c s="125" r="Q416"/>
      <c s="125" r="R416"/>
      <c s="125" r="S416"/>
      <c s="125" r="T416"/>
      <c s="125" r="U416"/>
      <c s="125" r="V416"/>
      <c s="125" r="W416"/>
      <c s="125" r="X416"/>
      <c s="125" r="Y416"/>
      <c s="642" r="Z416"/>
      <c s="125" r="AA416"/>
      <c s="125" r="AB416"/>
      <c s="761" r="AC416"/>
      <c s="341" r="AD416"/>
    </row>
    <row r="417">
      <c s="125" r="A417"/>
      <c s="125" r="B417"/>
      <c s="125" r="C417"/>
      <c s="125" r="D417"/>
      <c s="125" r="E417"/>
      <c s="125" r="F417"/>
      <c s="125" r="G417"/>
      <c s="125" r="H417"/>
      <c s="125" r="I417"/>
      <c s="125" r="J417"/>
      <c s="125" r="K417"/>
      <c s="125" r="L417"/>
      <c s="125" r="M417"/>
      <c s="125" r="N417"/>
      <c s="125" r="O417"/>
      <c s="125" r="P417"/>
      <c s="125" r="Q417"/>
      <c s="125" r="R417"/>
      <c s="125" r="S417"/>
      <c s="125" r="T417"/>
      <c s="125" r="U417"/>
      <c s="125" r="V417"/>
      <c s="125" r="W417"/>
      <c s="125" r="X417"/>
      <c s="125" r="Y417"/>
      <c s="642" r="Z417"/>
      <c s="125" r="AA417"/>
      <c s="125" r="AB417"/>
      <c s="761" r="AC417"/>
      <c s="341" r="AD417"/>
    </row>
    <row r="418">
      <c s="125" r="A418"/>
      <c s="125" r="B418"/>
      <c s="125" r="C418"/>
      <c s="125" r="D418"/>
      <c s="125" r="E418"/>
      <c s="125" r="F418"/>
      <c s="125" r="G418"/>
      <c s="125" r="H418"/>
      <c s="125" r="I418"/>
      <c s="125" r="J418"/>
      <c s="125" r="K418"/>
      <c s="125" r="L418"/>
      <c s="125" r="M418"/>
      <c s="125" r="N418"/>
      <c s="125" r="O418"/>
      <c s="125" r="P418"/>
      <c s="125" r="Q418"/>
      <c s="125" r="R418"/>
      <c s="125" r="S418"/>
      <c s="125" r="T418"/>
      <c s="125" r="U418"/>
      <c s="125" r="V418"/>
      <c s="125" r="W418"/>
      <c s="125" r="X418"/>
      <c s="125" r="Y418"/>
      <c s="642" r="Z418"/>
      <c s="125" r="AA418"/>
      <c s="125" r="AB418"/>
      <c s="761" r="AC418"/>
      <c s="341" r="AD418"/>
    </row>
    <row r="419">
      <c s="125" r="A419"/>
      <c s="125" r="B419"/>
      <c s="125" r="C419"/>
      <c s="125" r="D419"/>
      <c s="125" r="E419"/>
      <c s="125" r="F419"/>
      <c s="125" r="G419"/>
      <c s="125" r="H419"/>
      <c s="125" r="I419"/>
      <c s="125" r="J419"/>
      <c s="125" r="K419"/>
      <c s="125" r="L419"/>
      <c s="125" r="M419"/>
      <c s="125" r="N419"/>
      <c s="125" r="O419"/>
      <c s="125" r="P419"/>
      <c s="125" r="Q419"/>
      <c s="125" r="R419"/>
      <c s="125" r="S419"/>
      <c s="125" r="T419"/>
      <c s="125" r="U419"/>
      <c s="125" r="V419"/>
      <c s="125" r="W419"/>
      <c s="125" r="X419"/>
      <c s="125" r="Y419"/>
      <c s="642" r="Z419"/>
      <c s="433" r="AA419"/>
      <c s="125" r="AB419"/>
      <c s="761" r="AC419"/>
      <c s="341" r="AD419"/>
    </row>
    <row r="420">
      <c s="125" r="A420"/>
      <c s="125" r="B420"/>
      <c s="125" r="C420"/>
      <c s="125" r="D420"/>
      <c s="125" r="E420"/>
      <c s="125" r="F420"/>
      <c s="125" r="G420"/>
      <c s="125" r="H420"/>
      <c s="125" r="I420"/>
      <c s="125" r="J420"/>
      <c s="125" r="K420"/>
      <c s="125" r="L420"/>
      <c s="125" r="M420"/>
      <c s="125" r="N420"/>
      <c s="125" r="O420"/>
      <c s="125" r="P420"/>
      <c s="125" r="Q420"/>
      <c s="125" r="R420"/>
      <c s="125" r="S420"/>
      <c s="125" r="T420"/>
      <c s="125" r="U420"/>
      <c s="125" r="V420"/>
      <c s="125" r="W420"/>
      <c s="125" r="X420"/>
      <c s="125" r="Y420"/>
      <c s="642" r="Z420"/>
      <c s="715" r="AA420"/>
      <c s="125" r="AB420"/>
      <c s="761" r="AC420"/>
      <c s="341" r="AD420"/>
    </row>
    <row r="421">
      <c s="125" r="A421"/>
      <c s="125" r="B421"/>
      <c s="125" r="C421"/>
      <c s="125" r="D421"/>
      <c s="125" r="E421"/>
      <c s="125" r="F421"/>
      <c s="125" r="G421"/>
      <c s="125" r="H421"/>
      <c s="125" r="I421"/>
      <c s="125" r="J421"/>
      <c s="125" r="K421"/>
      <c s="125" r="L421"/>
      <c s="125" r="M421"/>
      <c s="125" r="N421"/>
      <c s="125" r="O421"/>
      <c s="125" r="P421"/>
      <c s="125" r="Q421"/>
      <c s="125" r="R421"/>
      <c s="125" r="S421"/>
      <c s="125" r="T421"/>
      <c s="125" r="U421"/>
      <c s="125" r="V421"/>
      <c s="125" r="W421"/>
      <c s="125" r="X421"/>
      <c s="125" r="Y421"/>
      <c s="642" r="Z421"/>
      <c s="125" r="AA421"/>
      <c s="125" r="AB421"/>
      <c s="761" r="AC421"/>
      <c s="341" r="AD421"/>
    </row>
    <row r="422">
      <c s="125" r="A422"/>
      <c s="125" r="B422"/>
      <c s="125" r="C422"/>
      <c s="125" r="D422"/>
      <c s="125" r="E422"/>
      <c s="125" r="F422"/>
      <c s="125" r="G422"/>
      <c s="125" r="H422"/>
      <c s="125" r="I422"/>
      <c s="125" r="J422"/>
      <c s="125" r="K422"/>
      <c s="125" r="L422"/>
      <c s="125" r="M422"/>
      <c s="125" r="N422"/>
      <c s="125" r="O422"/>
      <c s="125" r="P422"/>
      <c s="125" r="Q422"/>
      <c s="125" r="R422"/>
      <c s="125" r="S422"/>
      <c s="125" r="T422"/>
      <c s="125" r="U422"/>
      <c s="125" r="V422"/>
      <c s="125" r="W422"/>
      <c s="125" r="X422"/>
      <c s="125" r="Y422"/>
      <c s="642" r="Z422"/>
      <c s="125" r="AA422"/>
      <c s="125" r="AB422"/>
      <c s="761" r="AC422"/>
      <c s="341" r="AD422"/>
    </row>
    <row r="423">
      <c s="125" r="A423"/>
      <c s="125" r="B423"/>
      <c s="125" r="C423"/>
      <c s="125" r="D423"/>
      <c s="125" r="E423"/>
      <c s="125" r="F423"/>
      <c s="125" r="G423"/>
      <c s="125" r="H423"/>
      <c s="125" r="I423"/>
      <c s="125" r="J423"/>
      <c s="125" r="K423"/>
      <c s="125" r="L423"/>
      <c s="125" r="M423"/>
      <c s="125" r="N423"/>
      <c s="125" r="O423"/>
      <c s="125" r="P423"/>
      <c s="125" r="Q423"/>
      <c s="125" r="R423"/>
      <c s="125" r="S423"/>
      <c s="125" r="T423"/>
      <c s="125" r="U423"/>
      <c s="125" r="V423"/>
      <c s="125" r="W423"/>
      <c s="125" r="X423"/>
      <c s="125" r="Y423"/>
      <c s="642" r="Z423"/>
      <c s="125" r="AA423"/>
      <c s="125" r="AB423"/>
      <c s="761" r="AC423"/>
      <c s="341" r="AD423"/>
    </row>
    <row r="424">
      <c s="125" r="A424"/>
      <c s="125" r="B424"/>
      <c s="125" r="C424"/>
      <c s="125" r="D424"/>
      <c s="125" r="E424"/>
      <c s="125" r="F424"/>
      <c s="125" r="G424"/>
      <c s="125" r="H424"/>
      <c s="125" r="I424"/>
      <c s="125" r="J424"/>
      <c s="125" r="K424"/>
      <c s="125" r="L424"/>
      <c s="125" r="M424"/>
      <c s="125" r="N424"/>
      <c s="125" r="O424"/>
      <c s="125" r="P424"/>
      <c s="125" r="Q424"/>
      <c s="125" r="R424"/>
      <c s="125" r="S424"/>
      <c s="125" r="T424"/>
      <c s="125" r="U424"/>
      <c s="125" r="V424"/>
      <c s="125" r="W424"/>
      <c s="125" r="X424"/>
      <c s="125" r="Y424"/>
      <c s="642" r="Z424"/>
      <c s="125" r="AA424"/>
      <c s="125" r="AB424"/>
      <c s="761" r="AC424"/>
      <c s="341" r="AD424"/>
    </row>
    <row r="425">
      <c s="125" r="A425"/>
      <c s="125" r="B425"/>
      <c s="125" r="C425"/>
      <c s="125" r="D425"/>
      <c s="125" r="E425"/>
      <c s="125" r="F425"/>
      <c s="125" r="G425"/>
      <c s="125" r="H425"/>
      <c s="125" r="I425"/>
      <c s="125" r="J425"/>
      <c s="125" r="K425"/>
      <c s="125" r="L425"/>
      <c s="125" r="M425"/>
      <c s="125" r="N425"/>
      <c s="125" r="O425"/>
      <c s="125" r="P425"/>
      <c s="125" r="Q425"/>
      <c s="125" r="R425"/>
      <c s="125" r="S425"/>
      <c s="125" r="T425"/>
      <c s="125" r="U425"/>
      <c s="125" r="V425"/>
      <c s="125" r="W425"/>
      <c s="125" r="X425"/>
      <c s="125" r="Y425"/>
      <c s="642" r="Z425"/>
      <c s="125" r="AA425"/>
      <c s="125" r="AB425"/>
      <c s="761" r="AC425"/>
      <c s="341" r="AD425"/>
    </row>
    <row r="426">
      <c s="125" r="A426"/>
      <c s="125" r="B426"/>
      <c s="125" r="C426"/>
      <c s="125" r="D426"/>
      <c s="125" r="E426"/>
      <c s="125" r="F426"/>
      <c s="125" r="G426"/>
      <c s="125" r="H426"/>
      <c s="125" r="I426"/>
      <c s="125" r="J426"/>
      <c s="125" r="K426"/>
      <c s="125" r="L426"/>
      <c s="125" r="M426"/>
      <c s="125" r="N426"/>
      <c s="125" r="O426"/>
      <c s="125" r="P426"/>
      <c s="125" r="Q426"/>
      <c s="125" r="R426"/>
      <c s="125" r="S426"/>
      <c s="125" r="T426"/>
      <c s="125" r="U426"/>
      <c s="125" r="V426"/>
      <c s="125" r="W426"/>
      <c s="125" r="X426"/>
      <c s="125" r="Y426"/>
      <c s="642" r="Z426"/>
      <c s="125" r="AA426"/>
      <c s="125" r="AB426"/>
      <c s="761" r="AC426"/>
      <c s="341" r="AD426"/>
    </row>
    <row r="427">
      <c s="125" r="A427"/>
      <c s="125" r="B427"/>
      <c s="125" r="C427"/>
      <c s="125" r="D427"/>
      <c s="125" r="E427"/>
      <c s="125" r="F427"/>
      <c s="125" r="G427"/>
      <c s="125" r="H427"/>
      <c s="125" r="I427"/>
      <c s="125" r="J427"/>
      <c s="125" r="K427"/>
      <c s="125" r="L427"/>
      <c s="125" r="M427"/>
      <c s="125" r="N427"/>
      <c s="125" r="O427"/>
      <c s="125" r="P427"/>
      <c s="125" r="Q427"/>
      <c s="125" r="R427"/>
      <c s="125" r="S427"/>
      <c s="125" r="T427"/>
      <c s="125" r="U427"/>
      <c s="125" r="V427"/>
      <c s="125" r="W427"/>
      <c s="125" r="X427"/>
      <c s="125" r="Y427"/>
      <c s="642" r="Z427"/>
      <c s="125" r="AA427"/>
      <c s="125" r="AB427"/>
      <c s="761" r="AC427"/>
      <c s="341" r="AD427"/>
    </row>
    <row r="428">
      <c s="125" r="A428"/>
      <c s="125" r="B428"/>
      <c s="125" r="C428"/>
      <c s="125" r="D428"/>
      <c s="125" r="E428"/>
      <c s="125" r="F428"/>
      <c s="125" r="G428"/>
      <c s="125" r="H428"/>
      <c s="125" r="I428"/>
      <c s="125" r="J428"/>
      <c s="125" r="K428"/>
      <c s="125" r="L428"/>
      <c s="125" r="M428"/>
      <c s="125" r="N428"/>
      <c s="125" r="O428"/>
      <c s="125" r="P428"/>
      <c s="125" r="Q428"/>
      <c s="125" r="R428"/>
      <c s="125" r="S428"/>
      <c s="125" r="T428"/>
      <c s="125" r="U428"/>
      <c s="125" r="V428"/>
      <c s="125" r="W428"/>
      <c s="125" r="X428"/>
      <c s="125" r="Y428"/>
      <c s="642" r="Z428"/>
      <c s="125" r="AA428"/>
      <c s="125" r="AB428"/>
      <c s="761" r="AC428"/>
      <c s="341" r="AD428"/>
    </row>
    <row r="429">
      <c s="125" r="A429"/>
      <c s="125" r="B429"/>
      <c s="125" r="C429"/>
      <c s="125" r="D429"/>
      <c s="125" r="E429"/>
      <c s="125" r="F429"/>
      <c s="125" r="G429"/>
      <c s="125" r="H429"/>
      <c s="125" r="I429"/>
      <c s="125" r="J429"/>
      <c s="125" r="K429"/>
      <c s="125" r="L429"/>
      <c s="125" r="M429"/>
      <c s="125" r="N429"/>
      <c s="125" r="O429"/>
      <c s="125" r="P429"/>
      <c s="125" r="Q429"/>
      <c s="125" r="R429"/>
      <c s="125" r="S429"/>
      <c s="125" r="T429"/>
      <c s="125" r="U429"/>
      <c s="125" r="V429"/>
      <c s="125" r="W429"/>
      <c s="125" r="X429"/>
      <c s="125" r="Y429"/>
      <c s="642" r="Z429"/>
      <c s="125" r="AA429"/>
      <c s="125" r="AB429"/>
      <c s="761" r="AC429"/>
      <c s="341" r="AD429"/>
    </row>
    <row r="430">
      <c s="125" r="A430"/>
      <c s="125" r="B430"/>
      <c s="125" r="C430"/>
      <c s="125" r="D430"/>
      <c s="125" r="E430"/>
      <c s="125" r="F430"/>
      <c s="125" r="G430"/>
      <c s="125" r="H430"/>
      <c s="125" r="I430"/>
      <c s="125" r="J430"/>
      <c s="125" r="K430"/>
      <c s="125" r="L430"/>
      <c s="125" r="M430"/>
      <c s="125" r="N430"/>
      <c s="125" r="O430"/>
      <c s="125" r="P430"/>
      <c s="125" r="Q430"/>
      <c s="125" r="R430"/>
      <c s="125" r="S430"/>
      <c s="125" r="T430"/>
      <c s="125" r="U430"/>
      <c s="125" r="V430"/>
      <c s="125" r="W430"/>
      <c s="125" r="X430"/>
      <c s="125" r="Y430"/>
      <c s="642" r="Z430"/>
      <c s="761" r="AA430"/>
      <c s="125" r="AB430"/>
      <c s="761" r="AC430"/>
      <c s="341" r="AD430"/>
    </row>
    <row r="431">
      <c s="125" r="A431"/>
      <c s="125" r="B431"/>
      <c s="125" r="C431"/>
      <c s="125" r="D431"/>
      <c s="125" r="E431"/>
      <c s="125" r="F431"/>
      <c s="125" r="G431"/>
      <c s="125" r="H431"/>
      <c s="125" r="I431"/>
      <c s="125" r="J431"/>
      <c s="125" r="K431"/>
      <c s="125" r="L431"/>
      <c s="125" r="M431"/>
      <c s="125" r="N431"/>
      <c s="125" r="O431"/>
      <c s="125" r="P431"/>
      <c s="125" r="Q431"/>
      <c s="125" r="R431"/>
      <c s="125" r="S431"/>
      <c s="125" r="T431"/>
      <c s="125" r="U431"/>
      <c s="125" r="V431"/>
      <c s="125" r="W431"/>
      <c s="125" r="X431"/>
      <c s="125" r="Y431"/>
      <c s="642" r="Z431"/>
      <c s="761" r="AA431"/>
      <c s="125" r="AB431"/>
      <c s="761" r="AC431"/>
      <c s="341" r="AD431"/>
    </row>
    <row r="432">
      <c s="125" r="A432"/>
      <c s="125" r="B432"/>
      <c s="125" r="C432"/>
      <c s="125" r="D432"/>
      <c s="125" r="E432"/>
      <c s="125" r="F432"/>
      <c s="125" r="G432"/>
      <c s="125" r="H432"/>
      <c s="125" r="I432"/>
      <c s="125" r="J432"/>
      <c s="125" r="K432"/>
      <c s="125" r="L432"/>
      <c s="125" r="M432"/>
      <c s="125" r="N432"/>
      <c s="125" r="O432"/>
      <c s="125" r="P432"/>
      <c s="125" r="Q432"/>
      <c s="125" r="R432"/>
      <c s="125" r="S432"/>
      <c s="125" r="T432"/>
      <c s="125" r="U432"/>
      <c s="125" r="V432"/>
      <c s="125" r="W432"/>
      <c s="125" r="X432"/>
      <c s="125" r="Y432"/>
      <c s="642" r="Z432"/>
      <c s="761" r="AA432"/>
      <c s="125" r="AB432"/>
      <c s="761" r="AC432"/>
      <c s="341" r="AD432"/>
    </row>
    <row r="433">
      <c s="125" r="A433"/>
      <c s="125" r="B433"/>
      <c s="125" r="C433"/>
      <c s="125" r="D433"/>
      <c s="125" r="E433"/>
      <c s="125" r="F433"/>
      <c s="125" r="G433"/>
      <c s="125" r="H433"/>
      <c s="125" r="I433"/>
      <c s="125" r="J433"/>
      <c s="125" r="K433"/>
      <c s="125" r="L433"/>
      <c s="125" r="M433"/>
      <c s="125" r="N433"/>
      <c s="125" r="O433"/>
      <c s="125" r="P433"/>
      <c s="125" r="Q433"/>
      <c s="125" r="R433"/>
      <c s="125" r="S433"/>
      <c s="125" r="T433"/>
      <c s="125" r="U433"/>
      <c s="125" r="V433"/>
      <c s="125" r="W433"/>
      <c s="125" r="X433"/>
      <c s="125" r="Y433"/>
      <c s="642" r="Z433"/>
      <c s="125" r="AA433"/>
      <c s="125" r="AB433"/>
      <c s="761" r="AC433"/>
      <c s="341" r="AD433"/>
    </row>
  </sheetData>
  <mergeCells count="12">
    <mergeCell ref="N8:S10"/>
    <mergeCell ref="N15:R15"/>
    <mergeCell ref="N16:R19"/>
    <mergeCell ref="E21:I21"/>
    <mergeCell ref="N22:R27"/>
    <mergeCell ref="E28:I28"/>
    <mergeCell ref="E30:I32"/>
    <mergeCell ref="E34:F34"/>
    <mergeCell ref="E36:F36"/>
    <mergeCell ref="D44:H44"/>
    <mergeCell ref="D46:H49"/>
    <mergeCell ref="D51:H56"/>
  </mergeCells>
  <conditionalFormatting sqref="G61 H61 I61 J61 K61 L61 M61 N61 O61 P61 Q61 R61 S61 T61 U61 V61 W61 X61 Y61 Z61 AA61 G62 H62 I62 J62 K62 L62 M62 N62 O62 P62 Q62 R62 S62 T62 U62 V62 W62 X62 Y62 Z62 AA62 G63 H63 I63 J63 K63 L63 M63 N63 O63 P63 Q63 R63 S63 T63 U63 V63 W63 X63 Y63 Z63 AA63 G64 H64 I64 J64 K64 L64 M64 N64 O64 P64 Q64 R64 S64 T64 U64 V64 W64 X64 Y64 Z64 AA64 G65 H65 I65 J65 K65 L65 M65 N65 O65 P65 Q65 R65 S65 T65 U65 V65 W65 X65 Y65 Z65 AA65 G66 H66 I66 J66 K66 L66 M66 N66 O66 P66 Q66 R66 S66 T66 U66 V66 W66 X66 Y66 Z66 AA66 G67 H67 I67 J67 K67 L67 M67 N67 O67 P67 Q67 R67 S67 T67 U67 V67 W67 X67 Y67 Z67 AA67 G68 H68 I68 J68 K68 L68 M68 N68 O68 P68 Q68 R68 S68 T68 U68 V68 W68 X68 Y68 Z68 AA68 G69 H69 I69 J69 K69 L69 M69 N69 O69 P69 Q69 R69 S69 T69 U69 V69 W69 X69 Y69 Z69 AA69 G70 H70 I70 J70 K70 L70 M70 N70 O70 P70 Q70 R70 S70 T70 U70 V70 W70 X70 Y70 Z70 AA70 G71 H71 I71 J71 K71 L71 M71 N71 O71 P71 Q71 R71 S71 T71 U71 V71 W71 X71 Y71 Z71 AA71 G72 H72 I72 J72 K72 L72 M72 N72 O72 P72 Q72 R72 S72 T72 U72 V72 W72 X72 Y72 Z72 AA72 G73 H73 I73 J73 K73 L73 M73 N73 O73 P73 Q73 R73 S73 T73 U73 V73 W73 X73 Y73 Z73 AA73 G74 H74 I74 J74 K74 L74 M74 N74 O74 P74 Q74 R74 S74 T74 U74 V74 W74 X74 Y74 Z74 AA74 G75 H75 I75 J75 K75 L75 M75 N75 O75 P75 Q75 R75 S75 T75 U75 V75 W75 X75 Y75 Z75 AA75 G76 H76 I76 J76 K76 L76 M76 N76 O76 P76 Q76 R76 S76 T76 U76 V76 W76 X76 Y76 Z76 AA76 G77 H77 I77 J77 K77 L77 M77 N77 O77 P77 Q77 R77 S77 T77 U77 V77 W77 X77 Y77 Z77 AA77 G78 H78 I78 J78 K78 L78 M78 N78 O78 P78 Q78 R78 S78 T78 U78 V78 W78 X78 Y78 Z78 AA78 G79 H79 I79 J79 K79 L79 M79 N79 O79 P79 Q79 R79 S79 T79 U79 V79 W79 X79 Y79 Z79 AA79 G80 H80 I80 J80 K80 L80 M80 N80 O80 P80 Q80 R80 S80 T80 U80 V80 W80 X80 Y80 Z80 AA80 G81 H81 I81 J81 K81 L81 M81 N81 O81 P81 Q81 R81 S81 T81 U81 V81 W81 X81 Y81 Z81 AA81 G82 H82 I82 J82 K82 L82 M82 N82 O82 P82 Q82 R82 S82 T82 U82 V82 W82 X82 Y82 Z82 AA82 G83 H83 I83 J83 K83 L83 M83 N83 O83 P83 Q83 R83 S83 T83 U83 V83 W83 X83 Y83 Z83 AA83 G84 H84 I84 J84 K84 L84 M84 N84 O84 P84 Q84 R84 S84 T84 U84 V84 W84 X84 Y84 Z84 AA84 G85 H85 I85 J85 K85 L85 M85 N85 O85 P85 Q85 R85 S85 T85 U85 V85 W85 X85 Y85 Z85 AA85 G86 H86 I86 J86 K86 L86 M86 N86 O86 P86 Q86 R86 S86 T86 U86 V86 W86 X86 Y86 Z86 AA86 G87 H87 I87 J87 K87 L87 M87 N87 O87 P87 Q87 R87 S87 T87 U87 V87 W87 X87 Y87 Z87 AA87 G88 H88 I88 J88 K88 L88 M88 N88 O88 P88 Q88 R88 S88 T88 U88 V88 W88 X88 Y88 Z88 AA88 G89 H89 I89 J89 K89 L89 M89 N89 O89 P89 Q89 R89 S89 T89 U89 V89 W89 X89 Y89 Z89 AA89 G90 H90 I90 J90 K90 L90 M90 N90 O90 P90 Q90 R90 S90 T90 U90 V90 W90 X90 Y90 Z90 AA90 G91 H91 I91 J91 K91 L91 M91 N91 O91 P91 Q91 R91 S91 T91 U91 V91 W91 X91 Y91 Z91 AA91 G92 H92 I92 J92 K92 L92 M92 N92 O92 P92 Q92 R92 S92 T92 U92 V92 W92 X92 Y92 Z92 AA92 G93 H93 I93 J93 K93 L93 M93 N93 O93 P93 Q93 R93 S93 T93 U93 V93 W93 X93 Y93 Z93 AA93 G94 H94 I94 J94 K94 L94 M94 N94 O94 P94 Q94 R94 S94 T94 U94 V94 W94 X94 Y94 Z94 AA94 G95 H95 I95 J95 K95 L95 M95 N95 O95 P95 Q95 R95 S95 T95 U95 V95 W95 X95 Y95 Z95 AA95 G96 H96 I96 J96 K96 L96 M96 N96 O96 P96 Q96 R96 S96 T96 U96 V96 W96 X96 Y96 Z96 AA96 G97 H97 I97 J97 K97 L97 M97 N97 O97 P97 Q97 R97 S97 T97 U97 V97 W97 X97 Y97 Z97 AA97 G98 H98 I98 J98 K98 L98 M98 N98 O98 P98 Q98 R98 S98 T98 U98 V98 W98 X98 Y98 Z98 AA98 G99 H99 I99 J99 K99 L99 M99 N99 O99 P99 Q99 R99 S99 T99 U99 V99 W99 X99 Y99 Z99 AA99 G100 H100 I100 J100 K100 L100 M100 N100 O100 P100 Q100 R100 S100 T100 U100 V100 W100 X100 Y100 Z100 AA100 G101 H101 I101 J101 K101 L101 M101 N101 O101 P101 Q101 R101 S101 T101 U101 V101 W101 X101 Y101 Z101 AA101 G102 H102 I102 J102 K102 L102 M102 N102 O102 P102 Q102 R102 S102 T102 U102 V102 W102 X102 Y102 Z102 AA102 G103 H103 I103 J103 K103 L103 M103 N103 O103 P103 Q103 R103 S103 T103 U103 V103 W103 X103 Y103 Z103 AA103 G104 H104 I104 J104 K104 L104 M104 N104 O104 P104 Q104 R104 S104 T104 U104 V104 W104 X104 Y104 Z104 AA104 G105 H105 I105 J105 K105 L105 M105 N105 O105 P105 Q105 R105 S105 T105 U105 V105 W105 X105 Y105 Z105 AA105 G106 H106 I106 J106 K106 L106 M106 N106 O106 P106 Q106 R106 S106 T106 U106 V106 W106 X106 Y106 Z106 AA106 G107 H107 I107 J107 K107 L107 M107 N107 O107 P107 Q107 R107 S107 T107 U107 V107 W107 X107 Y107 Z107 AA107 G108 H108 I108 J108 K108 L108 M108 N108 O108 P108 Q108 R108 S108 T108 U108 V108 W108 X108 Y108 Z108 AA108 G109 H109 I109 J109 K109 L109 M109 N109 O109 P109 Q109 R109 S109 T109 U109 V109 W109 X109 Y109 Z109 AA109 G110 H110 I110 J110 K110 L110 M110 N110 O110 P110 Q110 R110 S110 T110 U110 V110 W110 X110 Y110 Z110 AA110 G111 H111 I111 J111 K111 L111 M111 N111 O111 P111 Q111 R111 S111 T111 U111 V111 W111 X111 Y111 Z111 AA111 G112 H112 I112 J112 K112 L112 M112 N112 O112 P112 Q112 R112 S112 T112 U112 V112 W112 X112 Y112 Z112 AA112 G113 H113 I113 J113 K113 L113 M113 N113 O113 P113 Q113 R113 S113 T113 U113 V113 W113 X113 Y113 Z113 AA113 G114 H114 I114 J114 K114 L114 M114 N114 O114 P114 Q114 R114 S114 T114 U114 V114 W114 X114 Y114 Z114 AA114 G115 H115 I115 J115 K115 L115 M115 N115 O115 P115 Q115 R115 S115 T115 U115 V115 W115 X115 Y115 Z115 AA115 G116 H116 I116 J116 K116 L116 M116 N116 O116 P116 Q116 R116 S116 T116 U116 V116 W116 X116 Y116 Z116 AA116 G117 H117 I117 J117 K117 L117 M117 N117 O117 P117 Q117 R117 S117 T117 U117 V117 W117 X117 Y117 Z117 AA117 G118 H118 I118 J118 K118 L118 M118 N118 O118 P118 Q118 R118 S118 T118 U118 V118 W118 X118 Y118 Z118 AA118 G119 H119 I119 J119 K119 L119 M119 N119 O119 P119 Q119 R119 S119 T119 U119 V119 W119 X119 Y119 Z119 AA119 G120 H120 I120 J120 K120 L120 M120 N120 O120 P120 Q120 R120 S120 T120 U120 V120 W120 X120 Y120 Z120 AA120 G121 H121 I121 J121 K121 L121 M121 N121 O121 P121 Q121 R121 S121 T121 U121 V121 W121 X121 Y121 Z121 AA121 G122 H122 I122 J122 K122 L122 M122 N122 O122 P122 Q122 R122 S122 T122 U122 V122 W122 X122 Y122 Z122 AA122 G123 H123 I123 J123 K123 L123 M123 N123 O123 P123 Q123 R123 S123 T123 U123 V123 W123 X123 Y123 Z123 AA123 G124 H124 I124 J124 K124 L124 M124 N124 O124 P124 Q124 R124 S124 T124 U124 V124 W124 X124 Y124 Z124 AA124 G125 H125 I125 J125 K125 L125 M125 N125 O125 P125 Q125 R125 S125 T125 U125 V125 W125 X125 Y125 Z125 AA125 G126 H126 I126 J126 K126 L126 M126 N126 O126 P126 Q126 R126 S126 T126 U126 V126 W126 X126 Y126 Z126 AA126 G127 H127 I127 J127 K127 L127 M127 N127 O127 P127 Q127 R127 S127 T127 U127 V127 W127 X127 Y127 Z127 AA127 G128 H128 I128 J128 K128 L128 M128 N128 O128 P128 Q128 R128 S128 T128 U128 V128 W128 X128 Y128 Z128 AA128 G129 H129 I129 J129 K129 L129 M129 N129 O129 P129 Q129 R129 S129 T129 U129 V129 W129 X129 Y129 Z129 AA129 G130 H130 I130 J130 K130 L130 M130 N130 O130 P130 Q130 R130 S130 T130 U130 V130 W130 X130 Y130 Z130 AA130 G131 H131 I131 J131 K131 L131 M131 N131 O131 P131 Q131 R131 S131 T131 U131 V131 W131 X131 Y131 Z131 AA131 G132 H132 I132 J132 K132 L132 M132 N132 O132 P132 Q132 R132 S132 T132 U132 V132 W132 X132 Y132 Z132 AA132 G133 H133 I133 J133 K133 L133 M133 N133 O133 P133 Q133 R133 S133 T133 U133 V133 W133 X133 Y133 Z133 AA133 G134 H134 I134 J134 K134 L134 M134 N134 O134 P134 Q134 R134 S134 T134 U134 V134 W134 X134 Y134 Z134 AA134 G135 H135 I135 J135 K135 L135 M135 N135 O135 P135 Q135 R135 S135 T135 U135 V135 W135 X135 Y135 Z135 AA135 G136 H136 I136 J136 K136 L136 M136 N136 O136 P136 Q136 R136 S136 T136 U136 V136 W136 X136 Y136 Z136 AA136 G137 H137 I137 J137 K137 L137 M137 N137 O137 P137 Q137 R137 S137 T137 U137 V137 W137 X137 Y137 Z137 AA137 G138 H138 I138 J138 K138 L138 M138 N138 O138 P138 Q138 R138 S138 T138 U138 V138 W138 X138 Y138 Z138 AA138 G139 H139 I139 J139 K139 L139 M139 N139 O139 P139 Q139 R139 S139 T139 U139 V139 W139 X139 Y139 Z139 AA139 G140 H140 I140 J140 K140 L140 M140 N140 O140 P140 Q140 R140 S140 T140 U140 V140 W140 X140 Y140 Z140 AA140 G141 H141 I141 J141 K141 L141 M141 N141 O141 P141 Q141 R141 S141 T141 U141 V141 W141 X141 Y141 Z141 AA141 G142 H142 I142 J142 K142 L142 M142 N142 O142 P142 Q142 R142 S142 T142 U142 V142 W142 X142 Y142 Z142 AA142 G143 H143 I143 J143 K143 L143 M143 N143 O143 P143 Q143 R143 S143 T143 U143 V143 W143 X143 Y143 Z143 AA143 G144 H144 I144 J144 K144 L144 M144 N144 O144 P144 Q144 R144 S144 T144 U144 V144 W144 X144 Y144 Z144 AA144 G145 H145 I145 J145 K145 L145 M145 N145 O145 P145 Q145 R145 S145 T145 U145 V145 W145 X145 Y145 Z145 AA145 G146 H146 I146 J146 K146 L146 M146 N146 O146 P146 Q146 R146 S146 T146 U146 V146 W146 X146 Y146 Z146 AA146 G147 H147 I147 J147 K147 L147 M147 N147 O147 P147 Q147 R147 S147 T147 U147 V147 W147 X147 Y147 Z147 AA147 G148 H148 I148 J148 K148 L148 M148 N148 O148 P148 Q148 R148 S148 T148 U148 V148 W148 X148 Y148 Z148 AA148 G149 H149 I149 J149 K149 L149 M149 N149 O149 P149 Q149 R149 S149 T149 U149 V149 W149 X149 Y149 Z149 AA149 G150 H150 I150 J150 K150 L150 M150 N150 O150 P150 Q150 R150 S150 T150 U150 V150 W150 X150 Y150 Z150 AA150 G151 H151 I151 J151 K151 L151 M151 N151 O151 P151 Q151 R151 S151 T151 U151 V151 W151 X151 Y151 Z151 AA151 G152 H152 I152 J152 K152 L152 M152 N152 O152 P152 Q152 R152 S152 T152 U152 V152 W152 X152 Y152 Z152 AA152 G153 H153 I153 J153 K153 L153 M153 N153 O153 P153 Q153 R153 S153 T153 U153 V153 W153 X153 Y153 Z153 AA153 G154 H154 I154 J154 K154 L154 M154 N154 O154 P154 Q154 R154 S154 T154 U154 V154 W154 X154 Y154 Z154 AA154 G155 H155 I155 J155 K155 L155 M155 N155 O155 P155 Q155 R155 S155 T155 U155 V155 W155 X155 Y155 Z155 AA155 G156 H156 I156 J156 K156 L156 M156 N156 O156 P156 Q156 R156 S156 T156 U156 V156 W156 X156 Y156 Z156 AA156 G157 H157 I157 J157 K157 L157 M157 N157 O157 P157 Q157 R157 S157 T157 U157 V157 W157 X157 Y157 Z157 AA157 G158 H158 I158 J158 K158 L158 M158 N158 O158 P158 Q158 R158 S158 T158 U158 V158 W158 X158 Y158 Z158 AA158 G159 H159 I159 J159 K159 L159 M159 N159 O159 P159 Q159 R159 S159 T159 U159 V159 W159 X159 Y159 Z159 AA159 G160 H160 I160 J160 K160 L160 M160 N160 O160 P160 Q160 R160 S160 T160 U160 V160 W160 X160 Y160 Z160 AA160 G161 H161 I161 J161 K161 L161 M161 N161 O161 P161 Q161 R161 S161 T161 U161 V161 W161 X161 Y161 Z161 AA161 G162 H162 I162 J162 K162 L162 M162 N162 O162 P162 Q162 R162 S162 T162 U162 V162 W162 X162 Y162 Z162 AA162 G163 H163 I163 J163 K163 L163 M163 N163 O163 P163 Q163 R163 S163 T163 U163 V163 W163 X163 Y163 Z163 AA163 G164 H164 I164 J164 K164 L164 M164 N164 O164 P164 Q164 R164 S164 T164 U164 V164 W164 X164 Y164 Z164 AA164 G165 H165 I165 J165 K165 L165 M165 N165 O165 P165 Q165 R165 S165 T165 U165 V165 W165 X165 Y165 Z165 AA165 G166 H166 I166 J166 K166 L166 M166 N166 O166 P166 Q166 R166 S166 T166 U166 V166 W166 X166 Y166 Z166 AA166 G167 H167 I167 J167 K167 L167 M167 N167 O167 P167 Q167 R167 S167 T167 U167 V167 W167 X167 Y167 Z167 AA167 G168 H168 I168 J168 K168 L168 M168 N168 O168 P168 Q168 R168 S168 T168 U168 V168 W168 X168 Y168 Z168 AA168 G169 H169 I169 J169 K169 L169 M169 N169 O169 P169 Q169 R169 S169 T169 U169 V169 W169 X169 Y169 Z169 AA169 G170 H170 I170 J170 K170 L170 M170 N170 O170 P170 Q170 R170 S170 T170 U170 V170 W170 X170 Y170 Z170 AA170 G171 H171 I171 J171 K171 L171 M171 N171 O171 P171 Q171 R171 S171 T171 U171 V171 W171 X171 Y171 Z171 AA171 G172 H172 I172 J172 K172 L172 M172 N172 O172 P172 Q172 R172 S172 T172 U172 V172 W172 X172 Y172 Z172 AA172 G173 H173 I173 J173 K173 L173 M173 N173 O173 P173 Q173 R173 S173 T173 U173 V173 W173 X173 Y173 Z173 AA173 G174 H174 I174 J174 K174 L174 M174 N174 O174 P174 Q174 R174 S174 T174 U174 V174 W174 X174 Y174 Z174 AA174 G175 H175 I175 J175 K175 L175 M175 N175 O175 P175 Q175 R175 S175 T175 U175 V175 W175 X175 Y175 Z175 AA175 G176 H176 I176 J176 K176 L176 M176 N176 O176 P176 Q176 R176 S176 T176 U176 V176 W176 X176 Y176 Z176 AA176 G177 H177 I177 J177 K177 L177 M177 N177 O177 P177 Q177 R177 S177 T177 U177 V177 W177 X177 Y177 Z177 AA177 G178 H178 I178 J178 K178 L178 M178 N178 O178 P178 Q178 R178 S178 T178 U178 V178 W178 X178 Y178 Z178 AA178 G179 H179 I179 J179 K179 L179 M179 N179 O179 P179 Q179 R179 S179 T179 U179 V179 W179 X179 Y179 Z179 AA179 G180 H180 I180 J180 K180 L180 M180 N180 O180 P180 Q180 R180 S180 T180 U180 V180 W180 X180 Y180 Z180 AA180 G181 H181 I181 J181 K181 L181 M181 N181 O181 P181 Q181 R181 S181 T181 U181 V181 W181 X181 Y181 Z181 AA181 G182 H182 I182 J182 K182 L182 M182 N182 O182 P182 Q182 R182 S182 T182 U182 V182 W182 X182 Y182 Z182 AA182 G183 H183 I183 J183 K183 L183 M183 N183 O183 P183 Q183 R183 S183 T183 U183 V183 W183 X183 Y183 Z183 AA183 G184 H184 I184 J184 K184 L184 M184 N184 O184 P184 Q184 R184 S184 T184 U184 V184 W184 X184 Y184 Z184 AA184 G185 H185 I185 J185 K185 L185 M185 N185 O185 P185 Q185 R185 S185 T185 U185 V185 W185 X185 Y185 Z185 AA185 G186 H186 I186 J186 K186 L186 M186 N186 O186 P186 Q186 R186 S186 T186 U186 V186 W186 X186 Y186 Z186 AA186 G187 H187 I187 J187 K187 L187 M187 N187 O187 P187 Q187 R187 S187 T187 U187 V187 W187 X187 Y187 Z187 AA187 G188 H188 I188 J188 K188 L188 M188 N188 O188 P188 Q188 R188 S188 T188 U188 V188 W188 X188 Y188 Z188 AA188 G189 H189 I189 J189 K189 L189 M189 N189 O189 P189 Q189 R189 S189 T189 U189 V189 W189 X189 Y189 Z189 AA189 G190 H190 I190 J190 K190 L190 M190 N190 O190 P190 Q190 R190 S190 T190 U190 V190 W190 X190 Y190 Z190 AA190 G191 H191 I191 J191 K191 L191 M191 N191 O191 P191 Q191 R191 S191 T191 U191 V191 W191 X191 Y191 Z191 AA191 G192 H192 I192 J192 K192 L192 M192 N192 O192 P192 Q192 R192 S192 T192 U192 V192 W192 X192 Y192 Z192 AA192 G193 H193 I193 J193 K193 L193 M193 N193 O193 P193 Q193 R193 S193 T193 U193 V193 W193 X193 Y193 Z193 AA193 G194 H194 I194 J194 K194 L194 M194 N194 O194 P194 Q194 R194 S194 T194 U194 V194 W194 X194 Y194 Z194 AA194 G195 H195 I195 J195 K195 L195 M195 N195 O195 P195 Q195 R195 S195 T195 U195 V195 W195 X195 Y195 Z195 AA195 G196 H196 I196 J196 K196 L196 M196 N196 O196 P196 Q196 R196 S196 T196 U196 V196 W196 X196 Y196 Z196 AA196 G197 H197 I197 J197 K197 L197 M197 N197 O197 P197 Q197 R197 S197 T197 U197 V197 W197 X197 Y197 Z197 AA197 G198 H198 I198 J198 K198 L198 M198 N198 O198 P198 Q198 R198 S198 T198 U198 V198 W198 X198 Y198 Z198 AA198 G199 H199 I199 J199 K199 L199 M199 N199 O199 P199 Q199 R199 S199 T199 U199 V199 W199 X199 Y199 Z199 AA199 G200 H200 I200 J200 K200 L200 M200 N200 O200 P200 Q200 R200 S200 T200 U200 V200 W200 X200 Y200 Z200 AA200 G201 H201 I201 J201 K201 L201 M201 N201 O201 P201 Q201 R201 S201 T201 U201 V201 W201 X201 Y201 Z201 AA201 G202 H202 I202 J202 K202 L202 M202 N202 O202 P202 Q202 R202 S202 T202 U202 V202 W202 X202 Y202 Z202 AA202 G203 H203 I203 J203 K203 L203 M203 N203 O203 P203 Q203 R203 S203 T203 U203 V203 W203 X203 Y203 Z203 AA203 G204 H204 I204 J204 K204 L204 M204 N204 O204 P204 Q204 R204 S204 T204 U204 V204 W204 X204 Y204 Z204 AA204 G205 H205 I205 J205 K205 L205 M205 N205 O205 P205 Q205 R205 S205 T205 U205 V205 W205 X205 Y205 Z205 AA205 G206 H206 I206 J206 K206 L206 M206 N206 O206 P206 Q206 R206 S206 T206 U206 V206 W206 X206 Y206 Z206 AA206 G207 H207 I207 J207 K207 L207 M207 N207 O207 P207 Q207 R207 S207 T207 U207 V207 W207 X207 Y207 Z207 AA207 G208 H208 I208 J208 K208 L208 M208 N208 O208 P208 Q208 R208 S208 T208 U208 V208 W208 X208 Y208 Z208 AA208 G209 H209 I209 J209 K209 L209 M209 N209 O209 P209 Q209 R209 S209 T209 U209 V209 W209 X209 Y209 Z209 AA209 G210 H210 I210 J210 K210 L210 M210 N210 O210 P210 Q210 R210 S210 T210 U210 V210 W210 X210 Y210 Z210 AA210 G211 H211 I211 J211 K211 L211 M211 N211 O211 P211 Q211 R211 S211 T211 U211 V211 W211 X211 Y211 Z211 AA211 G212 H212 I212 J212 K212 L212 M212 N212 O212 P212 Q212 R212 S212 T212 U212 V212 W212 X212 Y212 Z212 AA212 G213 H213 I213 J213 K213 L213 M213 N213 O213 P213 Q213 R213 S213 T213 U213 V213 W213 X213 Y213 Z213 AA213 G214 H214 I214 J214 K214 L214 M214 N214 O214 P214 Q214 R214 S214 T214 U214 V214 W214 X214 Y214 Z214 AA214 G215 H215 I215 J215 K215 L215 M215 N215 O215 P215 Q215 R215 S215 T215 U215 V215 W215 X215 Y215 Z215 AA215 G216 H216 I216 J216 K216 L216 M216 N216 O216 P216 Q216 R216 S216 T216 U216 V216 W216 X216 Y216 Z216 AA216 G217 H217 I217 J217 K217 L217 M217 N217 O217 P217 Q217 R217 S217 T217 U217 V217 W217 X217 Y217 Z217 AA217 G218 H218 I218 J218 K218 L218 M218 N218 O218 P218 Q218 R218 S218 T218 U218 V218 W218 X218 Y218 Z218 AA218 G219 H219 I219 J219 K219 L219 M219 N219 O219 P219 Q219 R219 S219 T219 U219 V219 W219 X219 Y219 Z219 AA219 G220 H220 I220 J220 K220 L220 M220 N220 O220 P220 Q220 R220 S220 T220 U220 V220 W220 X220 Y220 Z220 AA220 G221 H221 I221 J221 K221 L221 M221 N221 O221 P221 Q221 R221 S221 T221 U221 V221 W221 X221 Y221 Z221 AA221 G222 H222 I222 J222 K222 L222 M222 N222 O222 P222 Q222 R222 S222 T222 U222 V222 W222 X222 Y222 Z222 AA222 G223 H223 I223 J223 K223 L223 M223 N223 O223 P223 Q223 R223 S223 T223 U223 V223 W223 X223 Y223 Z223 AA223 G224 H224 I224 J224 K224 L224 M224 N224 O224 P224 Q224 R224 S224 T224 U224 V224 W224 X224 Y224 Z224 AA224 G225 H225 I225 J225 K225 L225 M225 N225 O225 P225 Q225 R225 S225 T225 U225 V225 W225 X225 Y225 Z225 AA225 G226 H226 I226 J226 K226 L226 M226 N226 O226 P226 Q226 R226 S226 T226 U226 V226 W226 X226 Y226 Z226 AA226 G227 H227 I227 J227 K227 L227 M227 N227 O227 P227 Q227 R227 S227 T227 U227 V227 W227 X227 Y227 Z227 AA227 G228 H228 I228 J228 K228 L228 M228 N228 O228 P228 Q228 R228 S228 T228 U228 V228 W228 X228 Y228 Z228 AA228 G229 H229 I229 J229 K229 L229 M229 N229 O229 P229 Q229 R229 S229 T229 U229 V229 W229 X229 Y229 Z229 AA229 G230 H230 I230 J230 K230 L230 M230 N230 O230 P230 Q230 R230 S230 T230 U230 V230 W230 X230 Y230 Z230 AA230 G231 H231 I231 J231 K231 L231 M231 N231 O231 P231 Q231 R231 S231 T231 U231 V231 W231 X231 Y231 Z231 AA231 G232 H232 I232 J232 K232 L232 M232 N232 O232 P232 Q232 R232 S232 T232 U232 V232 W232 X232 Y232 Z232 AA232 G233 H233 I233 J233 K233 L233 M233 N233 O233 P233 Q233 R233 S233 T233 U233 V233 W233 X233 Y233 Z233 AA233 G234 H234 I234 J234 K234 L234 M234 N234 O234 P234 Q234 R234 S234 T234 U234 V234 W234 X234 Y234 Z234 AA234 G235 H235 I235 J235 K235 L235 M235 N235 O235 P235 Q235 R235 S235 T235 U235 V235 W235 X235 Y235 Z235 AA235 G236 H236 I236 J236 K236 L236 M236 N236 O236 P236 Q236 R236 S236 T236 U236 V236 W236 X236 Y236 Z236 AA236 G237 H237 I237 J237 K237 L237 M237 N237 O237 P237 Q237 R237 S237 T237 U237 V237 W237 X237 Y237 Z237 AA237 G238 H238 I238 J238 K238 L238 M238 N238 O238 P238 Q238 R238 S238 T238 U238 V238 W238 X238 Y238 Z238 AA238 G239 H239 I239 J239 K239 L239 M239 N239 O239 P239 Q239 R239 S239 T239 U239 V239 W239 X239 Y239 Z239 AA239 G240 H240 I240 J240 K240 L240 M240 N240 O240 P240 Q240 R240 S240 T240 U240 V240 W240 X240 Y240 Z240 AA240 G241 H241 I241 J241 K241 L241 M241 N241 O241 P241 Q241 R241 S241 T241 U241 V241 W241 X241 Y241 Z241 AA241 G242 H242 I242 J242 K242 L242 M242 N242 O242 P242 Q242 R242 S242 T242 U242 V242 W242 X242 Y242 Z242 AA242 G243 H243 I243 J243 K243 L243 M243 N243 O243 P243 Q243 R243 S243 T243 U243 V243 W243 X243 Y243 Z243 AA243 G244 H244 I244 J244 K244 L244 M244 N244 O244 P244 Q244 R244 S244 T244 U244 V244 W244 X244 Y244 Z244 AA244 G245 H245 I245 J245 K245 L245 M245 N245 O245 P245 Q245 R245 S245 T245 U245 V245 W245 X245 Y245 Z245 AA245 G246 H246 I246 J246 K246 L246 M246 N246 O246 P246 Q246 R246 S246 T246 U246 V246 W246 X246 Y246 Z246 AA246 G247 H247 I247 J247 K247 L247 M247 N247 O247 P247 Q247 R247 S247 T247 U247 V247 W247 X247 Y247 Z247 AA247 G248 H248 I248 J248 K248 L248 M248 N248 O248 P248 Q248 R248 S248 T248 U248 V248 W248 X248 Y248 Z248 AA248 G249 H249 I249 J249 K249 L249 M249 N249 O249 P249 Q249 R249 S249 T249 U249 V249 W249 X249 Y249 Z249 AA249 G250 H250 I250 J250 K250 L250 M250 N250 O250 P250 Q250 R250 S250 T250 U250 V250 W250 X250 Y250 Z250 AA250 G251 H251 I251 J251 K251 L251 M251 N251 O251 P251 Q251 R251 S251 T251 U251 V251 W251 X251 Y251 Z251 AA251 G252 H252 I252 J252 K252 L252 M252 N252 O252 P252 Q252 R252 S252 T252 U252 V252 W252 X252 Y252 Z252 AA252 G253 H253 I253 J253 K253 L253 M253 N253 O253 P253 Q253 R253 S253 T253 U253 V253 W253 X253 Y253 Z253 AA253 G254 H254 I254 J254 K254 L254 M254 N254 O254 P254 Q254 R254 S254 T254 U254 V254 W254 X254 Y254 Z254 AA254 G255 H255 I255 J255 K255 L255 M255 N255 O255 P255 Q255 R255 S255 T255 U255 V255 W255 X255 Y255 Z255 AA255 G256 H256 I256 J256 K256 L256 M256 N256 O256 P256 Q256 R256 S256 T256 U256 V256 W256 X256 Y256 Z256 AA256 G257 H257 I257 J257 K257 L257 M257 N257 O257 P257 Q257 R257 S257 T257 U257 V257 W257 X257 Y257 Z257 AA257 G258 H258 I258 J258 K258 L258 M258 N258 O258 P258 Q258 R258 S258 T258 U258 V258 W258 X258 Y258 Z258 AA258 G259 H259 I259 J259 K259 L259 M259 N259 O259 P259 Q259 R259 S259 T259 U259 V259 W259 X259 Y259 Z259 AA259 G260 H260 I260 J260 K260 L260 M260 N260 O260 P260 Q260 R260 S260 T260 U260 V260 W260 X260 Y260 Z260 AA260 G261 H261 I261 J261 K261 L261 M261 N261 O261 P261 Q261 R261 S261 T261 U261 V261 W261 X261 Y261 Z261 AA261 G262 H262 I262 J262 K262 L262 M262 N262 O262 P262 Q262 R262 S262 T262 U262 V262 W262 X262 Y262 Z262 AA262 G263 H263 I263 J263 K263 L263 M263 N263 O263 P263 Q263 R263 S263 T263 U263 V263 W263 X263 Y263 Z263 AA263 G264 H264 I264 J264 K264 L264 M264 N264 O264 P264 Q264 R264 S264 T264 U264 V264 W264 X264 Y264 Z264 AA264 G265 H265 I265 J265 K265 L265 M265 N265 O265 P265 Q265 R265 S265 T265 U265 V265 W265 X265 Y265 Z265 AA265 G266 H266 I266 J266 K266 L266 M266 N266 O266 P266 Q266 R266 S266 T266 U266 V266 W266 X266 Y266 Z266 AA266 G267 H267 I267 J267 K267 L267 M267 N267 O267 P267 Q267 R267 S267 T267 U267 V267 W267 X267 Y267 Z267 AA267 G268 H268 I268 J268 K268 L268 M268 N268 O268 P268 Q268 R268 S268 T268 U268 V268 W268 X268 Y268 Z268 AA268 G269 H269 I269 J269 K269 L269 M269 N269 O269 P269 Q269 R269 S269 T269 U269 V269 W269 X269 Y269 Z269 AA269 G270 H270 I270 J270 K270 L270 M270 N270 O270 P270 Q270 R270 S270 T270 U270 V270 W270 X270 Y270 Z270 AA270 G271 H271 I271 J271 K271 L271 M271 N271 O271 P271 Q271 R271 S271 T271 U271 V271 W271 X271 Y271 Z271 AA271 G272 H272 I272 J272 K272 L272 M272 N272 O272 P272 Q272 R272 S272 T272 U272 V272 W272 X272 Y272 Z272 AA272 G273 H273 I273 J273 K273 L273 M273 N273 O273 P273 Q273 R273 S273 T273 U273 V273 W273 X273 Y273 Z273 AA273 G274 H274 I274 J274 K274 L274 M274 N274 O274 P274 Q274 R274 S274 T274 U274 V274 W274 X274 Y274 Z274 AA274 G275 H275 I275 J275 K275 L275 M275 N275 O275 P275 Q275 R275 S275 T275 U275 V275 W275 X275 Y275 Z275 AA275 G276 H276 I276 J276 K276 L276 M276 N276 O276 P276 Q276 R276 S276 T276 U276 V276 W276 X276 Y276 Z276 AA276 G277 H277 I277 J277 K277 L277 M277 N277 O277 P277 Q277 R277 S277 T277 U277 V277 W277 X277 Y277 Z277 AA277 G278 H278 I278 J278 K278 L278 M278 N278 O278 P278 Q278 R278 S278 T278 U278 V278 W278 X278 Y278 Z278 AA278 G279 H279 I279 J279 K279 L279 M279 N279 O279 P279 Q279 R279 S279 T279 U279 V279 W279 X279 Y279 Z279 AA279 G280 H280 I280 J280 K280 L280 M280 N280 O280 P280 Q280 R280 S280 T280 U280 V280 W280 X280 Y280 Z280 AA280 G281 H281 I281 J281 K281 L281 M281 N281 O281 P281 Q281 R281 S281 T281 U281 V281 W281 X281 Y281 Z281 AA281 G282 H282 I282 J282 K282 L282 M282 N282 O282 P282 Q282 R282 S282 T282 U282 V282 W282 X282 Y282 Z282 AA282 G283 H283 I283 J283 K283 L283 M283 N283 O283 P283 Q283 R283 S283 T283 U283 V283 W283 X283 Y283 Z283 AA283 G284 H284 I284 J284 K284 L284 M284 N284 O284 P284 Q284 R284 S284 T284 U284 V284 W284 X284 Y284 Z284 AA284 G285 H285 I285 J285 K285 L285 M285 N285 O285 P285 Q285 R285 S285 T285 U285 V285 W285 X285 Y285 Z285 AA285 G286 H286 I286 J286 K286 L286 M286 N286 O286 P286 Q286 R286 S286 T286 U286 V286 W286 X286 Y286 Z286 AA286 G287 H287 I287 J287 K287 L287 M287 N287 O287 P287 Q287 R287 S287 T287 U287 V287 W287 X287 Y287 Z287 AA287 G288 H288 I288 J288 K288 L288 M288 N288 O288 P288 Q288 R288 S288 T288 U288 V288 W288 X288 Y288 Z288 AA288 G289 H289 I289 J289 K289 L289 M289 N289 O289 P289 Q289 R289 S289 T289 U289 V289 W289 X289 Y289 Z289 AA289 G290 H290 I290 J290 K290 L290 M290 N290 O290 P290 Q290 R290 S290 T290 U290 V290 W290 X290 Y290 Z290 AA290 G291 H291 I291 J291 K291 L291 M291 N291 O291 P291 Q291 R291 S291 T291 U291 V291 W291 X291 Y291 Z291 AA291 G292 H292 I292 J292 K292 L292 M292 N292 O292 P292 Q292 R292 S292 T292 U292 V292 W292 X292 Y292 Z292 AA292 G293 H293 I293 J293 K293 L293 M293 N293 O293 P293 Q293 R293 S293 T293 U293 V293 W293 X293 Y293 Z293 AA293 G294 H294 I294 J294 K294 L294 M294 N294 O294 P294 Q294 R294 S294 T294 U294 V294 W294 X294 Y294 Z294 AA294 G295 H295 I295 J295 K295 L295 M295 N295 O295 P295 Q295 R295 S295 T295 U295 V295 W295 X295 Y295 Z295 AA295 G296 H296 I296 J296 K296 L296 M296 N296 O296 P296 Q296 R296 S296 T296 U296 V296 W296 X296 Y296 Z296 AA296 G297 H297 I297 J297 K297 L297 M297 N297 O297 P297 Q297 R297 S297 T297 U297 V297 W297 X297 Y297 Z297 AA297 G298 H298 I298 J298 K298 L298 M298 N298 O298 P298 Q298 R298 S298 T298 U298 V298 W298 X298 Y298 Z298 AA298 G299 H299 I299 J299 K299 L299 M299 N299 O299 P299 Q299 R299 S299 T299 U299 V299 W299 X299 Y299 Z299 AA299 G300 H300 I300 J300 K300 L300 M300 N300 O300 P300 Q300 R300 S300 T300 U300 V300 W300 X300 Y300 Z300 AA300 G301 H301 I301 J301 K301 L301 M301 N301 O301 P301 Q301 R301 S301 T301 U301 V301 W301 X301 Y301 Z301 AA301 G302 H302 I302 J302 K302 L302 M302 N302 O302 P302 Q302 R302 S302 T302 U302 V302 W302 X302 Y302 Z302 AA302 G303 H303 I303 J303 K303 L303 M303 N303 O303 P303 Q303 R303 S303 T303 U303 V303 W303 X303 Y303 Z303 AA303 G304 H304 I304 J304 K304 L304 M304 N304 O304 P304 Q304 R304 S304 T304 U304 V304 W304 X304 Y304 Z304 AA304 G305 H305 I305 J305 K305 L305 M305 N305 O305 P305 Q305 R305 S305 T305 U305 V305 W305 X305 Y305 Z305 AA305 G306 H306 I306 J306 K306 L306 M306 N306 O306 P306 Q306 R306 S306 T306 U306 V306 W306 X306 Y306 Z306 AA306 G307 H307 I307 J307 K307 L307 M307 N307 O307 P307 Q307 R307 S307 T307 U307 V307 W307 X307 Y307 Z307 AA307 G308 H308 I308 J308 K308 L308 M308 N308 O308 P308 Q308 R308 S308 T308 U308 V308 W308 X308 Y308 Z308 AA308 G309 H309 I309 J309 K309 L309 M309 N309 O309 P309 Q309 R309 S309 T309 U309 V309 W309 X309 Y309 Z309 AA309 G310 H310 I310 J310 K310 L310 M310 N310 O310 P310 Q310 R310 S310 T310 U310 V310 W310 X310 Y310 Z310 AA310 G311 H311 I311 J311 K311 L311 M311 N311 O311 P311 Q311 R311 S311 T311 U311 V311 W311 X311 Y311 Z311 AA311 G312 H312 I312 J312 K312 L312 M312 N312 O312 P312 Q312 R312 S312 T312 U312 V312 W312 X312 Y312 Z312 AA312 G313 H313 I313 J313 K313 L313 M313 N313 O313 P313 Q313 R313 S313 T313 U313 V313 W313 X313 Y313 Z313 AA313 G314 H314 I314 J314 K314 L314 M314 N314 O314 P314 Q314 R314 S314 T314 U314 V314 W314 X314 Y314 Z314 AA314 G315 H315 I315 J315 K315 L315 M315 N315 O315 P315 Q315 R315 S315 T315 U315 V315 W315 X315 Y315 Z315 AA315 G316 H316 I316 J316 K316 L316 M316 N316 O316 P316 Q316 R316 S316 T316 U316 V316 W316 X316 Y316 Z316 AA316 G317 H317 I317 J317 K317 L317 M317 N317 O317 P317 Q317 R317 S317 T317 U317 V317 W317 X317 Y317 Z317 AA317 G318 H318 I318 J318 K318 L318 M318 N318 O318 P318 Q318 R318 S318 T318 U318 V318 W318 X318 Y318 Z318 AA318 G319 H319 I319 J319 K319 L319 M319 N319 O319 P319 Q319 R319 S319 T319 U319 V319 W319 X319 Y319 Z319 AA319 G320 H320 I320 J320 K320 L320 M320 N320 O320 P320 Q320 R320 S320 T320 U320 V320 W320 X320 Y320 Z320 AA320 G321 H321 I321 J321 K321 L321 M321 N321 O321 P321 Q321 R321 S321 T321 U321 V321 W321 X321 Y321 Z321 AA321 G322 H322 I322 J322 K322 L322 M322 N322 O322 P322 Q322 R322 S322 T322 U322 V322 W322 X322 Y322 Z322 AA322 G323 H323 I323 J323 K323 L323 M323 N323 O323 P323 Q323 R323 S323 T323 U323 V323 W323 X323 Y323 Z323 AA323 G324 H324 I324 J324 K324 L324 M324 N324 O324 P324 Q324 R324 S324 T324 U324 V324 W324 X324 Y324 Z324 AA324 G325 H325 I325 J325 K325 L325 M325 N325 O325 P325 Q325 R325 S325 T325 U325 V325 W325 X325 Y325 Z325 AA325 G326 H326 I326 J326 K326 L326 M326 N326 O326 P326 Q326 R326 S326 T326 U326 V326 W326 X326 Y326 Z326 AA326 G327 H327 I327 J327 K327 L327 M327 N327 O327 P327 Q327 R327 S327 T327 U327 V327 W327 X327 Y327 Z327 AA327 G328 H328 I328 J328 K328 L328 M328 N328 O328 P328 Q328 R328 S328 T328 U328 V328 W328 X328 Y328 Z328 AA328 G329 H329 I329 J329 K329 L329 M329 N329 O329 P329 Q329 R329 S329 T329 U329 V329 W329 X329 Y329 Z329 AA329 G330 H330 I330 J330 K330 L330 M330 N330 O330 P330 Q330 R330 S330 T330 U330 V330 W330 X330 Y330 Z330 AA330 G331 H331 I331 J331 K331 L331 M331 N331 O331 P331 Q331 R331 S331 T331 U331 V331 W331 X331 Y331 Z331 AA331 G332 H332 I332 J332 K332 L332 M332 N332 O332 P332 Q332 R332 S332 T332 U332 V332 W332 X332 Y332 Z332 AA332 G333 H333 I333 J333 K333 L333 M333 N333 O333 P333 Q333 R333 S333 T333 U333 V333 W333 X333 Y333 Z333 AA333 G334 H334 I334 J334 K334 L334 M334 N334 O334 P334 Q334 R334 S334 T334 U334 V334 W334 X334 Y334 Z334 AA334 G335 H335 I335 J335 K335 L335 M335 N335 O335 P335 Q335 R335 S335 T335 U335 V335 W335 X335 Y335 Z335 AA335 G336 H336 I336 J336 K336 L336 M336 N336 O336 P336 Q336 R336 S336 T336 U336 V336 W336 X336 Y336 Z336 AA336 G337 H337 I337 J337 K337 L337 M337 N337 O337 P337 Q337 R337 S337 T337 U337 V337 W337 X337 Y337 Z337 AA337 G338 H338 I338 J338 K338 L338 M338 N338 O338 P338 Q338 R338 S338 T338 U338 V338 W338 X338 Y338 Z338 AA338 G339 H339 I339 J339 K339 L339 M339 N339 O339 P339 Q339 R339 S339 T339 U339 V339 W339 X339 Y339 Z339 AA339 G340 H340 I340 J340 K340 L340 M340 N340 O340 P340 Q340 R340 S340 T340 U340 V340 W340 X340 Y340 Z340 AA340 G341 H341 I341 J341 K341 L341 M341 N341 O341 P341 Q341 R341 S341 T341 U341 V341 W341 X341 Y341 Z341 AA341 G342 H342 I342 J342 K342 L342 M342 N342 O342 P342 Q342 R342 S342 T342 U342 V342 W342 X342 Y342 Z342 AA342 G343 H343 I343 J343 K343 L343 M343 N343 O343 P343 Q343 R343 S343 T343 U343 V343 W343 X343 Y343 Z343 AA343 G344 H344 I344 J344 K344 L344 M344 N344 O344 P344 Q344 R344 S344 T344 U344 V344 W344 X344 Y344 Z344 AA344 G345 H345 I345 J345 K345 L345 M345 N345 O345 P345 Q345 R345 S345 T345 U345 V345 W345 X345 Y345 Z345 AA345 G346 H346 I346 J346 K346 L346 M346 N346 O346 P346 Q346 R346 S346 T346 U346 V346 W346 X346 Y346 Z346 AA346 G347 H347 I347 J347 K347 L347 M347 N347 O347 P347 Q347 R347 S347 T347 U347 V347 W347 X347 Y347 Z347 AA347 G348 H348 I348 J348 K348 L348 M348 N348 O348 P348 Q348 R348 S348 T348 U348 V348 W348 X348 Y348 Z348 AA348 G349 H349 I349 J349 K349 L349 M349 N349 O349 P349 Q349 R349 S349 T349 U349 V349 W349 X349 Y349 Z349 AA349 G350 H350 I350 J350 K350 L350 M350 N350 O350 P350 Q350 R350 S350 T350 U350 V350 W350 X350 Y350 Z350 AA350 G351 H351 I351 J351 K351 L351 M351 N351 O351 P351 Q351 R351 S351 T351 U351 V351 W351 X351 Y351 Z351 AA351 G352 H352 I352 J352 K352 L352 M352 N352 O352 P352 Q352 R352 S352 T352 U352 V352 W352 X352 Y352 Z352 AA352 G353 H353 I353 J353 K353 L353 M353 N353 O353 P353 Q353 R353 S353 T353 U353 V353 W353 X353 Y353 Z353 AA353 G354 H354 I354 J354 K354 L354 M354 N354 O354 P354 Q354 R354 S354 T354 U354 V354 W354 X354 Y354 Z354 AA354 G355 H355 I355 J355 K355 L355 M355 N355 O355 P355 Q355 R355 S355 T355 U355 V355 W355 X355 Y355 Z355 AA355 G356 H356 I356 J356 K356 L356 M356 N356 O356 P356 Q356 R356 S356 T356 U356 V356 W356 X356 Y356 Z356 AA356 G357 H357 I357 J357 K357 L357 M357 N357 O357 P357 Q357 R357 S357 T357 U357 V357 W357 X357 Y357 Z357 AA357 G358 H358 I358 J358 K358 L358 M358 N358 O358 P358 Q358 R358 S358 T358 U358 V358 W358 X358 Y358 Z358 AA358 G359 H359 I359 J359 K359 L359 M359 N359 O359 P359 Q359 R359 S359 T359 U359 V359 W359 X359 Y359 Z359 AA359 G360 H360 I360 J360 K360 L360 M360 N360 O360 P360 Q360 R360 S360 T360 U360 V360 W360 X360 Y360 Z360 AA360 G361 H361 I361 J361 K361 L361 M361 N361 O361 P361 Q361 R361 S361 T361 U361 V361 W361 X361 Y361 Z361 AA361 G362 H362 I362 J362 K362 L362 M362 N362 O362 P362 Q362 R362 S362 T362 U362 V362 W362 X362 Y362 Z362 AA362 G363 H363 I363 J363 K363 L363 M363 N363 O363 P363 Q363 R363 S363 T363 U363 V363 W363 X363 Y363 Z363 AA363 G364 H364 I364 J364 K364 L364 M364 N364 O364 P364 Q364 R364 S364 T364 U364 V364 W364 X364 Y364 Z364 AA364 G365 H365 I365 J365 K365 L365 M365 N365 O365 P365 Q365 R365 S365 T365 U365 V365 W365 X365 Y365 Z365 AA365 G366 H366 I366 J366 K366 L366 M366 N366 O366 P366 Q366 R366 S366 T366 U366 V366 W366 X366 Y366 Z366 AA366 G367 H367 I367 J367 K367 L367 M367 N367 O367 P367 Q367 R367 S367 T367 U367 V367 W367 X367 Y367 Z367 AA367 G368 H368 I368 J368 K368 L368 M368 N368 O368 P368 Q368 R368 S368 T368 U368 V368 W368 X368 Y368 Z368 AA368 G369 H369 I369 J369 K369 L369 M369 N369 O369 P369 Q369 R369 S369 T369 U369 V369 W369 X369 Y369 Z369 AA369 G370 H370 I370 J370 K370 L370 M370 N370 O370 P370 Q370 R370 S370 T370 U370 V370 W370 X370 Y370 Z370 AA370 G371 H371 I371 J371 K371 L371 M371 N371 O371 P371 Q371 R371 S371 T371 U371 V371 W371 X371 Y371 Z371 AA371 G372 H372 I372 J372 K372 L372 M372 N372 O372 P372 Q372 R372 S372 T372 U372 V372 W372 X372 Y372 Z372 AA372 G373 H373 I373 J373 K373 L373 M373 N373 O373 P373 Q373 R373 S373 T373 U373 V373 W373 X373 Y373 Z373 AA373 G374 H374 I374 J374 K374 L374 M374 N374 O374 P374 Q374 R374 S374 T374 U374 V374 W374 X374 Y374 Z374 AA374 G375 H375 I375 J375 K375 L375 M375 N375 O375 P375 Q375 R375 S375 T375 U375 V375 W375 X375 Y375 Z375 AA375 G376 H376 I376 J376 K376 L376 M376 N376 O376 P376 Q376 R376 S376 T376 U376 V376 W376 X376 Y376 Z376 AA376 G377 H377 I377 J377 K377 L377 M377 N377 O377 P377 Q377 R377 S377 T377 U377 V377 W377 X377 Y377 Z377 AA377 G378 H378 I378 J378 K378 L378 M378 N378 O378 P378 Q378 R378 S378 T378 U378 V378 W378 X378 Y378 Z378 AA378 G379 H379 I379 J379 K379 L379 M379 N379 O379 P379 Q379 R379 S379 T379 U379 V379 W379 X379 Y379 Z379 AA379 G380 H380 I380 J380 K380 L380 M380 N380 O380 P380 Q380 R380 S380 T380 U380 V380 W380 X380 Y380 Z380 AA380 G381 H381 I381 J381 K381 L381 M381 N381 O381 P381 Q381 R381 S381 T381 U381 V381 W381 X381 Y381 Z381 AA381 G382 H382 I382 J382 K382 L382 M382 N382 O382 P382 Q382 R382 S382 T382 U382 V382 W382 X382 Y382 Z382 AA382 G383 H383 I383 J383 K383 L383 M383 N383 O383 P383 Q383 R383 S383 T383 U383 V383 W383 X383 Y383 Z383 AA383 G384 H384 I384 J384 K384 L384 M384 N384 O384 P384 Q384 R384 S384 T384 U384 V384 W384 X384 Y384 Z384 AA384 G385 H385 I385 J385 K385 L385 M385 N385 O385 P385 Q385 R385 S385 T385 U385 V385 W385 X385 Y385 Z385 AA385 G386 H386 I386 J386 K386 L386 M386 N386 O386 P386 Q386 R386 S386 T386 U386 V386 W386 X386 Y386 Z386 AA386 G387 H387 I387 J387 K387 L387 M387 N387 O387 P387 Q387 R387 S387 T387 U387 V387 W387 X387 Y387 Z387 AA387 G388 H388 I388 J388 K388 L388 M388 N388 O388 P388 Q388 R388 S388 T388 U388 V388 W388 X388 Y388 Z388 AA388 G389 H389 I389 J389 K389 L389 M389 N389 O389 P389 Q389 R389 S389 T389 U389 V389 W389 X389 Y389 Z389 AA389 G390 H390 I390 J390 K390 L390 M390 N390 O390 P390 Q390 R390 S390 T390 U390 V390 W390 X390 Y390 Z390 AA390 G391 H391 I391 J391 K391 L391 M391 N391 O391 P391 Q391 R391 S391 T391 U391 V391 W391 X391 Y391 Z391 AA391 G392 H392 I392 J392 K392 L392 M392 N392 O392 P392 Q392 R392 S392 T392 U392 V392 W392 X392 Y392 Z392 AA392 G393 H393 I393 J393 K393 L393 M393 N393 O393 P393 Q393 R393 S393 T393 U393 V393 W393 X393 Y393 Z393 AA393 G394 H394 I394 J394 K394 L394 M394 N394 O394 P394 Q394 R394 S394 T394 U394 V394 W394 X394 Y394 Z394 AA394 G395 H395 I395 J395 K395 L395 M395 N395 O395 P395 Q395 R395 S395 T395 U395 V395 W395 X395 Y395 Z395 AA395 G396 H396 I396 J396 K396 L396 M396 N396 O396 P396 Q396 R396 S396 T396 U396 V396 W396 X396 Y396 Z396 AA396 G397 H397 I397 J397 K397 L397 M397 N397 O397 P397 Q397 R397 S397 T397 U397 V397 W397 X397 Y397 Z397 AA397 G398 H398 I398 J398 K398 L398 M398 N398 O398 P398 Q398 R398 S398 T398 U398 V398 W398 X398 Y398 Z398 AA398 G399 H399 I399 J399 K399 L399 M399 N399 O399 P399 Q399 R399 S399 T399 U399 V399 W399 X399 Y399 Z399 AA399 G400 H400 I400 J400 K400 L400 M400 N400 O400 P400 Q400 R400 S400 T400 U400 V400 W400 X400 Y400 Z400 AA400 G401 H401 I401 J401 K401 L401 M401 N401 O401 P401 Q401 R401 S401 T401 U401 V401 W401 X401 Y401 Z401 AA401 G402 H402 I402 J402 K402 L402 M402 N402 O402 P402 Q402 R402 S402 T402 U402 V402 W402 X402 Y402 Z402 AA402 G403 H403 I403 J403 K403 L403 M403 N403 O403 P403 Q403 R403 S403 T403 U403 V403 W403 X403 Y403 Z403 AA403 G404 H404 I404 J404 K404 L404 M404 N404 O404 P404 Q404 R404 S404 T404 U404 V404 W404 X404 Y404 Z404 AA404 G405 H405 I405 J405 K405 L405 M405 N405 O405 P405 Q405 R405 S405 T405 U405 V405 W405 X405 Y405 Z405 AA405 G406 H406 I406 J406 K406 L406 M406 N406 O406 P406 Q406 R406 S406 T406 U406 V406 W406 X406 Y406 Z406 AA406 G407 H407 I407 J407 K407 L407 M407 N407 O407 P407 Q407 R407 S407 T407 U407 V407 W407 X407 Y407 Z407 AA407 G408 H408 I408 J408 K408 L408 M408 N408 O408 P408 Q408 R408 S408 T408 U408 V408 W408 X408 Y408 Z408 AA408 G409 H409 I409 J409 K409 L409 M409 N409 O409 P409 Q409 R409 S409 T409 U409 V409 W409 X409 Y409 Z409 AA409 G410 H410 I410 J410 K410 L410 M410 N410 O410 P410 Q410 R410 S410 T410 U410 V410 W410 X410 Y410 Z410 AA410 G411 H411 I411 J411 K411 L411 M411 N411 O411 P411 Q411 R411 S411 T411 U411 V411 W411 X411 Y411 Z411 AA411 G412 H412 I412 J412 K412 L412 M412 N412 O412 P412 Q412 R412 S412 T412 U412 V412 W412 X412 Y412 Z412 AA412 G413 H413 I413 J413 K413 L413 M413 N413 O413 P413 Q413 R413 S413 T413 U413 V413 W413 X413 Y413 Z413 AA413 G414 H414 I414 J414 K414 L414 M414 N414 O414 P414 Q414 R414 S414 T414 U414 V414 W414 X414 Y414 Z414 AA414 G415 H415 I415 J415 K415 L415 M415 N415 O415 P415 Q415 R415 S415 T415 U415 V415 W415 X415 Y415 Z415 AA415 G416 H416 I416 J416 K416 L416 M416 N416 O416 P416 Q416 R416 S416 T416 U416 V416 W416 X416 Y416 Z416 AA416 G417 H417 I417 J417 K417 L417 M417 N417 O417 P417 Q417 R417 S417 T417 U417 V417 W417 X417 Y417 Z417 AA417 G418 H418 I418 J418 K418 L418 M418 N418 O418 P418 Q418 R418 S418 T418 U418 V418 W418 X418 Y418 Z418 AA418 G419 H419 I419 J419 K419 L419 M419 N419 O419 P419 Q419 R419 S419 T419 U419 V419 W419 X419 Y419 Z419 AA419 G420 H420 I420 J420 K420 L420 M420 N420 O420 P420 Q420 R420 S420 T420 U420 V420 W420 X420 Y420 Z420 AA420 G421 H421 I421 J421 K421 L421 M421 N421 O421 P421 Q421 R421 S421 T421 U421 V421 W421 X421 Y421 Z421 AA421 G422 H422 I422 J422 K422 L422 M422 N422 O422 P422 Q422 R422 S422 T422 U422 V422 W422 X422 Y422 Z422 AA422 G423 H423 I423 J423 K423 L423 M423 N423 O423 P423 Q423 R423 S423 T423 U423 V423 W423 X423 Y423 Z423 AA423 G424 H424 I424 J424 K424 L424 M424 N424 O424 P424 Q424 R424 S424 T424 U424 V424 W424 X424 Y424 Z424 AA424 G425 H425 I425 J425 K425 L425 M425 N425 O425 P425 Q425 R425 S425 T425 U425 V425 W425 X425 Y425 Z425 AA425 G426 H426 I426 J426 K426 L426 M426 N426 O426 P426 Q426 R426 S426 T426 U426 V426 W426 X426 Y426 Z426 AA426 G427 H427 I427 J427 K427 L427 M427 N427 O427 P427 Q427 R427 S427 T427 U427 V427 W427 X427 Y427 Z427 AA427">
    <cfRule priority="1" type="cellIs" operator="notBetween" stopIfTrue="1" dxfId="0">
      <formula>0.1</formula>
      <formula>120</formula>
    </cfRule>
  </conditionalFormatting>
  <dataValidations>
    <dataValidation showErrorMessage="1" sqref="N21 E23" allowBlank="1" prompt=": " type="whole" operator="notEqual" showInputMessage="1">
      <formula1>-431.2126</formula1>
    </dataValidation>
  </dataValidations>
  <legacy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1" style="125" width="9.14"/>
    <col min="2" customWidth="1" max="2" style="125" width="10.57"/>
    <col min="3" customWidth="1" max="3" style="125" width="9.14"/>
    <col min="4" customWidth="1" max="4" style="125" width="9.29"/>
    <col min="5" customWidth="1" max="10" style="125" width="9.14"/>
    <col min="11" customWidth="1" max="11" style="125" width="25.43"/>
    <col min="12" customWidth="1" max="12" style="125" width="7.43"/>
    <col min="13" customWidth="1" max="13" style="125" width="4.86"/>
    <col min="14" customWidth="1" max="15" style="125" width="8.71"/>
    <col min="16" customWidth="1" max="19" style="642" width="8.71"/>
    <col min="20" customWidth="1" max="20" style="125" width="9.71"/>
    <col min="21" customWidth="1" max="24" style="642" width="8.71"/>
    <col min="25" customWidth="1" max="26" style="125" width="7.0"/>
    <col min="27" customWidth="1" max="27" style="125" width="6.86"/>
    <col min="28" customWidth="1" max="28" style="125" width="7.71"/>
    <col min="29" customWidth="1" max="29" style="125" width="6.43"/>
    <col min="30" customWidth="1" max="30" style="125" width="7.43"/>
    <col min="31" customWidth="1" max="31" style="125" width="7.71"/>
    <col min="32" customWidth="1" max="49" style="884" width="0.29"/>
    <col min="50" customWidth="1" max="50" style="707" width="0.29"/>
    <col min="51" customWidth="1" max="51" style="125" width="7.71"/>
    <col min="52" customWidth="1" max="52" style="761" width="6.57"/>
    <col min="53" customWidth="1" max="53" style="761" width="6.71"/>
    <col min="54" customWidth="1" max="54" style="125" width="11.29"/>
    <col min="55" customWidth="1" max="61" style="125" width="9.14"/>
  </cols>
  <sheetData>
    <row r="1">
      <c s="125" r="A1"/>
      <c s="125" r="B1"/>
      <c s="125" r="C1"/>
      <c s="125" r="D1"/>
      <c s="125" r="E1"/>
      <c s="125" r="F1"/>
      <c s="125" r="G1"/>
      <c s="125" r="H1"/>
      <c s="125" r="I1"/>
      <c s="125" r="J1"/>
      <c s="125" r="K1"/>
      <c s="125" r="L1"/>
      <c s="125" r="M1"/>
      <c s="125" r="N1"/>
      <c s="125" r="O1"/>
      <c s="642" r="P1"/>
      <c s="642" r="Q1"/>
      <c s="642" r="R1"/>
      <c s="642" r="S1"/>
      <c s="125" r="T1"/>
      <c s="642" r="U1"/>
      <c s="642" r="V1"/>
      <c s="642" r="W1"/>
      <c s="642" r="X1"/>
      <c s="125" r="Y1"/>
      <c s="125" r="Z1"/>
      <c s="125" r="AA1"/>
      <c s="125" r="AB1"/>
      <c s="125" r="AC1"/>
      <c s="318" r="AD1"/>
      <c s="125" r="AE1"/>
      <c s="684" r="AF1"/>
      <c s="684" r="AG1"/>
      <c s="684" r="AH1"/>
      <c s="684" r="AI1"/>
      <c s="684" r="AJ1"/>
      <c s="684" r="AK1"/>
      <c s="684" r="AL1"/>
      <c s="684" r="AM1"/>
      <c s="684" r="AN1"/>
      <c s="761" r="AO1"/>
      <c s="684" r="AP1"/>
      <c s="684" r="AQ1"/>
      <c s="125" r="AR1"/>
      <c s="906" r="AS1"/>
      <c s="125" r="AT1"/>
      <c s="125" r="AU1"/>
      <c s="684" r="AV1"/>
      <c s="684" r="AW1"/>
      <c s="684" r="AX1"/>
      <c s="761" r="AY1"/>
      <c s="302" r="AZ1"/>
      <c s="761" r="BA1"/>
      <c s="125" r="BB1"/>
      <c s="125" r="BC1"/>
      <c s="125" r="BD1"/>
      <c s="125" r="BE1"/>
      <c s="125" r="BF1"/>
      <c s="125" r="BG1"/>
      <c s="125" r="BH1"/>
      <c s="125" r="BI1"/>
    </row>
    <row r="2">
      <c s="125" r="A2"/>
      <c s="125" r="B2"/>
      <c s="125" r="C2"/>
      <c s="125" r="D2"/>
      <c s="125" r="E2"/>
      <c s="125" r="F2"/>
      <c s="125" r="G2"/>
      <c s="125" r="H2"/>
      <c s="125" r="I2"/>
      <c s="125" r="J2"/>
      <c s="125" r="K2"/>
      <c s="125" r="L2"/>
      <c s="125" r="M2"/>
      <c s="125" r="N2"/>
      <c s="125" r="O2"/>
      <c s="642" r="P2"/>
      <c s="642" r="Q2"/>
      <c s="642" r="R2"/>
      <c s="642" r="S2"/>
      <c s="125" r="T2"/>
      <c s="642" r="U2"/>
      <c s="642" r="V2"/>
      <c s="642" r="W2"/>
      <c s="642" r="X2"/>
      <c s="125" r="Y2"/>
      <c s="125" r="Z2"/>
      <c s="125" r="AA2"/>
      <c s="125" r="AB2"/>
      <c s="125" r="AC2"/>
      <c s="318" r="AD2"/>
      <c s="125" r="AE2"/>
      <c s="684" r="AF2"/>
      <c s="684" r="AG2"/>
      <c s="684" r="AH2"/>
      <c s="684" r="AI2"/>
      <c s="684" r="AJ2"/>
      <c s="684" r="AK2"/>
      <c s="684" r="AL2"/>
      <c s="684" r="AM2"/>
      <c s="684" r="AN2"/>
      <c s="761" r="AO2"/>
      <c s="684" r="AP2"/>
      <c s="684" r="AQ2"/>
      <c s="125" r="AR2"/>
      <c s="906" r="AS2"/>
      <c s="125" r="AT2"/>
      <c s="125" r="AU2"/>
      <c s="684" r="AV2"/>
      <c s="684" r="AW2"/>
      <c s="684" r="AX2"/>
      <c s="761" r="AY2"/>
      <c s="302" r="AZ2"/>
      <c s="761" r="BA2"/>
      <c s="125" r="BB2"/>
      <c s="125" r="BC2"/>
      <c s="125" r="BD2"/>
      <c s="125" r="BE2"/>
      <c s="125" r="BF2"/>
      <c s="125" r="BG2"/>
      <c s="125" r="BH2"/>
      <c s="125" r="BI2"/>
    </row>
    <row customHeight="1" r="3" ht="13.5">
      <c s="125" r="A3"/>
      <c s="361" r="B3"/>
      <c s="361" r="C3"/>
      <c s="361" r="D3"/>
      <c s="361" r="E3"/>
      <c s="361" r="F3"/>
      <c s="361" r="G3"/>
      <c s="361" r="H3"/>
      <c s="361" r="I3"/>
      <c s="125" r="J3"/>
      <c s="361" r="K3"/>
      <c s="361" r="L3"/>
      <c s="361" r="M3"/>
      <c s="361" r="N3"/>
      <c s="361" r="O3"/>
      <c s="854" r="P3"/>
      <c s="854" r="Q3"/>
      <c s="854" r="R3"/>
      <c s="854" r="S3"/>
      <c s="361" r="T3"/>
      <c s="854" r="U3"/>
      <c s="854" r="V3"/>
      <c s="854" r="W3"/>
      <c s="854" r="X3"/>
      <c s="361" r="Y3"/>
      <c s="361" r="Z3"/>
      <c s="361" r="AA3"/>
      <c s="361" r="AB3"/>
      <c s="361" r="AC3"/>
      <c s="361" r="AD3"/>
      <c s="361" r="AE3"/>
      <c s="361" r="AF3"/>
      <c s="361" r="AG3"/>
      <c s="361" r="AH3"/>
      <c s="361" r="AI3"/>
      <c s="361" r="AJ3"/>
      <c s="361" r="AK3"/>
      <c s="361" r="AL3"/>
      <c s="361" r="AM3"/>
      <c s="361" r="AN3"/>
      <c s="109" r="AO3"/>
      <c s="361" r="AP3"/>
      <c s="361" r="AQ3"/>
      <c s="361" r="AR3"/>
      <c s="272" r="AS3"/>
      <c s="361" r="AT3"/>
      <c s="361" r="AU3"/>
      <c s="361" r="AV3"/>
      <c s="361" r="AW3"/>
      <c s="854" r="AX3"/>
      <c s="761" r="AY3"/>
      <c s="761" r="AZ3"/>
      <c s="761" r="BA3"/>
      <c s="361" r="BB3"/>
      <c s="361" r="BC3"/>
      <c s="361" r="BD3"/>
      <c s="361" r="BE3"/>
      <c s="361" r="BF3"/>
      <c s="361" r="BG3"/>
      <c s="125" r="BH3"/>
      <c s="125" r="BI3"/>
    </row>
    <row customHeight="1" r="4" ht="14.25">
      <c s="822" r="A4"/>
      <c t="s" s="170" r="B4">
        <v>302</v>
      </c>
      <c s="814" r="C4"/>
      <c s="814" r="D4"/>
      <c s="814" r="E4"/>
      <c s="814" r="F4"/>
      <c s="814" r="G4"/>
      <c s="814" r="H4"/>
      <c s="481" r="I4"/>
      <c s="702" r="J4"/>
      <c t="s" s="659" r="K4">
        <v>302</v>
      </c>
      <c s="516" r="L4"/>
      <c t="s" s="156" r="M4">
        <v>303</v>
      </c>
      <c s="516" r="N4"/>
      <c s="507" r="O4"/>
      <c s="657" r="P4"/>
      <c s="657" r="Q4"/>
      <c s="657" r="R4"/>
      <c s="657" r="S4"/>
      <c s="657" r="T4"/>
      <c s="657" r="U4"/>
      <c s="657" r="V4"/>
      <c s="657" r="W4"/>
      <c s="657" r="X4"/>
      <c s="657" r="Y4"/>
      <c s="657" r="Z4"/>
      <c s="657" r="AA4"/>
      <c s="657" r="AB4"/>
      <c s="657" r="AC4"/>
      <c s="657" r="AD4"/>
      <c s="825" r="AE4"/>
      <c t="s" s="810" r="AF4">
        <v>304</v>
      </c>
      <c s="567" r="AG4"/>
      <c s="567" r="AH4"/>
      <c s="567" r="AI4"/>
      <c s="567" r="AJ4"/>
      <c s="567" r="AK4"/>
      <c s="567" r="AL4"/>
      <c s="567" r="AM4"/>
      <c s="567" r="AN4"/>
      <c s="567" r="AO4"/>
      <c s="567" r="AP4"/>
      <c s="567" r="AQ4"/>
      <c s="567" r="AR4"/>
      <c s="244" r="AS4"/>
      <c s="567" r="AT4"/>
      <c s="567" r="AU4"/>
      <c s="567" r="AV4"/>
      <c s="567" r="AW4"/>
      <c t="s" s="463" r="AX4">
        <v>304</v>
      </c>
      <c s="51" r="AY4"/>
      <c s="761" r="AZ4"/>
      <c s="591" r="BA4"/>
      <c t="s" s="173" r="BB4">
        <v>305</v>
      </c>
      <c s="839" r="BC4"/>
      <c s="839" r="BD4"/>
      <c s="902" r="BE4"/>
      <c s="473" r="BF4"/>
      <c s="206" r="BG4"/>
      <c s="51" r="BH4"/>
      <c s="125" r="BI4"/>
    </row>
    <row r="5">
      <c s="822" r="A5"/>
      <c s="381" r="B5"/>
      <c s="756" r="C5"/>
      <c s="756" r="D5"/>
      <c s="756" r="E5"/>
      <c s="756" r="F5"/>
      <c s="756" r="G5"/>
      <c s="756" r="H5"/>
      <c s="731" r="I5"/>
      <c s="702" r="J5"/>
      <c s="722" r="K5"/>
      <c s="283" r="L5"/>
      <c s="283" r="M5"/>
      <c s="283" r="N5"/>
      <c s="283" r="O5"/>
      <c s="283" r="P5"/>
      <c s="283" r="Q5"/>
      <c s="283" r="R5"/>
      <c s="283" r="S5"/>
      <c s="664" r="T5"/>
      <c s="283" r="U5"/>
      <c s="283" r="V5"/>
      <c s="283" r="W5"/>
      <c s="283" r="X5"/>
      <c s="664" r="Y5"/>
      <c s="664" r="Z5"/>
      <c s="664" r="AA5"/>
      <c s="664" r="AB5"/>
      <c s="664" r="AC5"/>
      <c s="664" r="AD5"/>
      <c s="726" r="AE5"/>
      <c t="s" s="389" r="AF5">
        <v>304</v>
      </c>
      <c s="890" r="AG5"/>
      <c s="890" r="AH5"/>
      <c s="890" r="AI5"/>
      <c s="890" r="AJ5"/>
      <c s="890" r="AK5"/>
      <c s="890" r="AL5"/>
      <c s="890" r="AM5"/>
      <c s="890" r="AN5"/>
      <c t="s" s="682" r="AO5">
        <v>306</v>
      </c>
      <c s="890" r="AP5"/>
      <c s="890" r="AQ5"/>
      <c s="890" r="AR5"/>
      <c s="890" r="AS5"/>
      <c s="890" r="AT5"/>
      <c s="890" r="AU5"/>
      <c s="890" r="AV5"/>
      <c s="890" r="AW5"/>
      <c t="s" s="777" r="AX5">
        <v>304</v>
      </c>
      <c s="113" r="AY5"/>
      <c s="486" r="AZ5"/>
      <c s="591" r="BA5"/>
      <c s="332" r="BB5"/>
      <c t="s" s="407" r="BC5">
        <v>307</v>
      </c>
      <c t="s" s="407" r="BD5">
        <v>308</v>
      </c>
      <c t="s" s="407" r="BE5">
        <v>309</v>
      </c>
      <c t="s" s="407" r="BF5">
        <v>310</v>
      </c>
      <c t="s" s="760" r="BG5">
        <v>311</v>
      </c>
      <c s="51" r="BH5"/>
      <c s="125" r="BI5"/>
    </row>
    <row r="6">
      <c s="822" r="A6"/>
      <c s="406" r="B6"/>
      <c t="s" s="729" r="C6">
        <v>312</v>
      </c>
      <c s="566" r="D6"/>
      <c s="566" r="E6"/>
      <c s="566" r="F6"/>
      <c s="566" r="G6"/>
      <c s="566" r="H6"/>
      <c s="418" r="I6"/>
      <c s="702" r="J6"/>
      <c s="908" r="K6"/>
      <c s="52" r="L6"/>
      <c s="52" r="M6"/>
      <c s="52" r="N6"/>
      <c s="52" r="O6"/>
      <c s="52" r="P6"/>
      <c s="52" r="Q6"/>
      <c s="52" r="R6"/>
      <c s="52" r="S6"/>
      <c s="551" r="T6"/>
      <c s="52" r="U6"/>
      <c s="52" r="V6"/>
      <c s="52" r="W6"/>
      <c s="52" r="X6"/>
      <c s="551" r="Y6"/>
      <c s="551" r="Z6"/>
      <c s="551" r="AA6"/>
      <c s="551" r="AB6"/>
      <c s="551" r="AC6"/>
      <c s="551" r="AD6"/>
      <c s="671" r="AE6"/>
      <c t="s" s="389" r="AF6">
        <v>304</v>
      </c>
      <c s="890" r="AG6"/>
      <c s="890" r="AH6"/>
      <c s="890" r="AI6"/>
      <c s="890" r="AJ6"/>
      <c s="890" r="AK6"/>
      <c s="890" r="AL6"/>
      <c s="890" r="AM6"/>
      <c s="890" r="AN6"/>
      <c t="s" s="890" r="AO6">
        <v>313</v>
      </c>
      <c t="s" s="890" r="AP6">
        <v>314</v>
      </c>
      <c t="s" s="890" r="AQ6">
        <v>315</v>
      </c>
      <c t="s" s="890" r="AR6">
        <v>316</v>
      </c>
      <c t="s" s="890" r="AS6">
        <v>317</v>
      </c>
      <c t="s" s="890" r="AT6">
        <v>318</v>
      </c>
      <c t="s" s="890" r="AU6">
        <v>319</v>
      </c>
      <c t="s" s="890" r="AV6">
        <v>320</v>
      </c>
      <c s="890" r="AW6"/>
      <c t="s" s="777" r="AX6">
        <v>321</v>
      </c>
      <c s="113" r="AY6"/>
      <c s="761" r="AZ6"/>
      <c s="591" r="BA6"/>
      <c t="s" s="716" r="BB6">
        <v>322</v>
      </c>
      <c t="str" s="618" r="BC6">
        <f>IF((SUM(BC10:BC19)&gt;0),((SUMIF(BC10:BC19,"&gt;0")/(MAX($O$44:$O$361)-$O$44))*100),"")</f>
        <v/>
      </c>
      <c t="str" s="213" r="BD6">
        <f>IF((SUM(BD10:BD19)&gt;0),((SUMIF(BD10:BD19,"&gt;0")/(MAX($O$44:$O$361)-$O$44))*100),"")</f>
        <v/>
      </c>
      <c t="str" s="213" r="BE6">
        <f>IF((SUM(BE10:BE19)&gt;0),((SUMIF(BE10:BE19,"&gt;0")/(MAX($O$44:$O$361)-$O$44))*100),"")</f>
        <v/>
      </c>
      <c t="str" s="15" r="BF6">
        <f>IF((SUM(BF10:BF19)&gt;0),((SUMIF(BF10:BF19,"&gt;0")/(MAX($O$44:$O$361)-$O$44))*100),"")</f>
        <v/>
      </c>
      <c t="s" s="862" r="BG6">
        <v>323</v>
      </c>
      <c s="51" r="BH6"/>
      <c s="125" r="BI6"/>
    </row>
    <row r="7">
      <c s="822" r="A7"/>
      <c s="406" r="B7"/>
      <c t="s" s="756" r="C7">
        <v>324</v>
      </c>
      <c s="756" r="D7"/>
      <c s="756" r="E7"/>
      <c s="756" r="F7"/>
      <c s="756" r="G7"/>
      <c s="756" r="H7"/>
      <c s="418" r="I7"/>
      <c s="702" r="J7"/>
      <c s="908" r="K7"/>
      <c s="551" r="L7"/>
      <c s="551" r="M7"/>
      <c s="551" r="N7"/>
      <c s="551" r="O7"/>
      <c s="551" r="P7"/>
      <c s="551" r="Q7"/>
      <c s="551" r="R7"/>
      <c s="551" r="S7"/>
      <c s="551" r="T7"/>
      <c s="551" r="U7"/>
      <c s="551" r="V7"/>
      <c s="551" r="W7"/>
      <c s="551" r="X7"/>
      <c s="551" r="Y7"/>
      <c s="551" r="Z7"/>
      <c s="551" r="AA7"/>
      <c s="551" r="AB7"/>
      <c s="551" r="AC7"/>
      <c s="551" r="AD7"/>
      <c s="671" r="AE7"/>
      <c t="s" s="389" r="AF7">
        <v>304</v>
      </c>
      <c s="890" r="AG7"/>
      <c s="890" r="AH7"/>
      <c s="890" r="AI7"/>
      <c s="890" r="AJ7"/>
      <c s="890" r="AK7"/>
      <c s="890" r="AL7"/>
      <c s="890" r="AM7"/>
      <c t="s" s="80" r="AN7">
        <v>325</v>
      </c>
      <c t="str" s="423" r="AO7">
        <f>IF((COUNT(AO10:AO39)=0),"---",ROUND(AVERAGE(AO10:AO39),1))</f>
        <v>---</v>
      </c>
      <c t="str" s="423" r="AP7">
        <f>IF((COUNT(AP10:AP39)=0),"---",ROUND(AVERAGE(AP10:AP39),1))</f>
        <v>---</v>
      </c>
      <c t="str" s="423" r="AQ7">
        <f>IF((COUNT(AQ10:AQ39)=0),"---",ROUND(AVERAGE(AQ10:AQ39),1))</f>
        <v>---</v>
      </c>
      <c t="str" s="423" r="AR7">
        <f>IF((COUNT(AR10:AR39)=0),"---",ROUND(AVERAGE(AR10:AR39),1))</f>
        <v>---</v>
      </c>
      <c t="str" s="142" r="AS7">
        <f>IF((COUNT(AS10:AS39)=0),"---",IF((AVERAGE(AS10:AS39)=0),0,(ROUND((AVERAGE(AS10:AS39)/(10^TRUNC(LOG(ABS(AVERAGE(AS10:AS39)))))),(2-IF((AVERAGE(AS10:AS39)&gt;1),1,0)))*(10^TRUNC(LOG(ABS(AVERAGE(AS10:AS39))))))))</f>
        <v>---</v>
      </c>
      <c t="str" s="142" r="AT7">
        <f>IF((COUNT(AT10:AT39)=0),"---",IF((AVERAGE(AT10:AT39)&lt;0.00001),0,(ROUND((AVERAGE(AT10:AT39)/(10^TRUNC(LOG(ABS(AVERAGE(AT10:AT39)))))),(2-IF((AVERAGE(AT10:AT39)&gt;1),1,0)))*(10^TRUNC(LOG(ABS(AVERAGE(AT10:AT39))))))))</f>
        <v>---</v>
      </c>
      <c t="str" s="142" r="AU7">
        <f>IF((COUNT(AU10:AU39)=0),"---",IF((AVERAGE(AU10:AU39)&lt;0.00001),0,(ROUND((AVERAGE(AU10:AU39)/(10^TRUNC(LOG(ABS(AVERAGE(AU10:AU39)))))),(2-IF((AVERAGE(AU10:AU39)&gt;1),1,0)))*(10^TRUNC(LOG(ABS(AVERAGE(AU10:AU39))))))))</f>
        <v>---</v>
      </c>
      <c t="str" s="142" r="AV7">
        <f>IF((COUNT(AV10:AV39)=0),"---",IF((AVERAGE(AV10:AV39)&lt;0.00001),0,(ROUND((AVERAGE(AV10:AV39)/(10^TRUNC(LOG(ABS(AVERAGE(AV10:AV39)))))),(2-IF((AVERAGE(AV10:AV39)&gt;1),1,0)))*(10^TRUNC(LOG(ABS(AVERAGE(AV10:AV39))))))))</f>
        <v>---</v>
      </c>
      <c s="142" r="AW7"/>
      <c t="str" s="777" r="AX7">
        <f>IF((COUNT(AX10:AX39)=0),"---",AVERAGE(AX10:AX39))</f>
        <v>---</v>
      </c>
      <c s="113" r="AY7"/>
      <c s="486" r="AZ7"/>
      <c s="591" r="BA7"/>
      <c t="s" s="716" r="BB7">
        <v>326</v>
      </c>
      <c t="str" s="719" r="BC7">
        <f>IF(ISNUMBER(BC$6),AVERAGE(BC$10:BC$19),"")</f>
        <v/>
      </c>
      <c t="str" s="286" r="BD7">
        <f>IF(ISNUMBER(BD$6),AVERAGE(BD$10:BD$19),"")</f>
        <v/>
      </c>
      <c t="str" s="286" r="BE7">
        <f>IF(ISNUMBER(BE$6),AVERAGE(BE$10:BE$19),"")</f>
        <v/>
      </c>
      <c t="str" s="286" r="BF7">
        <f>IF(ISNUMBER(BF$6),AVERAGE(BF$10:BF$19),"")</f>
        <v/>
      </c>
      <c t="str" s="564" r="BG7">
        <f>IF((SUM(BG$10:BG$19)&gt;0),AVERAGE(BG$10:BG$19),"")</f>
        <v/>
      </c>
      <c s="51" r="BH7"/>
      <c s="125" r="BI7"/>
    </row>
    <row r="8">
      <c s="822" r="A8"/>
      <c s="406" r="B8"/>
      <c t="s" s="886" r="C8">
        <v>327</v>
      </c>
      <c s="886" r="D8"/>
      <c s="886" r="E8"/>
      <c s="886" r="F8"/>
      <c s="886" r="G8"/>
      <c s="886" r="H8"/>
      <c s="418" r="I8"/>
      <c s="702" r="J8"/>
      <c s="908" r="K8"/>
      <c s="551" r="L8"/>
      <c s="551" r="M8"/>
      <c s="551" r="N8"/>
      <c s="551" r="O8"/>
      <c s="551" r="P8"/>
      <c s="551" r="Q8"/>
      <c s="551" r="R8"/>
      <c s="551" r="S8"/>
      <c s="551" r="T8"/>
      <c s="551" r="U8"/>
      <c s="551" r="V8"/>
      <c s="551" r="W8"/>
      <c s="551" r="X8"/>
      <c s="551" r="Y8"/>
      <c s="551" r="Z8"/>
      <c s="551" r="AA8"/>
      <c s="551" r="AB8"/>
      <c s="551" r="AC8"/>
      <c s="551" r="AD8"/>
      <c s="671" r="AE8"/>
      <c t="s" s="389" r="AF8">
        <v>304</v>
      </c>
      <c s="890" r="AG8"/>
      <c s="890" r="AH8"/>
      <c s="890" r="AI8"/>
      <c s="890" r="AJ8"/>
      <c s="890" r="AK8"/>
      <c s="890" r="AL8"/>
      <c s="890" r="AM8"/>
      <c t="s" s="80" r="AN8">
        <v>76</v>
      </c>
      <c t="str" s="142" r="AO8">
        <f>IF((MIN(AO10:AO39)=MAX(AO10:AO39)),"---",ROUND(MIN(AO10:AO39),1))</f>
        <v>---</v>
      </c>
      <c t="str" s="142" r="AP8">
        <f>IF((MIN(AP10:AP39)=MAX(AP10:AP39)),"---",ROUND(MIN(AP10:AP39),1))</f>
        <v>---</v>
      </c>
      <c t="str" s="142" r="AQ8">
        <f>IF((MIN(AQ10:AQ39)=MAX(AQ10:AQ39)),"---",ROUND(MIN(AQ10:AQ39),1))</f>
        <v>---</v>
      </c>
      <c t="str" s="142" r="AR8">
        <f>IF((MIN(AR10:AR39)=MAX(AR10:AR39)),"---",ROUND(MIN(AR10:AR39),1))</f>
        <v>---</v>
      </c>
      <c t="str" s="142" r="AS8">
        <f>IF((MIN(AS10:AS39)=MAX(AS10:AS39)),"---",IF((MIN(AS10:AS39)&lt;0.00001),0,(ROUND((MIN(AS10:AS39)/(10^TRUNC(LOG(ABS(MIN(AS10:AS39)))))),(2-IF((MIN(AS10:AS39)&gt;1),1,0)))*(10^TRUNC(LOG(ABS(MIN(AS10:AS39))))))))</f>
        <v>---</v>
      </c>
      <c t="str" s="142" r="AT8">
        <f>IF((MIN(AT10:AT39)=MAX(AT10:AT39)),"---",IF((MIN(AT10:AT39)&lt;0.00001),0,(ROUND((MIN(AT10:AT39)/(10^TRUNC(LOG(ABS(MIN(AT10:AT39)))))),(2-IF((MIN(AT10:AT39)&gt;1),1,0)))*(10^TRUNC(LOG(ABS(MIN(AT10:AT39))))))))</f>
        <v>---</v>
      </c>
      <c t="str" s="142" r="AU8">
        <f>IF((MIN(AU10:AU39)=MAX(AU10:AU39)),"---",IF((MIN(AU10:AU39)&lt;0.00001),0,(ROUND((MIN(AU10:AU39)/(10^TRUNC(LOG(ABS(MIN(AU10:AU39)))))),(2-IF((MIN(AU10:AU39)&gt;1),1,0)))*(10^TRUNC(LOG(ABS(MIN(AU10:AU39))))))))</f>
        <v>---</v>
      </c>
      <c t="str" s="142" r="AV8">
        <f>IF((MIN(AV10:AV39)=MAX(AV10:AV39)),"---",IF((MIN(AV10:AV39)&lt;0.00001),0,(ROUND((MIN(AV10:AV39)/(10^TRUNC(LOG(ABS(MIN(AV10:AV39)))))),(2-IF((MIN(AV10:AV39)&gt;1),1,0)))*(10^TRUNC(LOG(ABS(MIN(AV10:AV39))))))))</f>
        <v>---</v>
      </c>
      <c s="142" r="AW8"/>
      <c t="str" s="777" r="AX8">
        <f>IF((MIN(AX10:AX39)=MAX(AX10:AX39)),"---",MIN(AX10:AX39))</f>
        <v>---</v>
      </c>
      <c s="113" r="AY8"/>
      <c s="761" r="AZ8"/>
      <c s="591" r="BA8"/>
      <c t="s" s="716" r="BB8">
        <v>328</v>
      </c>
      <c t="str" s="719" r="BC8">
        <f>IF(ISNUMBER(BC$6),MIN(BC$10:BC$19),"")</f>
        <v/>
      </c>
      <c t="str" s="286" r="BD8">
        <f>IF(ISNUMBER(BD$6),MIN(BD$10:BD$19),"")</f>
        <v/>
      </c>
      <c t="str" s="286" r="BE8">
        <f>IF(ISNUMBER(BE$6),MIN(BE$10:BE$19),"")</f>
        <v/>
      </c>
      <c t="str" s="286" r="BF8">
        <f>IF(ISNUMBER(BF$6),MIN(BF$10:BF$19),"")</f>
        <v/>
      </c>
      <c t="str" s="224" r="BG8">
        <f>IF((SUM(BG$10:BG$19)&gt;0),MIN(BG$10:BG$19),"")</f>
        <v/>
      </c>
      <c s="51" r="BH8"/>
      <c s="125" r="BI8"/>
    </row>
    <row r="9">
      <c s="822" r="A9"/>
      <c s="406" r="B9"/>
      <c s="886" r="C9"/>
      <c s="886" r="D9"/>
      <c s="886" r="E9"/>
      <c s="886" r="F9"/>
      <c s="886" r="G9"/>
      <c s="886" r="H9"/>
      <c s="418" r="I9"/>
      <c s="702" r="J9"/>
      <c s="908" r="K9"/>
      <c s="551" r="L9"/>
      <c s="551" r="M9"/>
      <c s="551" r="N9"/>
      <c s="551" r="O9"/>
      <c s="551" r="P9"/>
      <c s="551" r="Q9"/>
      <c s="551" r="R9"/>
      <c s="551" r="S9"/>
      <c s="551" r="T9"/>
      <c s="551" r="U9"/>
      <c s="551" r="V9"/>
      <c s="551" r="W9"/>
      <c s="551" r="X9"/>
      <c s="551" r="Y9"/>
      <c s="551" r="Z9"/>
      <c s="551" r="AA9"/>
      <c s="551" r="AB9"/>
      <c s="551" r="AC9"/>
      <c s="551" r="AD9"/>
      <c s="671" r="AE9"/>
      <c t="s" s="389" r="AF9">
        <v>304</v>
      </c>
      <c s="890" r="AG9"/>
      <c s="890" r="AH9"/>
      <c s="890" r="AI9"/>
      <c s="890" r="AJ9"/>
      <c s="890" r="AK9"/>
      <c s="890" r="AL9"/>
      <c s="890" r="AM9"/>
      <c t="s" s="80" r="AN9">
        <v>77</v>
      </c>
      <c t="str" s="142" r="AO9">
        <f>IF((MIN(AO10:AO39)=MAX(AO10:AO39)),"---",ROUND(MAX(AO10:AO39),1))</f>
        <v>---</v>
      </c>
      <c t="str" s="142" r="AP9">
        <f>IF((MIN(AP10:AP39)=MAX(AP10:AP39)),"---",ROUND(MAX(AP10:AP39),1))</f>
        <v>---</v>
      </c>
      <c t="str" s="142" r="AQ9">
        <f>IF((MIN(AQ10:AQ39)=MAX(AQ10:AQ39)),"---",ROUND(MAX(AQ10:AQ39),1))</f>
        <v>---</v>
      </c>
      <c t="str" s="142" r="AR9">
        <f>IF((MIN(AR10:AR39)=MAX(AR10:AR39)),"---",ROUND(MAX(AR10:AR39),1))</f>
        <v>---</v>
      </c>
      <c t="str" s="142" r="AS9">
        <f>IF((MIN(AS10:AS39)=MAX(AS10:AS39)),"---",IF((MAX(AS10:AS39)=0),0,(ROUND((MAX(AS10:AS39)/(10^TRUNC(LOG(ABS(MAX(AS10:AS39)))))),(2-IF((MAX(AS10:AS39)&gt;1),1,0)))*(10^TRUNC(LOG(ABS(MAX(AS10:AS39))))))))</f>
        <v>---</v>
      </c>
      <c t="str" s="142" r="AT9">
        <f>IF((MIN(AT10:AT39)=MAX(AT10:AT39)),"---",IF((MAX(AT10:AT39)&lt;0.00001),0,(ROUND((MAX(AT10:AT39)/(10^TRUNC(LOG(ABS(MAX(AT10:AT39)))))),(2-IF((MAX(AT10:AT39)&gt;1),1,0)))*(10^TRUNC(LOG(ABS(MAX(AT10:AT39))))))))</f>
        <v>---</v>
      </c>
      <c t="str" s="142" r="AU9">
        <f>IF((MIN(AU10:AU39)=MAX(AU10:AU39)),"---",IF((MAX(AU10:AU39)&lt;0.00001),0,(ROUND((MAX(AU10:AU39)/(10^TRUNC(LOG(ABS(MAX(AU10:AU39)))))),(2-IF((MAX(AU10:AU39)&gt;1),1,0)))*(10^TRUNC(LOG(ABS(MAX(AU10:AU39))))))))</f>
        <v>---</v>
      </c>
      <c t="str" s="142" r="AV9">
        <f>IF((MIN(AV10:AV39)=MAX(AV10:AV39)),"---",IF((MAX(AV10:AV39)&lt;0.00001),0,(ROUND((MAX(AV10:AV39)/(10^TRUNC(LOG(ABS(MAX(AV10:AV39)))))),(2-IF((MAX(AV10:AV39)&gt;1),1,0)))*(10^TRUNC(LOG(ABS(MAX(AV10:AV39))))))))</f>
        <v>---</v>
      </c>
      <c s="142" r="AW9"/>
      <c t="str" s="777" r="AX9">
        <f>IF((MIN(AX10:AX39)=MAX(AX10:AX39)),"---",MAX(AX10:AX39))</f>
        <v>---</v>
      </c>
      <c s="113" r="AY9"/>
      <c s="761" r="AZ9"/>
      <c s="591" r="BA9"/>
      <c t="s" s="576" r="BB9">
        <v>329</v>
      </c>
      <c t="str" s="350" r="BC9">
        <f>IF(ISNUMBER(BC$6),MAX(BC$10:BC$19),"")</f>
        <v/>
      </c>
      <c t="str" s="893" r="BD9">
        <f>IF(ISNUMBER(BD$6),MAX(BD$10:BD$19),"")</f>
        <v/>
      </c>
      <c t="str" s="893" r="BE9">
        <f>IF(ISNUMBER(BE$6),MAX(BE$10:BE$19),"")</f>
        <v/>
      </c>
      <c t="str" s="893" r="BF9">
        <f>IF(ISNUMBER(BF$6),MAX(BF$10:BF$19),"")</f>
        <v/>
      </c>
      <c t="str" s="509" r="BG9">
        <f>IF((SUM(BG$10:BG$19)&gt;0),MAX(BG$10:BG$19),"")</f>
        <v/>
      </c>
      <c s="51" r="BH9"/>
      <c s="125" r="BI9"/>
    </row>
    <row r="10">
      <c s="822" r="A10"/>
      <c s="406" r="B10"/>
      <c t="s" s="886" r="C10">
        <v>330</v>
      </c>
      <c s="886" r="D10"/>
      <c s="886" r="E10"/>
      <c s="886" r="F10"/>
      <c s="886" r="G10"/>
      <c s="886" r="H10"/>
      <c s="418" r="I10"/>
      <c s="702" r="J10"/>
      <c s="908" r="K10"/>
      <c s="551" r="L10"/>
      <c s="551" r="M10"/>
      <c s="551" r="N10"/>
      <c s="551" r="O10"/>
      <c s="551" r="P10"/>
      <c s="551" r="Q10"/>
      <c s="551" r="R10"/>
      <c s="551" r="S10"/>
      <c s="551" r="T10"/>
      <c s="551" r="U10"/>
      <c s="551" r="V10"/>
      <c s="551" r="W10"/>
      <c s="551" r="X10"/>
      <c s="551" r="Y10"/>
      <c s="551" r="Z10"/>
      <c s="551" r="AA10"/>
      <c s="551" r="AB10"/>
      <c s="551" r="AC10"/>
      <c s="551" r="AD10"/>
      <c s="671" r="AE10"/>
      <c t="s" s="389" r="AF10">
        <v>304</v>
      </c>
      <c s="890" r="AG10"/>
      <c t="s" s="907" r="AH10">
        <v>331</v>
      </c>
      <c s="890" r="AI10"/>
      <c s="80" r="AJ10"/>
      <c s="890" r="AK10"/>
      <c s="890" r="AL10"/>
      <c s="890" r="AM10"/>
      <c s="890" r="AN10">
        <v>1</v>
      </c>
      <c t="str" s="142" r="AO10">
        <f>IF((MAX(AT$44:AT$361)&lt;$AN10),"---",(INDEX($O$44:$O$361,MATCH($AN10,AT$44:AT$361,1))-INDEX($O$44:$O$361,MATCH($AN10,AT$44:AT$361,0))))</f>
        <v>---</v>
      </c>
      <c t="str" s="142" r="AP10">
        <f>IF((MAX(AU$44:AU$361)&lt;$AN10),"---",(INDEX($O$44:$O$361,MATCH($AN10,AU$44:AU$361,1))-INDEX($O$44:$O$361,MATCH($AN10,AU$44:AU$361,0))))</f>
        <v>---</v>
      </c>
      <c t="str" s="142" r="AQ10">
        <f>IF((MAX(AV$44:AV$361)&lt;$AN10),"---",(INDEX($O$44:$O$361,MATCH($AN10,AV$44:AV$361,1))-INDEX($O$44:$O$361,MATCH($AN10,AV$44:AV$361,0))))</f>
        <v>---</v>
      </c>
      <c t="str" s="142" r="AR10">
        <f>IF((MAX(AW$44:AW$361)&lt;$AN10),"---",(INDEX($O$44:$O$361,MATCH($AN10,AW$44:AW$361,1))-INDEX($O$44:$O$361,MATCH($AN10,AW$44:AW$361,0))))</f>
        <v>---</v>
      </c>
      <c t="str" s="423" r="AS10">
        <f>IF((MAX(AT$44:AT$361)&lt;$AN10),"---",((IF((IF((COUNT($AA$44:$AA$361)&lt;2),0,COUNT((INDEX($AA$44:$AA$361,MATCH($AN10,AT$44:AT$361,0))*INDEX($AA$44:$AA$361,MATCH($AN10,AT$44:AT$361,1)))))&gt;0),(INDEX($AA$44:$AA$361,MATCH($AN10,AT$44:AT$361,0))-INDEX($AA$44:$AA$361,MATCH($AN10,AT$44:AT$361,1))),(INDEX($Z$44:$Z$361,MATCH($AN10,AT$44:AT$361,0))-INDEX($Z$44:$Z$361,MATCH($AN10,AT$44:AT$361,1))))/AO10)*100))</f>
        <v>---</v>
      </c>
      <c t="str" s="423" r="AT10">
        <f>IF((MAX(AU$44:AU$361)&lt;$AN10),"---",((IF((IF((COUNT($AA$44:$AA$361)&lt;2),0,COUNT((INDEX($AA$44:$AA$361,MATCH($AN10,AU$44:AU$361,0))*INDEX($AA$44:$AA$361,MATCH($AN10,AU$44:AU$361,1)))))&gt;0),(INDEX($AA$44:$AA$361,MATCH($AN10,AU$44:AU$361,0))-INDEX($AA$44:$AA$361,MATCH($AN10,AU$44:AU$361,1))),(INDEX($Z$44:$Z$361,MATCH($AN10,AU$44:AU$361,0))-INDEX($Z$44:$Z$361,MATCH($AN10,AU$44:AU$361,1))))/AP10)*100))</f>
        <v>---</v>
      </c>
      <c t="str" s="423" r="AU10">
        <f>IF((MAX(AV$44:AV$361)&lt;$AN10),"---",((IF((IF((COUNT($AA$44:$AA$361)&lt;2),0,COUNT((INDEX($AA$44:$AA$361,MATCH($AN10,AV$44:AV$361,0))*INDEX($AA$44:$AA$361,MATCH($AN10,AV$44:AV$361,1)))))&gt;0),(INDEX($AA$44:$AA$361,MATCH($AN10,AV$44:AV$361,0))-INDEX($AA$44:$AA$361,MATCH($AN10,AV$44:AV$361,1))),(INDEX($Z$44:$Z$361,MATCH($AN10,AV$44:AV$361,0))-INDEX($Z$44:$Z$361,MATCH($AN10,AV$44:AV$361,1))))/AQ10)*100))</f>
        <v>---</v>
      </c>
      <c t="str" s="423" r="AV10">
        <f>IF((MAX(AW$44:AW$361)&lt;$AN10),"---",((IF((IF((COUNT($AA$44:$AA$361)&lt;2),0,COUNT((INDEX($AA$44:$AA$361,MATCH($AN10,AW$44:AW$361,0))*INDEX($AA$44:$AA$361,MATCH($AN10,AW$44:AW$361,1)))))&gt;0),(INDEX($AA$44:$AA$361,MATCH($AN10,AW$44:AW$361,0))-INDEX($AA$44:$AA$361,MATCH($AN10,AW$44:AW$361,1))),(INDEX($Z$44:$Z$361,MATCH($AN10,AW$44:AW$361,0))-INDEX($Z$44:$Z$361,MATCH($AN10,AW$44:AW$361,1))))/AR10)*100))</f>
        <v>---</v>
      </c>
      <c s="890" r="AW10"/>
      <c t="str" s="777" r="AX10">
        <f>IF(ISNUMBER(MATCH(AN11,AX$44:AX$361,0)),(INDEX(O$44:O$361,MATCH(AN11,AX$44:AX$361,0))-INDEX(O$44:O$361,MATCH(AN10,AX$44:AX$361,0))),"---")</f>
        <v>---</v>
      </c>
      <c s="113" r="AY10"/>
      <c s="761" r="AZ10"/>
      <c s="591" r="BA10"/>
      <c s="798" r="BB10">
        <v>1</v>
      </c>
      <c s="184" r="BC10"/>
      <c s="184" r="BD10"/>
      <c s="184" r="BE10"/>
      <c s="184" r="BF10"/>
      <c s="184" r="BG10"/>
      <c s="51" r="BH10"/>
      <c s="125" r="BI10"/>
    </row>
    <row r="11">
      <c s="822" r="A11"/>
      <c s="406" r="B11"/>
      <c s="886" r="C11"/>
      <c s="886" r="D11"/>
      <c s="886" r="E11"/>
      <c s="886" r="F11"/>
      <c s="886" r="G11"/>
      <c s="886" r="H11"/>
      <c s="418" r="I11"/>
      <c s="702" r="J11"/>
      <c s="908" r="K11"/>
      <c s="551" r="L11"/>
      <c s="551" r="M11"/>
      <c s="551" r="N11"/>
      <c s="551" r="O11"/>
      <c s="551" r="P11"/>
      <c s="551" r="Q11"/>
      <c s="551" r="R11"/>
      <c s="551" r="S11"/>
      <c s="551" r="T11"/>
      <c s="551" r="U11"/>
      <c s="551" r="V11"/>
      <c s="551" r="W11"/>
      <c s="551" r="X11"/>
      <c s="551" r="Y11"/>
      <c s="551" r="Z11"/>
      <c s="551" r="AA11"/>
      <c s="551" r="AB11"/>
      <c s="551" r="AC11"/>
      <c s="551" r="AD11"/>
      <c s="671" r="AE11"/>
      <c t="s" s="389" r="AF11">
        <v>304</v>
      </c>
      <c s="890" r="AG11"/>
      <c t="s" s="907" r="AH11">
        <v>332</v>
      </c>
      <c s="890" r="AI11"/>
      <c s="80" r="AJ11"/>
      <c s="890" r="AK11"/>
      <c s="890" r="AL11"/>
      <c s="890" r="AM11"/>
      <c s="890" r="AN11">
        <v>2</v>
      </c>
      <c t="str" s="142" r="AO11">
        <f>IF((MAX(AT$44:AT$361)&lt;$AN11),"---",(INDEX($O$44:$O$361,MATCH($AN11,AT$44:AT$361,1))-INDEX($O$44:$O$361,MATCH($AN11,AT$44:AT$361,0))))</f>
        <v>---</v>
      </c>
      <c t="str" s="142" r="AP11">
        <f>IF((MAX(AU$44:AU$361)&lt;$AN11),"---",(INDEX($O$44:$O$361,MATCH($AN11,AU$44:AU$361,1))-INDEX($O$44:$O$361,MATCH($AN11,AU$44:AU$361,0))))</f>
        <v>---</v>
      </c>
      <c t="str" s="142" r="AQ11">
        <f>IF((MAX(AV$44:AV$361)&lt;$AN11),"---",(INDEX($O$44:$O$361,MATCH($AN11,AV$44:AV$361,1))-INDEX($O$44:$O$361,MATCH($AN11,AV$44:AV$361,0))))</f>
        <v>---</v>
      </c>
      <c t="str" s="142" r="AR11">
        <f>IF((MAX(AW$44:AW$361)&lt;$AN11),"---",(INDEX($O$44:$O$361,MATCH($AN11,AW$44:AW$361,1))-INDEX($O$44:$O$361,MATCH($AN11,AW$44:AW$361,0))))</f>
        <v>---</v>
      </c>
      <c t="str" s="423" r="AS11">
        <f>IF((MAX(AT$44:AT$361)&lt;$AN11),"---",((IF((IF((COUNT($AA$44:$AA$361)&lt;2),0,COUNT((INDEX($AA$44:$AA$361,MATCH($AN11,AT$44:AT$361,0))*INDEX($AA$44:$AA$361,MATCH($AN11,AT$44:AT$361,1)))))&gt;0),(INDEX($AA$44:$AA$361,MATCH($AN11,AT$44:AT$361,0))-INDEX($AA$44:$AA$361,MATCH($AN11,AT$44:AT$361,1))),(INDEX($Z$44:$Z$361,MATCH($AN11,AT$44:AT$361,0))-INDEX($Z$44:$Z$361,MATCH($AN11,AT$44:AT$361,1))))/AO11)*100))</f>
        <v>---</v>
      </c>
      <c t="str" s="423" r="AT11">
        <f>IF((MAX(AU$44:AU$361)&lt;$AN11),"---",((IF((IF((COUNT($AA$44:$AA$361)&lt;2),0,COUNT((INDEX($AA$44:$AA$361,MATCH($AN11,AU$44:AU$361,0))*INDEX($AA$44:$AA$361,MATCH($AN11,AU$44:AU$361,1)))))&gt;0),(INDEX($AA$44:$AA$361,MATCH($AN11,AU$44:AU$361,0))-INDEX($AA$44:$AA$361,MATCH($AN11,AU$44:AU$361,1))),(INDEX($Z$44:$Z$361,MATCH($AN11,AU$44:AU$361,0))-INDEX($Z$44:$Z$361,MATCH($AN11,AU$44:AU$361,1))))/AP11)*100))</f>
        <v>---</v>
      </c>
      <c t="str" s="423" r="AU11">
        <f>IF((MAX(AV$44:AV$361)&lt;$AN11),"---",((IF((IF((COUNT($AA$44:$AA$361)&lt;2),0,COUNT((INDEX($AA$44:$AA$361,MATCH($AN11,AV$44:AV$361,0))*INDEX($AA$44:$AA$361,MATCH($AN11,AV$44:AV$361,1)))))&gt;0),(INDEX($AA$44:$AA$361,MATCH($AN11,AV$44:AV$361,0))-INDEX($AA$44:$AA$361,MATCH($AN11,AV$44:AV$361,1))),(INDEX($Z$44:$Z$361,MATCH($AN11,AV$44:AV$361,0))-INDEX($Z$44:$Z$361,MATCH($AN11,AV$44:AV$361,1))))/AQ11)*100))</f>
        <v>---</v>
      </c>
      <c t="str" s="423" r="AV11">
        <f>IF((MAX(AW$44:AW$361)&lt;$AN11),"---",((IF((IF((COUNT($AA$44:$AA$361)&lt;2),0,COUNT((INDEX($AA$44:$AA$361,MATCH($AN11,AW$44:AW$361,0))*INDEX($AA$44:$AA$361,MATCH($AN11,AW$44:AW$361,1)))))&gt;0),(INDEX($AA$44:$AA$361,MATCH($AN11,AW$44:AW$361,0))-INDEX($AA$44:$AA$361,MATCH($AN11,AW$44:AW$361,1))),(INDEX($Z$44:$Z$361,MATCH($AN11,AW$44:AW$361,0))-INDEX($Z$44:$Z$361,MATCH($AN11,AW$44:AW$361,1))))/AR11)*100))</f>
        <v>---</v>
      </c>
      <c s="890" r="AW11"/>
      <c t="str" s="777" r="AX11">
        <f>IF(ISNUMBER(MATCH(AN12,AX$44:AX$361,0)),(INDEX(O$44:O$361,MATCH(AN12,AX$44:AX$361,0))-INDEX(O$44:O$361,MATCH(AN11,AX$44:AX$361,0))),"---")</f>
        <v>---</v>
      </c>
      <c s="113" r="AY11"/>
      <c s="761" r="AZ11"/>
      <c s="591" r="BA11"/>
      <c s="808" r="BB11">
        <v>2</v>
      </c>
      <c s="184" r="BC11"/>
      <c s="184" r="BD11"/>
      <c s="184" r="BE11"/>
      <c s="184" r="BF11"/>
      <c s="184" r="BG11"/>
      <c s="51" r="BH11"/>
      <c s="125" r="BI11"/>
    </row>
    <row r="12">
      <c s="822" r="A12"/>
      <c s="406" r="B12"/>
      <c t="s" s="886" r="C12">
        <v>333</v>
      </c>
      <c s="886" r="D12"/>
      <c s="886" r="E12"/>
      <c s="886" r="F12"/>
      <c s="886" r="G12"/>
      <c s="886" r="H12"/>
      <c s="418" r="I12"/>
      <c s="702" r="J12"/>
      <c s="908" r="K12"/>
      <c s="551" r="L12"/>
      <c s="551" r="M12"/>
      <c s="551" r="N12"/>
      <c s="551" r="O12"/>
      <c s="551" r="P12"/>
      <c s="551" r="Q12"/>
      <c s="551" r="R12"/>
      <c s="551" r="S12"/>
      <c s="551" r="T12"/>
      <c s="551" r="U12"/>
      <c s="551" r="V12"/>
      <c s="551" r="W12"/>
      <c s="551" r="X12"/>
      <c s="551" r="Y12"/>
      <c s="551" r="Z12"/>
      <c s="551" r="AA12"/>
      <c s="551" r="AB12"/>
      <c s="551" r="AC12"/>
      <c s="551" r="AD12"/>
      <c s="671" r="AE12"/>
      <c t="s" s="439" r="AF12">
        <v>304</v>
      </c>
      <c s="794" r="AG12"/>
      <c s="80" r="AH12"/>
      <c s="80" r="AI12"/>
      <c t="str" s="890" r="AJ12">
        <f>IF(ISNUMBER((((((INDEX(AA44:AA361,MATCH(MAX(O44:O361),O44:O361,0))-INDEX(AA44:AA361,MATCH(MIN(O44:O361),O44:O361,1)))/(MAX(O44:O361)-MIN(O44:O361)))^2)^0.5)*100)),(((((INDEX(AA44:AA361,MATCH(MAX(O44:O361),O44:O361,0))-INDEX(AA44:AA361,MATCH(MIN(O44:O361),O44:O361,1)))/(MAX(O44:O361)-MIN(O44:O361)))^2)^0.5)*100),IF(ISNUMBER((((((INDEX(Z44:Z361,MATCH(MAX(O44:O361),O44:O361,0))-INDEX(Z44:Z361,MATCH(MIN(O44:O361),O44:O361,1)))/(MAX(O44:O361)-MIN(O44:O361)))^2)^0.5)*100)),(((((INDEX(Z44:Z361,MATCH(MAX(O44:O361),O44:O361,0))-INDEX(Z44:Z361,MATCH(MIN(O44:O361),O44:O361,1)))/(MAX(O44:O361)-MIN(O44:O361)))^2)^0.5)*100),"---"))</f>
        <v>---</v>
      </c>
      <c s="890" r="AK12"/>
      <c s="890" r="AL12"/>
      <c s="890" r="AM12"/>
      <c s="890" r="AN12">
        <v>3</v>
      </c>
      <c t="str" s="142" r="AO12">
        <f>IF((MAX(AT$44:AT$361)&lt;$AN12),"---",(INDEX($O$44:$O$361,MATCH($AN12,AT$44:AT$361,1))-INDEX($O$44:$O$361,MATCH($AN12,AT$44:AT$361,0))))</f>
        <v>---</v>
      </c>
      <c t="str" s="142" r="AP12">
        <f>IF((MAX(AU$44:AU$361)&lt;$AN12),"---",(INDEX($O$44:$O$361,MATCH($AN12,AU$44:AU$361,1))-INDEX($O$44:$O$361,MATCH($AN12,AU$44:AU$361,0))))</f>
        <v>---</v>
      </c>
      <c t="str" s="142" r="AQ12">
        <f>IF((MAX(AV$44:AV$361)&lt;$AN12),"---",(INDEX($O$44:$O$361,MATCH($AN12,AV$44:AV$361,1))-INDEX($O$44:$O$361,MATCH($AN12,AV$44:AV$361,0))))</f>
        <v>---</v>
      </c>
      <c t="str" s="142" r="AR12">
        <f>IF((MAX(AW$44:AW$361)&lt;$AN12),"---",(INDEX($O$44:$O$361,MATCH($AN12,AW$44:AW$361,1))-INDEX($O$44:$O$361,MATCH($AN12,AW$44:AW$361,0))))</f>
        <v>---</v>
      </c>
      <c t="str" s="423" r="AS12">
        <f>IF((MAX(AT$44:AT$361)&lt;$AN12),"---",((IF((IF((COUNT($AA$44:$AA$361)&lt;2),0,COUNT((INDEX($AA$44:$AA$361,MATCH($AN12,AT$44:AT$361,0))*INDEX($AA$44:$AA$361,MATCH($AN12,AT$44:AT$361,1)))))&gt;0),(INDEX($AA$44:$AA$361,MATCH($AN12,AT$44:AT$361,0))-INDEX($AA$44:$AA$361,MATCH($AN12,AT$44:AT$361,1))),(INDEX($Z$44:$Z$361,MATCH($AN12,AT$44:AT$361,0))-INDEX($Z$44:$Z$361,MATCH($AN12,AT$44:AT$361,1))))/AO12)*100))</f>
        <v>---</v>
      </c>
      <c t="str" s="423" r="AT12">
        <f>IF((MAX(AU$44:AU$361)&lt;$AN12),"---",((IF((IF((COUNT($AA$44:$AA$361)&lt;2),0,COUNT((INDEX($AA$44:$AA$361,MATCH($AN12,AU$44:AU$361,0))*INDEX($AA$44:$AA$361,MATCH($AN12,AU$44:AU$361,1)))))&gt;0),(INDEX($AA$44:$AA$361,MATCH($AN12,AU$44:AU$361,0))-INDEX($AA$44:$AA$361,MATCH($AN12,AU$44:AU$361,1))),(INDEX($Z$44:$Z$361,MATCH($AN12,AU$44:AU$361,0))-INDEX($Z$44:$Z$361,MATCH($AN12,AU$44:AU$361,1))))/AP12)*100))</f>
        <v>---</v>
      </c>
      <c t="str" s="423" r="AU12">
        <f>IF((MAX(AV$44:AV$361)&lt;$AN12),"---",((IF((IF((COUNT($AA$44:$AA$361)&lt;2),0,COUNT((INDEX($AA$44:$AA$361,MATCH($AN12,AV$44:AV$361,0))*INDEX($AA$44:$AA$361,MATCH($AN12,AV$44:AV$361,1)))))&gt;0),(INDEX($AA$44:$AA$361,MATCH($AN12,AV$44:AV$361,0))-INDEX($AA$44:$AA$361,MATCH($AN12,AV$44:AV$361,1))),(INDEX($Z$44:$Z$361,MATCH($AN12,AV$44:AV$361,0))-INDEX($Z$44:$Z$361,MATCH($AN12,AV$44:AV$361,1))))/AQ12)*100))</f>
        <v>---</v>
      </c>
      <c t="str" s="423" r="AV12">
        <f>IF((MAX(AW$44:AW$361)&lt;$AN12),"---",((IF((IF((COUNT($AA$44:$AA$361)&lt;2),0,COUNT((INDEX($AA$44:$AA$361,MATCH($AN12,AW$44:AW$361,0))*INDEX($AA$44:$AA$361,MATCH($AN12,AW$44:AW$361,1)))))&gt;0),(INDEX($AA$44:$AA$361,MATCH($AN12,AW$44:AW$361,0))-INDEX($AA$44:$AA$361,MATCH($AN12,AW$44:AW$361,1))),(INDEX($Z$44:$Z$361,MATCH($AN12,AW$44:AW$361,0))-INDEX($Z$44:$Z$361,MATCH($AN12,AW$44:AW$361,1))))/AR12)*100))</f>
        <v>---</v>
      </c>
      <c s="890" r="AW12"/>
      <c t="str" s="777" r="AX12">
        <f>IF(ISNUMBER(MATCH(AN13,AX$44:AX$361,0)),(INDEX(O$44:O$361,MATCH(AN13,AX$44:AX$361,0))-INDEX(O$44:O$361,MATCH(AN12,AX$44:AX$361,0))),"---")</f>
        <v>---</v>
      </c>
      <c s="113" r="AY12"/>
      <c s="761" r="AZ12"/>
      <c s="591" r="BA12"/>
      <c s="808" r="BB12">
        <v>3</v>
      </c>
      <c s="184" r="BC12"/>
      <c s="184" r="BD12"/>
      <c s="184" r="BE12"/>
      <c s="184" r="BF12"/>
      <c s="184" r="BG12"/>
      <c s="51" r="BH12"/>
      <c s="125" r="BI12"/>
    </row>
    <row r="13">
      <c s="822" r="A13"/>
      <c s="406" r="B13"/>
      <c s="886" r="C13"/>
      <c s="886" r="D13"/>
      <c s="886" r="E13"/>
      <c s="886" r="F13"/>
      <c s="886" r="G13"/>
      <c s="886" r="H13"/>
      <c s="418" r="I13"/>
      <c s="702" r="J13"/>
      <c s="908" r="K13"/>
      <c s="551" r="L13"/>
      <c s="551" r="M13"/>
      <c s="551" r="N13"/>
      <c s="551" r="O13"/>
      <c s="551" r="P13"/>
      <c s="551" r="Q13"/>
      <c s="551" r="R13"/>
      <c s="551" r="S13"/>
      <c s="551" r="T13"/>
      <c s="551" r="U13"/>
      <c s="551" r="V13"/>
      <c s="551" r="W13"/>
      <c s="551" r="X13"/>
      <c s="551" r="Y13"/>
      <c s="551" r="Z13"/>
      <c s="551" r="AA13"/>
      <c s="551" r="AB13"/>
      <c s="551" r="AC13"/>
      <c s="551" r="AD13"/>
      <c s="671" r="AE13"/>
      <c t="s" s="439" r="AF13">
        <v>304</v>
      </c>
      <c s="794" r="AG13"/>
      <c s="80" r="AH13"/>
      <c t="s" s="80" r="AI13">
        <v>334</v>
      </c>
      <c t="str" s="890" r="AJ13">
        <f>IF(ISNUMBER(AJ12),IF((AJ12&lt;=0),0,(ROUND((AJ12/(10^TRUNC(LOG(ABS(AJ12))))),(2-IF((AJ12&gt;1),1,0)))*(10^TRUNC(LOG(ABS(AJ12)))))),"---")</f>
        <v>---</v>
      </c>
      <c s="890" r="AK13"/>
      <c s="890" r="AL13"/>
      <c s="890" r="AM13"/>
      <c s="890" r="AN13">
        <v>4</v>
      </c>
      <c t="str" s="142" r="AO13">
        <f>IF((MAX(AT$44:AT$361)&lt;$AN13),"---",(INDEX($O$44:$O$361,MATCH($AN13,AT$44:AT$361,1))-INDEX($O$44:$O$361,MATCH($AN13,AT$44:AT$361,0))))</f>
        <v>---</v>
      </c>
      <c t="str" s="142" r="AP13">
        <f>IF((MAX(AU$44:AU$361)&lt;$AN13),"---",(INDEX($O$44:$O$361,MATCH($AN13,AU$44:AU$361,1))-INDEX($O$44:$O$361,MATCH($AN13,AU$44:AU$361,0))))</f>
        <v>---</v>
      </c>
      <c t="str" s="142" r="AQ13">
        <f>IF((MAX(AV$44:AV$361)&lt;$AN13),"---",(INDEX($O$44:$O$361,MATCH($AN13,AV$44:AV$361,1))-INDEX($O$44:$O$361,MATCH($AN13,AV$44:AV$361,0))))</f>
        <v>---</v>
      </c>
      <c t="str" s="142" r="AR13">
        <f>IF((MAX(AW$44:AW$361)&lt;$AN13),"---",(INDEX($O$44:$O$361,MATCH($AN13,AW$44:AW$361,1))-INDEX($O$44:$O$361,MATCH($AN13,AW$44:AW$361,0))))</f>
        <v>---</v>
      </c>
      <c t="str" s="423" r="AS13">
        <f>IF((MAX(AT$44:AT$361)&lt;$AN13),"---",((IF((IF((COUNT($AA$44:$AA$361)&lt;2),0,COUNT((INDEX($AA$44:$AA$361,MATCH($AN13,AT$44:AT$361,0))*INDEX($AA$44:$AA$361,MATCH($AN13,AT$44:AT$361,1)))))&gt;0),(INDEX($AA$44:$AA$361,MATCH($AN13,AT$44:AT$361,0))-INDEX($AA$44:$AA$361,MATCH($AN13,AT$44:AT$361,1))),(INDEX($Z$44:$Z$361,MATCH($AN13,AT$44:AT$361,0))-INDEX($Z$44:$Z$361,MATCH($AN13,AT$44:AT$361,1))))/AO13)*100))</f>
        <v>---</v>
      </c>
      <c t="str" s="423" r="AT13">
        <f>IF((MAX(AU$44:AU$361)&lt;$AN13),"---",((IF((IF((COUNT($AA$44:$AA$361)&lt;2),0,COUNT((INDEX($AA$44:$AA$361,MATCH($AN13,AU$44:AU$361,0))*INDEX($AA$44:$AA$361,MATCH($AN13,AU$44:AU$361,1)))))&gt;0),(INDEX($AA$44:$AA$361,MATCH($AN13,AU$44:AU$361,0))-INDEX($AA$44:$AA$361,MATCH($AN13,AU$44:AU$361,1))),(INDEX($Z$44:$Z$361,MATCH($AN13,AU$44:AU$361,0))-INDEX($Z$44:$Z$361,MATCH($AN13,AU$44:AU$361,1))))/AP13)*100))</f>
        <v>---</v>
      </c>
      <c t="str" s="423" r="AU13">
        <f>IF((MAX(AV$44:AV$361)&lt;$AN13),"---",((IF((IF((COUNT($AA$44:$AA$361)&lt;2),0,COUNT((INDEX($AA$44:$AA$361,MATCH($AN13,AV$44:AV$361,0))*INDEX($AA$44:$AA$361,MATCH($AN13,AV$44:AV$361,1)))))&gt;0),(INDEX($AA$44:$AA$361,MATCH($AN13,AV$44:AV$361,0))-INDEX($AA$44:$AA$361,MATCH($AN13,AV$44:AV$361,1))),(INDEX($Z$44:$Z$361,MATCH($AN13,AV$44:AV$361,0))-INDEX($Z$44:$Z$361,MATCH($AN13,AV$44:AV$361,1))))/AQ13)*100))</f>
        <v>---</v>
      </c>
      <c t="str" s="423" r="AV13">
        <f>IF((MAX(AW$44:AW$361)&lt;$AN13),"---",((IF((IF((COUNT($AA$44:$AA$361)&lt;2),0,COUNT((INDEX($AA$44:$AA$361,MATCH($AN13,AW$44:AW$361,0))*INDEX($AA$44:$AA$361,MATCH($AN13,AW$44:AW$361,1)))))&gt;0),(INDEX($AA$44:$AA$361,MATCH($AN13,AW$44:AW$361,0))-INDEX($AA$44:$AA$361,MATCH($AN13,AW$44:AW$361,1))),(INDEX($Z$44:$Z$361,MATCH($AN13,AW$44:AW$361,0))-INDEX($Z$44:$Z$361,MATCH($AN13,AW$44:AW$361,1))))/AR13)*100))</f>
        <v>---</v>
      </c>
      <c s="890" r="AW13"/>
      <c t="str" s="777" r="AX13">
        <f>IF(ISNUMBER(MATCH(AN14,AX$44:AX$361,0)),(INDEX(O$44:O$361,MATCH(AN14,AX$44:AX$361,0))-INDEX(O$44:O$361,MATCH(AN13,AX$44:AX$361,0))),"---")</f>
        <v>---</v>
      </c>
      <c s="113" r="AY13"/>
      <c s="761" r="AZ13"/>
      <c s="591" r="BA13"/>
      <c s="808" r="BB13">
        <v>4</v>
      </c>
      <c s="184" r="BC13"/>
      <c s="184" r="BD13"/>
      <c s="184" r="BE13"/>
      <c s="184" r="BF13"/>
      <c s="184" r="BG13"/>
      <c s="51" r="BH13"/>
      <c s="125" r="BI13"/>
    </row>
    <row r="14">
      <c s="822" r="A14"/>
      <c s="406" r="B14"/>
      <c t="s" s="886" r="C14">
        <v>335</v>
      </c>
      <c s="886" r="D14"/>
      <c s="886" r="E14"/>
      <c s="886" r="F14"/>
      <c s="886" r="G14"/>
      <c s="886" r="H14"/>
      <c s="418" r="I14"/>
      <c s="702" r="J14"/>
      <c s="908" r="K14"/>
      <c s="551" r="L14"/>
      <c s="551" r="M14"/>
      <c s="551" r="N14"/>
      <c s="551" r="O14"/>
      <c s="551" r="P14"/>
      <c s="551" r="Q14"/>
      <c s="551" r="R14"/>
      <c s="551" r="S14"/>
      <c s="551" r="T14"/>
      <c s="551" r="U14"/>
      <c s="551" r="V14"/>
      <c s="551" r="W14"/>
      <c s="551" r="X14"/>
      <c s="551" r="Y14"/>
      <c s="551" r="Z14"/>
      <c s="551" r="AA14"/>
      <c s="551" r="AB14"/>
      <c s="551" r="AC14"/>
      <c s="551" r="AD14"/>
      <c s="671" r="AE14"/>
      <c t="s" s="439" r="AF14">
        <v>304</v>
      </c>
      <c s="794" r="AG14"/>
      <c s="80" r="AH14"/>
      <c t="s" s="80" r="AI14">
        <v>336</v>
      </c>
      <c t="str" s="890" r="AJ14">
        <f>IF(ISBLANK(E37),AJ13,E37)</f>
        <v>---</v>
      </c>
      <c s="890" r="AK14"/>
      <c s="890" r="AL14"/>
      <c s="890" r="AM14"/>
      <c s="890" r="AN14">
        <v>5</v>
      </c>
      <c t="str" s="142" r="AO14">
        <f>IF((MAX(AT$44:AT$361)&lt;$AN14),"---",(INDEX($O$44:$O$361,MATCH($AN14,AT$44:AT$361,1))-INDEX($O$44:$O$361,MATCH($AN14,AT$44:AT$361,0))))</f>
        <v>---</v>
      </c>
      <c t="str" s="142" r="AP14">
        <f>IF((MAX(AU$44:AU$361)&lt;$AN14),"---",(INDEX($O$44:$O$361,MATCH($AN14,AU$44:AU$361,1))-INDEX($O$44:$O$361,MATCH($AN14,AU$44:AU$361,0))))</f>
        <v>---</v>
      </c>
      <c t="str" s="142" r="AQ14">
        <f>IF((MAX(AV$44:AV$361)&lt;$AN14),"---",(INDEX($O$44:$O$361,MATCH($AN14,AV$44:AV$361,1))-INDEX($O$44:$O$361,MATCH($AN14,AV$44:AV$361,0))))</f>
        <v>---</v>
      </c>
      <c t="str" s="142" r="AR14">
        <f>IF((MAX(AW$44:AW$361)&lt;$AN14),"---",(INDEX($O$44:$O$361,MATCH($AN14,AW$44:AW$361,1))-INDEX($O$44:$O$361,MATCH($AN14,AW$44:AW$361,0))))</f>
        <v>---</v>
      </c>
      <c t="str" s="423" r="AS14">
        <f>IF((MAX(AT$44:AT$361)&lt;$AN14),"---",((IF((IF((COUNT($AA$44:$AA$361)&lt;2),0,COUNT((INDEX($AA$44:$AA$361,MATCH($AN14,AT$44:AT$361,0))*INDEX($AA$44:$AA$361,MATCH($AN14,AT$44:AT$361,1)))))&gt;0),(INDEX($AA$44:$AA$361,MATCH($AN14,AT$44:AT$361,0))-INDEX($AA$44:$AA$361,MATCH($AN14,AT$44:AT$361,1))),(INDEX($Z$44:$Z$361,MATCH($AN14,AT$44:AT$361,0))-INDEX($Z$44:$Z$361,MATCH($AN14,AT$44:AT$361,1))))/AO14)*100))</f>
        <v>---</v>
      </c>
      <c t="str" s="423" r="AT14">
        <f>IF((MAX(AU$44:AU$361)&lt;$AN14),"---",((IF((IF((COUNT($AA$44:$AA$361)&lt;2),0,COUNT((INDEX($AA$44:$AA$361,MATCH($AN14,AU$44:AU$361,0))*INDEX($AA$44:$AA$361,MATCH($AN14,AU$44:AU$361,1)))))&gt;0),(INDEX($AA$44:$AA$361,MATCH($AN14,AU$44:AU$361,0))-INDEX($AA$44:$AA$361,MATCH($AN14,AU$44:AU$361,1))),(INDEX($Z$44:$Z$361,MATCH($AN14,AU$44:AU$361,0))-INDEX($Z$44:$Z$361,MATCH($AN14,AU$44:AU$361,1))))/AP14)*100))</f>
        <v>---</v>
      </c>
      <c t="str" s="423" r="AU14">
        <f>IF((MAX(AV$44:AV$361)&lt;$AN14),"---",((IF((IF((COUNT($AA$44:$AA$361)&lt;2),0,COUNT((INDEX($AA$44:$AA$361,MATCH($AN14,AV$44:AV$361,0))*INDEX($AA$44:$AA$361,MATCH($AN14,AV$44:AV$361,1)))))&gt;0),(INDEX($AA$44:$AA$361,MATCH($AN14,AV$44:AV$361,0))-INDEX($AA$44:$AA$361,MATCH($AN14,AV$44:AV$361,1))),(INDEX($Z$44:$Z$361,MATCH($AN14,AV$44:AV$361,0))-INDEX($Z$44:$Z$361,MATCH($AN14,AV$44:AV$361,1))))/AQ14)*100))</f>
        <v>---</v>
      </c>
      <c t="str" s="423" r="AV14">
        <f>IF((MAX(AW$44:AW$361)&lt;$AN14),"---",((IF((IF((COUNT($AA$44:$AA$361)&lt;2),0,COUNT((INDEX($AA$44:$AA$361,MATCH($AN14,AW$44:AW$361,0))*INDEX($AA$44:$AA$361,MATCH($AN14,AW$44:AW$361,1)))))&gt;0),(INDEX($AA$44:$AA$361,MATCH($AN14,AW$44:AW$361,0))-INDEX($AA$44:$AA$361,MATCH($AN14,AW$44:AW$361,1))),(INDEX($Z$44:$Z$361,MATCH($AN14,AW$44:AW$361,0))-INDEX($Z$44:$Z$361,MATCH($AN14,AW$44:AW$361,1))))/AR14)*100))</f>
        <v>---</v>
      </c>
      <c s="890" r="AW14"/>
      <c t="str" s="777" r="AX14">
        <f>IF(ISNUMBER(MATCH(AN15,AX$44:AX$361,0)),(INDEX(O$44:O$361,MATCH(AN15,AX$44:AX$361,0))-INDEX(O$44:O$361,MATCH(AN14,AX$44:AX$361,0))),"---")</f>
        <v>---</v>
      </c>
      <c s="113" r="AY14"/>
      <c s="761" r="AZ14"/>
      <c s="591" r="BA14"/>
      <c s="808" r="BB14">
        <v>5</v>
      </c>
      <c s="184" r="BC14"/>
      <c s="184" r="BD14"/>
      <c s="184" r="BE14"/>
      <c s="184" r="BF14"/>
      <c s="184" r="BG14"/>
      <c s="51" r="BH14"/>
      <c s="125" r="BI14"/>
    </row>
    <row r="15">
      <c s="822" r="A15"/>
      <c s="406" r="B15"/>
      <c t="s" s="886" r="C15">
        <v>337</v>
      </c>
      <c s="886" r="D15"/>
      <c s="886" r="E15"/>
      <c s="886" r="F15"/>
      <c s="886" r="G15"/>
      <c s="886" r="H15"/>
      <c s="418" r="I15"/>
      <c s="702" r="J15"/>
      <c s="908" r="K15"/>
      <c s="551" r="L15"/>
      <c s="551" r="M15"/>
      <c s="551" r="N15"/>
      <c s="551" r="O15"/>
      <c s="551" r="P15"/>
      <c s="551" r="Q15"/>
      <c s="551" r="R15"/>
      <c s="551" r="S15"/>
      <c s="551" r="T15"/>
      <c s="551" r="U15"/>
      <c s="551" r="V15"/>
      <c s="551" r="W15"/>
      <c s="551" r="X15"/>
      <c s="551" r="Y15"/>
      <c s="551" r="Z15"/>
      <c s="551" r="AA15"/>
      <c s="551" r="AB15"/>
      <c s="551" r="AC15"/>
      <c s="551" r="AD15"/>
      <c s="671" r="AE15"/>
      <c t="s" s="439" r="AF15">
        <v>304</v>
      </c>
      <c s="794" r="AG15"/>
      <c s="890" r="AH15"/>
      <c s="890" r="AI15"/>
      <c s="890" r="AJ15"/>
      <c s="890" r="AK15"/>
      <c s="890" r="AL15"/>
      <c s="890" r="AM15"/>
      <c s="890" r="AN15">
        <v>6</v>
      </c>
      <c t="str" s="142" r="AO15">
        <f>IF((MAX(AT$44:AT$361)&lt;$AN15),"---",(INDEX($O$44:$O$361,MATCH($AN15,AT$44:AT$361,1))-INDEX($O$44:$O$361,MATCH($AN15,AT$44:AT$361,0))))</f>
        <v>---</v>
      </c>
      <c t="str" s="142" r="AP15">
        <f>IF((MAX(AU$44:AU$361)&lt;$AN15),"---",(INDEX($O$44:$O$361,MATCH($AN15,AU$44:AU$361,1))-INDEX($O$44:$O$361,MATCH($AN15,AU$44:AU$361,0))))</f>
        <v>---</v>
      </c>
      <c t="str" s="142" r="AQ15">
        <f>IF((MAX(AV$44:AV$361)&lt;$AN15),"---",(INDEX($O$44:$O$361,MATCH($AN15,AV$44:AV$361,1))-INDEX($O$44:$O$361,MATCH($AN15,AV$44:AV$361,0))))</f>
        <v>---</v>
      </c>
      <c t="str" s="142" r="AR15">
        <f>IF((MAX(AW$44:AW$361)&lt;$AN15),"---",(INDEX($O$44:$O$361,MATCH($AN15,AW$44:AW$361,1))-INDEX($O$44:$O$361,MATCH($AN15,AW$44:AW$361,0))))</f>
        <v>---</v>
      </c>
      <c t="str" s="423" r="AS15">
        <f>IF((MAX(AT$44:AT$361)&lt;$AN15),"---",((IF((IF((COUNT($AA$44:$AA$361)&lt;2),0,COUNT((INDEX($AA$44:$AA$361,MATCH($AN15,AT$44:AT$361,0))*INDEX($AA$44:$AA$361,MATCH($AN15,AT$44:AT$361,1)))))&gt;0),(INDEX($AA$44:$AA$361,MATCH($AN15,AT$44:AT$361,0))-INDEX($AA$44:$AA$361,MATCH($AN15,AT$44:AT$361,1))),(INDEX($Z$44:$Z$361,MATCH($AN15,AT$44:AT$361,0))-INDEX($Z$44:$Z$361,MATCH($AN15,AT$44:AT$361,1))))/AO15)*100))</f>
        <v>---</v>
      </c>
      <c t="str" s="423" r="AT15">
        <f>IF((MAX(AU$44:AU$361)&lt;$AN15),"---",((IF((IF((COUNT($AA$44:$AA$361)&lt;2),0,COUNT((INDEX($AA$44:$AA$361,MATCH($AN15,AU$44:AU$361,0))*INDEX($AA$44:$AA$361,MATCH($AN15,AU$44:AU$361,1)))))&gt;0),(INDEX($AA$44:$AA$361,MATCH($AN15,AU$44:AU$361,0))-INDEX($AA$44:$AA$361,MATCH($AN15,AU$44:AU$361,1))),(INDEX($Z$44:$Z$361,MATCH($AN15,AU$44:AU$361,0))-INDEX($Z$44:$Z$361,MATCH($AN15,AU$44:AU$361,1))))/AP15)*100))</f>
        <v>---</v>
      </c>
      <c t="str" s="423" r="AU15">
        <f>IF((MAX(AV$44:AV$361)&lt;$AN15),"---",((IF((IF((COUNT($AA$44:$AA$361)&lt;2),0,COUNT((INDEX($AA$44:$AA$361,MATCH($AN15,AV$44:AV$361,0))*INDEX($AA$44:$AA$361,MATCH($AN15,AV$44:AV$361,1)))))&gt;0),(INDEX($AA$44:$AA$361,MATCH($AN15,AV$44:AV$361,0))-INDEX($AA$44:$AA$361,MATCH($AN15,AV$44:AV$361,1))),(INDEX($Z$44:$Z$361,MATCH($AN15,AV$44:AV$361,0))-INDEX($Z$44:$Z$361,MATCH($AN15,AV$44:AV$361,1))))/AQ15)*100))</f>
        <v>---</v>
      </c>
      <c t="str" s="423" r="AV15">
        <f>IF((MAX(AW$44:AW$361)&lt;$AN15),"---",((IF((IF((COUNT($AA$44:$AA$361)&lt;2),0,COUNT((INDEX($AA$44:$AA$361,MATCH($AN15,AW$44:AW$361,0))*INDEX($AA$44:$AA$361,MATCH($AN15,AW$44:AW$361,1)))))&gt;0),(INDEX($AA$44:$AA$361,MATCH($AN15,AW$44:AW$361,0))-INDEX($AA$44:$AA$361,MATCH($AN15,AW$44:AW$361,1))),(INDEX($Z$44:$Z$361,MATCH($AN15,AW$44:AW$361,0))-INDEX($Z$44:$Z$361,MATCH($AN15,AW$44:AW$361,1))))/AR15)*100))</f>
        <v>---</v>
      </c>
      <c s="890" r="AW15"/>
      <c t="str" s="777" r="AX15">
        <f>IF(ISNUMBER(MATCH(AN16,AX$44:AX$361,0)),(INDEX(O$44:O$361,MATCH(AN16,AX$44:AX$361,0))-INDEX(O$44:O$361,MATCH(AN15,AX$44:AX$361,0))),"---")</f>
        <v>---</v>
      </c>
      <c s="113" r="AY15"/>
      <c s="761" r="AZ15"/>
      <c s="591" r="BA15"/>
      <c s="808" r="BB15">
        <v>6</v>
      </c>
      <c s="184" r="BC15"/>
      <c s="184" r="BD15"/>
      <c s="184" r="BE15"/>
      <c s="184" r="BF15"/>
      <c s="184" r="BG15"/>
      <c s="51" r="BH15"/>
      <c s="125" r="BI15"/>
    </row>
    <row r="16">
      <c s="822" r="A16"/>
      <c s="406" r="B16"/>
      <c s="886" r="C16"/>
      <c s="886" r="D16"/>
      <c s="886" r="E16"/>
      <c s="886" r="F16"/>
      <c s="886" r="G16"/>
      <c s="886" r="H16"/>
      <c s="418" r="I16"/>
      <c s="702" r="J16"/>
      <c s="908" r="K16"/>
      <c s="551" r="L16"/>
      <c s="551" r="M16"/>
      <c s="551" r="N16"/>
      <c s="551" r="O16"/>
      <c s="52" r="P16"/>
      <c s="52" r="Q16"/>
      <c s="52" r="R16"/>
      <c s="52" r="S16"/>
      <c s="551" r="T16"/>
      <c s="52" r="U16"/>
      <c s="52" r="V16"/>
      <c s="52" r="W16"/>
      <c s="52" r="X16"/>
      <c s="551" r="Y16"/>
      <c s="551" r="Z16"/>
      <c s="551" r="AA16"/>
      <c s="551" r="AB16"/>
      <c s="551" r="AC16"/>
      <c s="551" r="AD16"/>
      <c s="671" r="AE16"/>
      <c t="s" s="439" r="AF16">
        <v>304</v>
      </c>
      <c s="890" r="AG16"/>
      <c s="890" r="AH16"/>
      <c s="890" r="AI16"/>
      <c s="890" r="AJ16"/>
      <c s="890" r="AK16"/>
      <c s="890" r="AL16"/>
      <c s="890" r="AM16"/>
      <c s="890" r="AN16">
        <v>7</v>
      </c>
      <c t="str" s="142" r="AO16">
        <f>IF((MAX(AT$44:AT$361)&lt;$AN16),"---",(INDEX($O$44:$O$361,MATCH($AN16,AT$44:AT$361,1))-INDEX($O$44:$O$361,MATCH($AN16,AT$44:AT$361,0))))</f>
        <v>---</v>
      </c>
      <c t="str" s="142" r="AP16">
        <f>IF((MAX(AU$44:AU$361)&lt;$AN16),"---",(INDEX($O$44:$O$361,MATCH($AN16,AU$44:AU$361,1))-INDEX($O$44:$O$361,MATCH($AN16,AU$44:AU$361,0))))</f>
        <v>---</v>
      </c>
      <c t="str" s="142" r="AQ16">
        <f>IF((MAX(AV$44:AV$361)&lt;$AN16),"---",(INDEX($O$44:$O$361,MATCH($AN16,AV$44:AV$361,1))-INDEX($O$44:$O$361,MATCH($AN16,AV$44:AV$361,0))))</f>
        <v>---</v>
      </c>
      <c t="str" s="142" r="AR16">
        <f>IF((MAX(AW$44:AW$361)&lt;$AN16),"---",(INDEX($O$44:$O$361,MATCH($AN16,AW$44:AW$361,1))-INDEX($O$44:$O$361,MATCH($AN16,AW$44:AW$361,0))))</f>
        <v>---</v>
      </c>
      <c t="str" s="423" r="AS16">
        <f>IF((MAX(AT$44:AT$361)&lt;$AN16),"---",((IF((IF((COUNT($AA$44:$AA$361)&lt;2),0,COUNT((INDEX($AA$44:$AA$361,MATCH($AN16,AT$44:AT$361,0))*INDEX($AA$44:$AA$361,MATCH($AN16,AT$44:AT$361,1)))))&gt;0),(INDEX($AA$44:$AA$361,MATCH($AN16,AT$44:AT$361,0))-INDEX($AA$44:$AA$361,MATCH($AN16,AT$44:AT$361,1))),(INDEX($Z$44:$Z$361,MATCH($AN16,AT$44:AT$361,0))-INDEX($Z$44:$Z$361,MATCH($AN16,AT$44:AT$361,1))))/AO16)*100))</f>
        <v>---</v>
      </c>
      <c t="str" s="423" r="AT16">
        <f>IF((MAX(AU$44:AU$361)&lt;$AN16),"---",((IF((IF((COUNT($AA$44:$AA$361)&lt;2),0,COUNT((INDEX($AA$44:$AA$361,MATCH($AN16,AU$44:AU$361,0))*INDEX($AA$44:$AA$361,MATCH($AN16,AU$44:AU$361,1)))))&gt;0),(INDEX($AA$44:$AA$361,MATCH($AN16,AU$44:AU$361,0))-INDEX($AA$44:$AA$361,MATCH($AN16,AU$44:AU$361,1))),(INDEX($Z$44:$Z$361,MATCH($AN16,AU$44:AU$361,0))-INDEX($Z$44:$Z$361,MATCH($AN16,AU$44:AU$361,1))))/AP16)*100))</f>
        <v>---</v>
      </c>
      <c t="str" s="423" r="AU16">
        <f>IF((MAX(AV$44:AV$361)&lt;$AN16),"---",((IF((IF((COUNT($AA$44:$AA$361)&lt;2),0,COUNT((INDEX($AA$44:$AA$361,MATCH($AN16,AV$44:AV$361,0))*INDEX($AA$44:$AA$361,MATCH($AN16,AV$44:AV$361,1)))))&gt;0),(INDEX($AA$44:$AA$361,MATCH($AN16,AV$44:AV$361,0))-INDEX($AA$44:$AA$361,MATCH($AN16,AV$44:AV$361,1))),(INDEX($Z$44:$Z$361,MATCH($AN16,AV$44:AV$361,0))-INDEX($Z$44:$Z$361,MATCH($AN16,AV$44:AV$361,1))))/AQ16)*100))</f>
        <v>---</v>
      </c>
      <c t="str" s="423" r="AV16">
        <f>IF((MAX(AW$44:AW$361)&lt;$AN16),"---",((IF((IF((COUNT($AA$44:$AA$361)&lt;2),0,COUNT((INDEX($AA$44:$AA$361,MATCH($AN16,AW$44:AW$361,0))*INDEX($AA$44:$AA$361,MATCH($AN16,AW$44:AW$361,1)))))&gt;0),(INDEX($AA$44:$AA$361,MATCH($AN16,AW$44:AW$361,0))-INDEX($AA$44:$AA$361,MATCH($AN16,AW$44:AW$361,1))),(INDEX($Z$44:$Z$361,MATCH($AN16,AW$44:AW$361,0))-INDEX($Z$44:$Z$361,MATCH($AN16,AW$44:AW$361,1))))/AR16)*100))</f>
        <v>---</v>
      </c>
      <c s="890" r="AW16"/>
      <c t="str" s="777" r="AX16">
        <f>IF(ISNUMBER(MATCH(AN17,AX$44:AX$361,0)),(INDEX(O$44:O$361,MATCH(AN17,AX$44:AX$361,0))-INDEX(O$44:O$361,MATCH(AN16,AX$44:AX$361,0))),"---")</f>
        <v>---</v>
      </c>
      <c s="113" r="AY16"/>
      <c s="761" r="AZ16"/>
      <c s="591" r="BA16"/>
      <c s="808" r="BB16">
        <v>7</v>
      </c>
      <c s="184" r="BC16"/>
      <c s="184" r="BD16"/>
      <c s="184" r="BE16"/>
      <c s="184" r="BF16"/>
      <c s="184" r="BG16"/>
      <c s="51" r="BH16"/>
      <c s="125" r="BI16"/>
    </row>
    <row r="17">
      <c s="822" r="A17"/>
      <c s="406" r="B17"/>
      <c t="s" s="886" r="C17">
        <v>338</v>
      </c>
      <c s="886" r="D17"/>
      <c s="886" r="E17"/>
      <c s="886" r="F17"/>
      <c s="886" r="G17"/>
      <c s="886" r="H17"/>
      <c s="418" r="I17"/>
      <c s="702" r="J17"/>
      <c s="908" r="K17"/>
      <c s="551" r="L17"/>
      <c s="551" r="M17"/>
      <c s="551" r="N17"/>
      <c s="551" r="O17"/>
      <c s="52" r="P17"/>
      <c s="52" r="Q17"/>
      <c s="52" r="R17"/>
      <c s="52" r="S17"/>
      <c s="551" r="T17"/>
      <c s="52" r="U17"/>
      <c s="52" r="V17"/>
      <c s="52" r="W17"/>
      <c s="52" r="X17"/>
      <c s="551" r="Y17"/>
      <c s="551" r="Z17"/>
      <c s="551" r="AA17"/>
      <c s="551" r="AB17"/>
      <c s="551" r="AC17"/>
      <c s="551" r="AD17"/>
      <c s="671" r="AE17"/>
      <c t="s" s="439" r="AF17">
        <v>304</v>
      </c>
      <c s="890" r="AG17"/>
      <c s="890" r="AH17"/>
      <c s="890" r="AI17"/>
      <c s="890" r="AJ17"/>
      <c s="890" r="AK17"/>
      <c s="890" r="AL17"/>
      <c s="890" r="AM17"/>
      <c s="890" r="AN17">
        <v>8</v>
      </c>
      <c t="str" s="142" r="AO17">
        <f>IF((MAX(AT$44:AT$361)&lt;$AN17),"---",(INDEX($O$44:$O$361,MATCH($AN17,AT$44:AT$361,1))-INDEX($O$44:$O$361,MATCH($AN17,AT$44:AT$361,0))))</f>
        <v>---</v>
      </c>
      <c t="str" s="142" r="AP17">
        <f>IF((MAX(AU$44:AU$361)&lt;$AN17),"---",(INDEX($O$44:$O$361,MATCH($AN17,AU$44:AU$361,1))-INDEX($O$44:$O$361,MATCH($AN17,AU$44:AU$361,0))))</f>
        <v>---</v>
      </c>
      <c t="str" s="142" r="AQ17">
        <f>IF((MAX(AV$44:AV$361)&lt;$AN17),"---",(INDEX($O$44:$O$361,MATCH($AN17,AV$44:AV$361,1))-INDEX($O$44:$O$361,MATCH($AN17,AV$44:AV$361,0))))</f>
        <v>---</v>
      </c>
      <c t="str" s="142" r="AR17">
        <f>IF((MAX(AW$44:AW$361)&lt;$AN17),"---",(INDEX($O$44:$O$361,MATCH($AN17,AW$44:AW$361,1))-INDEX($O$44:$O$361,MATCH($AN17,AW$44:AW$361,0))))</f>
        <v>---</v>
      </c>
      <c t="str" s="423" r="AS17">
        <f>IF((MAX(AT$44:AT$361)&lt;$AN17),"---",((IF((IF((COUNT($AA$44:$AA$361)&lt;2),0,COUNT((INDEX($AA$44:$AA$361,MATCH($AN17,AT$44:AT$361,0))*INDEX($AA$44:$AA$361,MATCH($AN17,AT$44:AT$361,1)))))&gt;0),(INDEX($AA$44:$AA$361,MATCH($AN17,AT$44:AT$361,0))-INDEX($AA$44:$AA$361,MATCH($AN17,AT$44:AT$361,1))),(INDEX($Z$44:$Z$361,MATCH($AN17,AT$44:AT$361,0))-INDEX($Z$44:$Z$361,MATCH($AN17,AT$44:AT$361,1))))/AO17)*100))</f>
        <v>---</v>
      </c>
      <c t="str" s="423" r="AT17">
        <f>IF((MAX(AU$44:AU$361)&lt;$AN17),"---",((IF((IF((COUNT($AA$44:$AA$361)&lt;2),0,COUNT((INDEX($AA$44:$AA$361,MATCH($AN17,AU$44:AU$361,0))*INDEX($AA$44:$AA$361,MATCH($AN17,AU$44:AU$361,1)))))&gt;0),(INDEX($AA$44:$AA$361,MATCH($AN17,AU$44:AU$361,0))-INDEX($AA$44:$AA$361,MATCH($AN17,AU$44:AU$361,1))),(INDEX($Z$44:$Z$361,MATCH($AN17,AU$44:AU$361,0))-INDEX($Z$44:$Z$361,MATCH($AN17,AU$44:AU$361,1))))/AP17)*100))</f>
        <v>---</v>
      </c>
      <c t="str" s="423" r="AU17">
        <f>IF((MAX(AV$44:AV$361)&lt;$AN17),"---",((IF((IF((COUNT($AA$44:$AA$361)&lt;2),0,COUNT((INDEX($AA$44:$AA$361,MATCH($AN17,AV$44:AV$361,0))*INDEX($AA$44:$AA$361,MATCH($AN17,AV$44:AV$361,1)))))&gt;0),(INDEX($AA$44:$AA$361,MATCH($AN17,AV$44:AV$361,0))-INDEX($AA$44:$AA$361,MATCH($AN17,AV$44:AV$361,1))),(INDEX($Z$44:$Z$361,MATCH($AN17,AV$44:AV$361,0))-INDEX($Z$44:$Z$361,MATCH($AN17,AV$44:AV$361,1))))/AQ17)*100))</f>
        <v>---</v>
      </c>
      <c t="str" s="423" r="AV17">
        <f>IF((MAX(AW$44:AW$361)&lt;$AN17),"---",((IF((IF((COUNT($AA$44:$AA$361)&lt;2),0,COUNT((INDEX($AA$44:$AA$361,MATCH($AN17,AW$44:AW$361,0))*INDEX($AA$44:$AA$361,MATCH($AN17,AW$44:AW$361,1)))))&gt;0),(INDEX($AA$44:$AA$361,MATCH($AN17,AW$44:AW$361,0))-INDEX($AA$44:$AA$361,MATCH($AN17,AW$44:AW$361,1))),(INDEX($Z$44:$Z$361,MATCH($AN17,AW$44:AW$361,0))-INDEX($Z$44:$Z$361,MATCH($AN17,AW$44:AW$361,1))))/AR17)*100))</f>
        <v>---</v>
      </c>
      <c s="890" r="AW17"/>
      <c t="str" s="777" r="AX17">
        <f>IF(ISNUMBER(MATCH(AN18,AX$44:AX$361,0)),(INDEX(O$44:O$361,MATCH(AN18,AX$44:AX$361,0))-INDEX(O$44:O$361,MATCH(AN17,AX$44:AX$361,0))),"---")</f>
        <v>---</v>
      </c>
      <c s="113" r="AY17"/>
      <c s="761" r="AZ17"/>
      <c s="591" r="BA17"/>
      <c s="808" r="BB17">
        <v>8</v>
      </c>
      <c s="184" r="BC17"/>
      <c s="184" r="BD17"/>
      <c s="184" r="BE17"/>
      <c s="184" r="BF17"/>
      <c s="184" r="BG17"/>
      <c s="51" r="BH17"/>
      <c s="125" r="BI17"/>
    </row>
    <row r="18">
      <c s="822" r="A18"/>
      <c s="406" r="B18"/>
      <c t="s" s="886" r="C18">
        <v>339</v>
      </c>
      <c s="886" r="D18"/>
      <c s="886" r="E18"/>
      <c s="886" r="F18"/>
      <c s="886" r="G18"/>
      <c s="886" r="H18"/>
      <c s="418" r="I18"/>
      <c s="702" r="J18"/>
      <c s="908" r="K18"/>
      <c s="551" r="L18"/>
      <c s="551" r="M18"/>
      <c s="551" r="N18"/>
      <c s="551" r="O18"/>
      <c s="52" r="P18"/>
      <c s="52" r="Q18"/>
      <c s="52" r="R18"/>
      <c s="52" r="S18"/>
      <c s="551" r="T18"/>
      <c s="52" r="U18"/>
      <c s="52" r="V18"/>
      <c s="52" r="W18"/>
      <c s="52" r="X18"/>
      <c s="551" r="Y18"/>
      <c s="551" r="Z18"/>
      <c s="551" r="AA18"/>
      <c s="551" r="AB18"/>
      <c s="551" r="AC18"/>
      <c s="551" r="AD18"/>
      <c s="671" r="AE18"/>
      <c t="s" s="439" r="AF18">
        <v>304</v>
      </c>
      <c s="890" r="AG18"/>
      <c s="890" r="AH18"/>
      <c s="890" r="AI18"/>
      <c s="890" r="AJ18"/>
      <c s="890" r="AK18"/>
      <c s="890" r="AL18"/>
      <c s="890" r="AM18"/>
      <c s="890" r="AN18">
        <v>9</v>
      </c>
      <c t="str" s="142" r="AO18">
        <f>IF((MAX(AT$44:AT$361)&lt;$AN18),"---",(INDEX($O$44:$O$361,MATCH($AN18,AT$44:AT$361,1))-INDEX($O$44:$O$361,MATCH($AN18,AT$44:AT$361,0))))</f>
        <v>---</v>
      </c>
      <c t="str" s="142" r="AP18">
        <f>IF((MAX(AU$44:AU$361)&lt;$AN18),"---",(INDEX($O$44:$O$361,MATCH($AN18,AU$44:AU$361,1))-INDEX($O$44:$O$361,MATCH($AN18,AU$44:AU$361,0))))</f>
        <v>---</v>
      </c>
      <c t="str" s="142" r="AQ18">
        <f>IF((MAX(AV$44:AV$361)&lt;$AN18),"---",(INDEX($O$44:$O$361,MATCH($AN18,AV$44:AV$361,1))-INDEX($O$44:$O$361,MATCH($AN18,AV$44:AV$361,0))))</f>
        <v>---</v>
      </c>
      <c t="str" s="142" r="AR18">
        <f>IF((MAX(AW$44:AW$361)&lt;$AN18),"---",(INDEX($O$44:$O$361,MATCH($AN18,AW$44:AW$361,1))-INDEX($O$44:$O$361,MATCH($AN18,AW$44:AW$361,0))))</f>
        <v>---</v>
      </c>
      <c t="str" s="423" r="AS18">
        <f>IF((MAX(AT$44:AT$361)&lt;$AN18),"---",((IF((IF((COUNT($AA$44:$AA$361)&lt;2),0,COUNT((INDEX($AA$44:$AA$361,MATCH($AN18,AT$44:AT$361,0))*INDEX($AA$44:$AA$361,MATCH($AN18,AT$44:AT$361,1)))))&gt;0),(INDEX($AA$44:$AA$361,MATCH($AN18,AT$44:AT$361,0))-INDEX($AA$44:$AA$361,MATCH($AN18,AT$44:AT$361,1))),(INDEX($Z$44:$Z$361,MATCH($AN18,AT$44:AT$361,0))-INDEX($Z$44:$Z$361,MATCH($AN18,AT$44:AT$361,1))))/AO18)*100))</f>
        <v>---</v>
      </c>
      <c t="str" s="423" r="AT18">
        <f>IF((MAX(AU$44:AU$361)&lt;$AN18),"---",((IF((IF((COUNT($AA$44:$AA$361)&lt;2),0,COUNT((INDEX($AA$44:$AA$361,MATCH($AN18,AU$44:AU$361,0))*INDEX($AA$44:$AA$361,MATCH($AN18,AU$44:AU$361,1)))))&gt;0),(INDEX($AA$44:$AA$361,MATCH($AN18,AU$44:AU$361,0))-INDEX($AA$44:$AA$361,MATCH($AN18,AU$44:AU$361,1))),(INDEX($Z$44:$Z$361,MATCH($AN18,AU$44:AU$361,0))-INDEX($Z$44:$Z$361,MATCH($AN18,AU$44:AU$361,1))))/AP18)*100))</f>
        <v>---</v>
      </c>
      <c t="str" s="423" r="AU18">
        <f>IF((MAX(AV$44:AV$361)&lt;$AN18),"---",((IF((IF((COUNT($AA$44:$AA$361)&lt;2),0,COUNT((INDEX($AA$44:$AA$361,MATCH($AN18,AV$44:AV$361,0))*INDEX($AA$44:$AA$361,MATCH($AN18,AV$44:AV$361,1)))))&gt;0),(INDEX($AA$44:$AA$361,MATCH($AN18,AV$44:AV$361,0))-INDEX($AA$44:$AA$361,MATCH($AN18,AV$44:AV$361,1))),(INDEX($Z$44:$Z$361,MATCH($AN18,AV$44:AV$361,0))-INDEX($Z$44:$Z$361,MATCH($AN18,AV$44:AV$361,1))))/AQ18)*100))</f>
        <v>---</v>
      </c>
      <c t="str" s="423" r="AV18">
        <f>IF((MAX(AW$44:AW$361)&lt;$AN18),"---",((IF((IF((COUNT($AA$44:$AA$361)&lt;2),0,COUNT((INDEX($AA$44:$AA$361,MATCH($AN18,AW$44:AW$361,0))*INDEX($AA$44:$AA$361,MATCH($AN18,AW$44:AW$361,1)))))&gt;0),(INDEX($AA$44:$AA$361,MATCH($AN18,AW$44:AW$361,0))-INDEX($AA$44:$AA$361,MATCH($AN18,AW$44:AW$361,1))),(INDEX($Z$44:$Z$361,MATCH($AN18,AW$44:AW$361,0))-INDEX($Z$44:$Z$361,MATCH($AN18,AW$44:AW$361,1))))/AR18)*100))</f>
        <v>---</v>
      </c>
      <c s="890" r="AW18"/>
      <c t="str" s="777" r="AX18">
        <f>IF(ISNUMBER(MATCH(AN19,AX$44:AX$361,0)),(INDEX(O$44:O$361,MATCH(AN19,AX$44:AX$361,0))-INDEX(O$44:O$361,MATCH(AN18,AX$44:AX$361,0))),"---")</f>
        <v>---</v>
      </c>
      <c s="113" r="AY18"/>
      <c s="761" r="AZ18"/>
      <c s="591" r="BA18"/>
      <c s="808" r="BB18">
        <v>9</v>
      </c>
      <c s="184" r="BC18"/>
      <c s="184" r="BD18"/>
      <c s="184" r="BE18"/>
      <c s="184" r="BF18"/>
      <c s="184" r="BG18"/>
      <c s="51" r="BH18"/>
      <c s="125" r="BI18"/>
    </row>
    <row customHeight="1" r="19" ht="13.5">
      <c s="822" r="A19"/>
      <c s="406" r="B19"/>
      <c s="886" r="C19"/>
      <c s="886" r="D19"/>
      <c s="886" r="E19"/>
      <c s="886" r="F19"/>
      <c s="886" r="G19"/>
      <c s="886" r="H19"/>
      <c s="418" r="I19"/>
      <c s="702" r="J19"/>
      <c s="908" r="K19"/>
      <c s="551" r="L19"/>
      <c s="551" r="M19"/>
      <c s="551" r="N19"/>
      <c s="551" r="O19"/>
      <c s="52" r="P19"/>
      <c s="52" r="Q19"/>
      <c s="52" r="R19"/>
      <c s="52" r="S19"/>
      <c s="551" r="T19"/>
      <c s="52" r="U19"/>
      <c s="52" r="V19"/>
      <c s="52" r="W19"/>
      <c s="52" r="X19"/>
      <c s="551" r="Y19"/>
      <c s="551" r="Z19"/>
      <c s="551" r="AA19"/>
      <c s="551" r="AB19"/>
      <c s="551" r="AC19"/>
      <c s="551" r="AD19"/>
      <c s="671" r="AE19"/>
      <c t="s" s="439" r="AF19">
        <v>304</v>
      </c>
      <c s="890" r="AG19"/>
      <c t="s" s="907" r="AH19">
        <v>340</v>
      </c>
      <c s="80" r="AI19"/>
      <c s="80" r="AJ19"/>
      <c s="80" r="AK19"/>
      <c s="890" r="AL19"/>
      <c s="890" r="AM19"/>
      <c s="890" r="AN19">
        <v>10</v>
      </c>
      <c t="str" s="142" r="AO19">
        <f>IF((MAX(AT$44:AT$361)&lt;$AN19),"---",(INDEX($O$44:$O$361,MATCH($AN19,AT$44:AT$361,1))-INDEX($O$44:$O$361,MATCH($AN19,AT$44:AT$361,0))))</f>
        <v>---</v>
      </c>
      <c t="str" s="142" r="AP19">
        <f>IF((MAX(AU$44:AU$361)&lt;$AN19),"---",(INDEX($O$44:$O$361,MATCH($AN19,AU$44:AU$361,1))-INDEX($O$44:$O$361,MATCH($AN19,AU$44:AU$361,0))))</f>
        <v>---</v>
      </c>
      <c t="str" s="142" r="AQ19">
        <f>IF((MAX(AV$44:AV$361)&lt;$AN19),"---",(INDEX($O$44:$O$361,MATCH($AN19,AV$44:AV$361,1))-INDEX($O$44:$O$361,MATCH($AN19,AV$44:AV$361,0))))</f>
        <v>---</v>
      </c>
      <c t="str" s="142" r="AR19">
        <f>IF((MAX(AW$44:AW$361)&lt;$AN19),"---",(INDEX($O$44:$O$361,MATCH($AN19,AW$44:AW$361,1))-INDEX($O$44:$O$361,MATCH($AN19,AW$44:AW$361,0))))</f>
        <v>---</v>
      </c>
      <c t="str" s="423" r="AS19">
        <f>IF((MAX(AT$44:AT$361)&lt;$AN19),"---",((IF((IF((COUNT($AA$44:$AA$361)&lt;2),0,COUNT((INDEX($AA$44:$AA$361,MATCH($AN19,AT$44:AT$361,0))*INDEX($AA$44:$AA$361,MATCH($AN19,AT$44:AT$361,1)))))&gt;0),(INDEX($AA$44:$AA$361,MATCH($AN19,AT$44:AT$361,0))-INDEX($AA$44:$AA$361,MATCH($AN19,AT$44:AT$361,1))),(INDEX($Z$44:$Z$361,MATCH($AN19,AT$44:AT$361,0))-INDEX($Z$44:$Z$361,MATCH($AN19,AT$44:AT$361,1))))/AO19)*100))</f>
        <v>---</v>
      </c>
      <c t="str" s="423" r="AT19">
        <f>IF((MAX(AU$44:AU$361)&lt;$AN19),"---",((IF((IF((COUNT($AA$44:$AA$361)&lt;2),0,COUNT((INDEX($AA$44:$AA$361,MATCH($AN19,AU$44:AU$361,0))*INDEX($AA$44:$AA$361,MATCH($AN19,AU$44:AU$361,1)))))&gt;0),(INDEX($AA$44:$AA$361,MATCH($AN19,AU$44:AU$361,0))-INDEX($AA$44:$AA$361,MATCH($AN19,AU$44:AU$361,1))),(INDEX($Z$44:$Z$361,MATCH($AN19,AU$44:AU$361,0))-INDEX($Z$44:$Z$361,MATCH($AN19,AU$44:AU$361,1))))/AP19)*100))</f>
        <v>---</v>
      </c>
      <c t="str" s="423" r="AU19">
        <f>IF((MAX(AV$44:AV$361)&lt;$AN19),"---",((IF((IF((COUNT($AA$44:$AA$361)&lt;2),0,COUNT((INDEX($AA$44:$AA$361,MATCH($AN19,AV$44:AV$361,0))*INDEX($AA$44:$AA$361,MATCH($AN19,AV$44:AV$361,1)))))&gt;0),(INDEX($AA$44:$AA$361,MATCH($AN19,AV$44:AV$361,0))-INDEX($AA$44:$AA$361,MATCH($AN19,AV$44:AV$361,1))),(INDEX($Z$44:$Z$361,MATCH($AN19,AV$44:AV$361,0))-INDEX($Z$44:$Z$361,MATCH($AN19,AV$44:AV$361,1))))/AQ19)*100))</f>
        <v>---</v>
      </c>
      <c t="str" s="423" r="AV19">
        <f>IF((MAX(AW$44:AW$361)&lt;$AN19),"---",((IF((IF((COUNT($AA$44:$AA$361)&lt;2),0,COUNT((INDEX($AA$44:$AA$361,MATCH($AN19,AW$44:AW$361,0))*INDEX($AA$44:$AA$361,MATCH($AN19,AW$44:AW$361,1)))))&gt;0),(INDEX($AA$44:$AA$361,MATCH($AN19,AW$44:AW$361,0))-INDEX($AA$44:$AA$361,MATCH($AN19,AW$44:AW$361,1))),(INDEX($Z$44:$Z$361,MATCH($AN19,AW$44:AW$361,0))-INDEX($Z$44:$Z$361,MATCH($AN19,AW$44:AW$361,1))))/AR19)*100))</f>
        <v>---</v>
      </c>
      <c s="890" r="AW19"/>
      <c t="str" s="777" r="AX19">
        <f>IF(ISNUMBER(MATCH(AN20,AX$44:AX$361,0)),(INDEX(O$44:O$361,MATCH(AN20,AX$44:AX$361,0))-INDEX(O$44:O$361,MATCH(AN19,AX$44:AX$361,0))),"---")</f>
        <v>---</v>
      </c>
      <c s="113" r="AY19"/>
      <c s="761" r="AZ19"/>
      <c s="591" r="BA19"/>
      <c s="145" r="BB19">
        <v>10</v>
      </c>
      <c s="184" r="BC19"/>
      <c s="184" r="BD19"/>
      <c s="184" r="BE19"/>
      <c s="184" r="BF19"/>
      <c s="184" r="BG19"/>
      <c s="51" r="BH19"/>
      <c s="125" r="BI19"/>
    </row>
    <row customHeight="1" r="20" ht="14.25">
      <c s="822" r="A20"/>
      <c s="406" r="B20"/>
      <c t="s" s="886" r="C20">
        <v>341</v>
      </c>
      <c s="886" r="D20"/>
      <c s="886" r="E20"/>
      <c s="886" r="F20"/>
      <c s="886" r="G20"/>
      <c s="886" r="H20"/>
      <c s="418" r="I20"/>
      <c s="702" r="J20"/>
      <c s="908" r="K20"/>
      <c s="551" r="L20"/>
      <c s="551" r="M20"/>
      <c s="551" r="N20"/>
      <c s="551" r="O20"/>
      <c s="52" r="P20"/>
      <c s="52" r="Q20"/>
      <c s="52" r="R20"/>
      <c s="52" r="S20"/>
      <c s="551" r="T20"/>
      <c s="52" r="U20"/>
      <c s="52" r="V20"/>
      <c s="52" r="W20"/>
      <c s="52" r="X20"/>
      <c s="551" r="Y20"/>
      <c s="551" r="Z20"/>
      <c s="551" r="AA20"/>
      <c s="551" r="AB20"/>
      <c s="551" r="AC20"/>
      <c s="551" r="AD20"/>
      <c s="671" r="AE20"/>
      <c t="s" s="439" r="AF20">
        <v>304</v>
      </c>
      <c s="890" r="AG20"/>
      <c t="s" s="890" r="AH20">
        <v>342</v>
      </c>
      <c s="80" r="AI20"/>
      <c s="80" r="AJ20"/>
      <c s="80" r="AK20"/>
      <c s="890" r="AL20"/>
      <c s="890" r="AM20"/>
      <c s="890" r="AN20">
        <v>11</v>
      </c>
      <c t="str" s="142" r="AO20">
        <f>IF((MAX(AT$44:AT$361)&lt;$AN20),"---",(INDEX($O$44:$O$361,MATCH($AN20,AT$44:AT$361,1))-INDEX($O$44:$O$361,MATCH($AN20,AT$44:AT$361,0))))</f>
        <v>---</v>
      </c>
      <c t="str" s="142" r="AP20">
        <f>IF((MAX(AU$44:AU$361)&lt;$AN20),"---",(INDEX($O$44:$O$361,MATCH($AN20,AU$44:AU$361,1))-INDEX($O$44:$O$361,MATCH($AN20,AU$44:AU$361,0))))</f>
        <v>---</v>
      </c>
      <c t="str" s="142" r="AQ20">
        <f>IF((MAX(AV$44:AV$361)&lt;$AN20),"---",(INDEX($O$44:$O$361,MATCH($AN20,AV$44:AV$361,1))-INDEX($O$44:$O$361,MATCH($AN20,AV$44:AV$361,0))))</f>
        <v>---</v>
      </c>
      <c t="str" s="142" r="AR20">
        <f>IF((MAX(AW$44:AW$361)&lt;$AN20),"---",(INDEX($O$44:$O$361,MATCH($AN20,AW$44:AW$361,1))-INDEX($O$44:$O$361,MATCH($AN20,AW$44:AW$361,0))))</f>
        <v>---</v>
      </c>
      <c t="str" s="423" r="AS20">
        <f>IF((MAX(AT$44:AT$361)&lt;$AN20),"---",((IF((IF((COUNT($AA$44:$AA$361)&lt;2),0,COUNT((INDEX($AA$44:$AA$361,MATCH($AN20,AT$44:AT$361,0))*INDEX($AA$44:$AA$361,MATCH($AN20,AT$44:AT$361,1)))))&gt;0),(INDEX($AA$44:$AA$361,MATCH($AN20,AT$44:AT$361,0))-INDEX($AA$44:$AA$361,MATCH($AN20,AT$44:AT$361,1))),(INDEX($Z$44:$Z$361,MATCH($AN20,AT$44:AT$361,0))-INDEX($Z$44:$Z$361,MATCH($AN20,AT$44:AT$361,1))))/AO20)*100))</f>
        <v>---</v>
      </c>
      <c t="str" s="423" r="AT20">
        <f>IF((MAX(AU$44:AU$361)&lt;$AN20),"---",((IF((IF((COUNT($AA$44:$AA$361)&lt;2),0,COUNT((INDEX($AA$44:$AA$361,MATCH($AN20,AU$44:AU$361,0))*INDEX($AA$44:$AA$361,MATCH($AN20,AU$44:AU$361,1)))))&gt;0),(INDEX($AA$44:$AA$361,MATCH($AN20,AU$44:AU$361,0))-INDEX($AA$44:$AA$361,MATCH($AN20,AU$44:AU$361,1))),(INDEX($Z$44:$Z$361,MATCH($AN20,AU$44:AU$361,0))-INDEX($Z$44:$Z$361,MATCH($AN20,AU$44:AU$361,1))))/AP20)*100))</f>
        <v>---</v>
      </c>
      <c t="str" s="423" r="AU20">
        <f>IF((MAX(AV$44:AV$361)&lt;$AN20),"---",((IF((IF((COUNT($AA$44:$AA$361)&lt;2),0,COUNT((INDEX($AA$44:$AA$361,MATCH($AN20,AV$44:AV$361,0))*INDEX($AA$44:$AA$361,MATCH($AN20,AV$44:AV$361,1)))))&gt;0),(INDEX($AA$44:$AA$361,MATCH($AN20,AV$44:AV$361,0))-INDEX($AA$44:$AA$361,MATCH($AN20,AV$44:AV$361,1))),(INDEX($Z$44:$Z$361,MATCH($AN20,AV$44:AV$361,0))-INDEX($Z$44:$Z$361,MATCH($AN20,AV$44:AV$361,1))))/AQ20)*100))</f>
        <v>---</v>
      </c>
      <c t="str" s="423" r="AV20">
        <f>IF((MAX(AW$44:AW$361)&lt;$AN20),"---",((IF((IF((COUNT($AA$44:$AA$361)&lt;2),0,COUNT((INDEX($AA$44:$AA$361,MATCH($AN20,AW$44:AW$361,0))*INDEX($AA$44:$AA$361,MATCH($AN20,AW$44:AW$361,1)))))&gt;0),(INDEX($AA$44:$AA$361,MATCH($AN20,AW$44:AW$361,0))-INDEX($AA$44:$AA$361,MATCH($AN20,AW$44:AW$361,1))),(INDEX($Z$44:$Z$361,MATCH($AN20,AW$44:AW$361,0))-INDEX($Z$44:$Z$361,MATCH($AN20,AW$44:AW$361,1))))/AR20)*100))</f>
        <v>---</v>
      </c>
      <c s="890" r="AW20"/>
      <c t="str" s="777" r="AX20">
        <f>IF(ISNUMBER(MATCH(AN21,AX$44:AX$361,0)),(INDEX(O$44:O$361,MATCH(AN21,AX$44:AX$361,0))-INDEX(O$44:O$361,MATCH(AN20,AX$44:AX$361,0))),"---")</f>
        <v>---</v>
      </c>
      <c s="113" r="AY20"/>
      <c s="761" r="AZ20"/>
      <c s="761" r="BA20"/>
      <c s="412" r="BB20"/>
      <c s="412" r="BC20"/>
      <c s="412" r="BD20"/>
      <c s="412" r="BE20"/>
      <c s="412" r="BF20"/>
      <c s="442" r="BG20"/>
      <c s="125" r="BH20"/>
      <c s="125" r="BI20"/>
    </row>
    <row customHeight="1" r="21" ht="14.25">
      <c s="822" r="A21"/>
      <c s="406" r="B21"/>
      <c t="s" s="886" r="C21">
        <v>343</v>
      </c>
      <c s="886" r="D21"/>
      <c s="886" r="E21"/>
      <c s="886" r="F21"/>
      <c s="886" r="G21"/>
      <c s="886" r="H21"/>
      <c s="418" r="I21"/>
      <c s="702" r="J21"/>
      <c s="908" r="K21"/>
      <c s="551" r="L21"/>
      <c s="551" r="M21"/>
      <c s="551" r="N21"/>
      <c s="551" r="O21"/>
      <c s="52" r="P21"/>
      <c s="52" r="Q21"/>
      <c s="52" r="R21"/>
      <c s="52" r="S21"/>
      <c s="551" r="T21"/>
      <c s="52" r="U21"/>
      <c s="52" r="V21"/>
      <c s="52" r="W21"/>
      <c s="52" r="X21"/>
      <c s="551" r="Y21"/>
      <c s="551" r="Z21"/>
      <c s="551" r="AA21"/>
      <c s="551" r="AB21"/>
      <c s="551" r="AC21"/>
      <c s="551" r="AD21"/>
      <c s="671" r="AE21"/>
      <c t="s" s="439" r="AF21">
        <v>304</v>
      </c>
      <c s="890" r="AG21"/>
      <c t="s" s="890" r="AH21">
        <v>344</v>
      </c>
      <c s="80" r="AI21"/>
      <c s="80" r="AJ21"/>
      <c s="80" r="AK21"/>
      <c s="890" r="AL21"/>
      <c s="890" r="AM21"/>
      <c s="890" r="AN21">
        <v>12</v>
      </c>
      <c t="str" s="142" r="AO21">
        <f>IF((MAX(AT$44:AT$361)&lt;$AN21),"---",(INDEX($O$44:$O$361,MATCH($AN21,AT$44:AT$361,1))-INDEX($O$44:$O$361,MATCH($AN21,AT$44:AT$361,0))))</f>
        <v>---</v>
      </c>
      <c t="str" s="142" r="AP21">
        <f>IF((MAX(AU$44:AU$361)&lt;$AN21),"---",(INDEX($O$44:$O$361,MATCH($AN21,AU$44:AU$361,1))-INDEX($O$44:$O$361,MATCH($AN21,AU$44:AU$361,0))))</f>
        <v>---</v>
      </c>
      <c t="str" s="142" r="AQ21">
        <f>IF((MAX(AV$44:AV$361)&lt;$AN21),"---",(INDEX($O$44:$O$361,MATCH($AN21,AV$44:AV$361,1))-INDEX($O$44:$O$361,MATCH($AN21,AV$44:AV$361,0))))</f>
        <v>---</v>
      </c>
      <c t="str" s="142" r="AR21">
        <f>IF((MAX(AW$44:AW$361)&lt;$AN21),"---",(INDEX($O$44:$O$361,MATCH($AN21,AW$44:AW$361,1))-INDEX($O$44:$O$361,MATCH($AN21,AW$44:AW$361,0))))</f>
        <v>---</v>
      </c>
      <c t="str" s="423" r="AS21">
        <f>IF((MAX(AT$44:AT$361)&lt;$AN21),"---",((IF((IF((COUNT($AA$44:$AA$361)&lt;2),0,COUNT((INDEX($AA$44:$AA$361,MATCH($AN21,AT$44:AT$361,0))*INDEX($AA$44:$AA$361,MATCH($AN21,AT$44:AT$361,1)))))&gt;0),(INDEX($AA$44:$AA$361,MATCH($AN21,AT$44:AT$361,0))-INDEX($AA$44:$AA$361,MATCH($AN21,AT$44:AT$361,1))),(INDEX($Z$44:$Z$361,MATCH($AN21,AT$44:AT$361,0))-INDEX($Z$44:$Z$361,MATCH($AN21,AT$44:AT$361,1))))/AO21)*100))</f>
        <v>---</v>
      </c>
      <c t="str" s="423" r="AT21">
        <f>IF((MAX(AU$44:AU$361)&lt;$AN21),"---",((IF((IF((COUNT($AA$44:$AA$361)&lt;2),0,COUNT((INDEX($AA$44:$AA$361,MATCH($AN21,AU$44:AU$361,0))*INDEX($AA$44:$AA$361,MATCH($AN21,AU$44:AU$361,1)))))&gt;0),(INDEX($AA$44:$AA$361,MATCH($AN21,AU$44:AU$361,0))-INDEX($AA$44:$AA$361,MATCH($AN21,AU$44:AU$361,1))),(INDEX($Z$44:$Z$361,MATCH($AN21,AU$44:AU$361,0))-INDEX($Z$44:$Z$361,MATCH($AN21,AU$44:AU$361,1))))/AP21)*100))</f>
        <v>---</v>
      </c>
      <c t="str" s="423" r="AU21">
        <f>IF((MAX(AV$44:AV$361)&lt;$AN21),"---",((IF((IF((COUNT($AA$44:$AA$361)&lt;2),0,COUNT((INDEX($AA$44:$AA$361,MATCH($AN21,AV$44:AV$361,0))*INDEX($AA$44:$AA$361,MATCH($AN21,AV$44:AV$361,1)))))&gt;0),(INDEX($AA$44:$AA$361,MATCH($AN21,AV$44:AV$361,0))-INDEX($AA$44:$AA$361,MATCH($AN21,AV$44:AV$361,1))),(INDEX($Z$44:$Z$361,MATCH($AN21,AV$44:AV$361,0))-INDEX($Z$44:$Z$361,MATCH($AN21,AV$44:AV$361,1))))/AQ21)*100))</f>
        <v>---</v>
      </c>
      <c t="str" s="423" r="AV21">
        <f>IF((MAX(AW$44:AW$361)&lt;$AN21),"---",((IF((IF((COUNT($AA$44:$AA$361)&lt;2),0,COUNT((INDEX($AA$44:$AA$361,MATCH($AN21,AW$44:AW$361,0))*INDEX($AA$44:$AA$361,MATCH($AN21,AW$44:AW$361,1)))))&gt;0),(INDEX($AA$44:$AA$361,MATCH($AN21,AW$44:AW$361,0))-INDEX($AA$44:$AA$361,MATCH($AN21,AW$44:AW$361,1))),(INDEX($Z$44:$Z$361,MATCH($AN21,AW$44:AW$361,0))-INDEX($Z$44:$Z$361,MATCH($AN21,AW$44:AW$361,1))))/AR21)*100))</f>
        <v>---</v>
      </c>
      <c s="890" r="AW21"/>
      <c t="str" s="777" r="AX21">
        <f>IF(ISNUMBER(MATCH(AN22,AX$44:AX$361,0)),(INDEX(O$44:O$361,MATCH(AN22,AX$44:AX$361,0))-INDEX(O$44:O$361,MATCH(AN21,AX$44:AX$361,0))),"---")</f>
        <v>---</v>
      </c>
      <c s="113" r="AY21"/>
      <c s="761" r="AZ21"/>
      <c s="591" r="BA21"/>
      <c t="s" s="173" r="BB21">
        <v>345</v>
      </c>
      <c s="839" r="BC21"/>
      <c s="839" r="BD21"/>
      <c s="902" r="BE21"/>
      <c s="206" r="BF21"/>
      <c s="51" r="BG21"/>
      <c s="125" r="BH21"/>
      <c s="125" r="BI21"/>
    </row>
    <row r="22">
      <c s="822" r="A22"/>
      <c s="406" r="B22"/>
      <c t="s" s="886" r="C22">
        <v>346</v>
      </c>
      <c s="886" r="D22"/>
      <c s="886" r="E22"/>
      <c s="886" r="F22"/>
      <c s="886" r="G22"/>
      <c s="886" r="H22"/>
      <c s="418" r="I22"/>
      <c s="702" r="J22"/>
      <c s="908" r="K22"/>
      <c s="551" r="L22"/>
      <c s="551" r="M22"/>
      <c s="551" r="N22"/>
      <c s="551" r="O22"/>
      <c s="52" r="P22"/>
      <c s="52" r="Q22"/>
      <c s="52" r="R22"/>
      <c s="52" r="S22"/>
      <c s="551" r="T22"/>
      <c s="52" r="U22"/>
      <c s="52" r="V22"/>
      <c s="52" r="W22"/>
      <c s="52" r="X22"/>
      <c s="551" r="Y22"/>
      <c s="551" r="Z22"/>
      <c s="551" r="AA22"/>
      <c s="551" r="AB22"/>
      <c s="551" r="AC22"/>
      <c s="551" r="AD22"/>
      <c s="671" r="AE22"/>
      <c t="s" s="439" r="AF22">
        <v>304</v>
      </c>
      <c s="890" r="AG22"/>
      <c s="794" r="AH22">
        <v>1</v>
      </c>
      <c s="80" r="AI22"/>
      <c s="80" r="AJ22"/>
      <c s="80" r="AK22"/>
      <c s="890" r="AL22"/>
      <c s="890" r="AM22"/>
      <c s="890" r="AN22">
        <v>13</v>
      </c>
      <c t="str" s="142" r="AO22">
        <f>IF((MAX(AT$44:AT$361)&lt;$AN22),"---",(INDEX($O$44:$O$361,MATCH($AN22,AT$44:AT$361,1))-INDEX($O$44:$O$361,MATCH($AN22,AT$44:AT$361,0))))</f>
        <v>---</v>
      </c>
      <c t="str" s="142" r="AP22">
        <f>IF((MAX(AU$44:AU$361)&lt;$AN22),"---",(INDEX($O$44:$O$361,MATCH($AN22,AU$44:AU$361,1))-INDEX($O$44:$O$361,MATCH($AN22,AU$44:AU$361,0))))</f>
        <v>---</v>
      </c>
      <c t="str" s="142" r="AQ22">
        <f>IF((MAX(AV$44:AV$361)&lt;$AN22),"---",(INDEX($O$44:$O$361,MATCH($AN22,AV$44:AV$361,1))-INDEX($O$44:$O$361,MATCH($AN22,AV$44:AV$361,0))))</f>
        <v>---</v>
      </c>
      <c t="str" s="142" r="AR22">
        <f>IF((MAX(AW$44:AW$361)&lt;$AN22),"---",(INDEX($O$44:$O$361,MATCH($AN22,AW$44:AW$361,1))-INDEX($O$44:$O$361,MATCH($AN22,AW$44:AW$361,0))))</f>
        <v>---</v>
      </c>
      <c t="str" s="423" r="AS22">
        <f>IF((MAX(AT$44:AT$361)&lt;$AN22),"---",((IF((IF((COUNT($AA$44:$AA$361)&lt;2),0,COUNT((INDEX($AA$44:$AA$361,MATCH($AN22,AT$44:AT$361,0))*INDEX($AA$44:$AA$361,MATCH($AN22,AT$44:AT$361,1)))))&gt;0),(INDEX($AA$44:$AA$361,MATCH($AN22,AT$44:AT$361,0))-INDEX($AA$44:$AA$361,MATCH($AN22,AT$44:AT$361,1))),(INDEX($Z$44:$Z$361,MATCH($AN22,AT$44:AT$361,0))-INDEX($Z$44:$Z$361,MATCH($AN22,AT$44:AT$361,1))))/AO22)*100))</f>
        <v>---</v>
      </c>
      <c t="str" s="423" r="AT22">
        <f>IF((MAX(AU$44:AU$361)&lt;$AN22),"---",((IF((IF((COUNT($AA$44:$AA$361)&lt;2),0,COUNT((INDEX($AA$44:$AA$361,MATCH($AN22,AU$44:AU$361,0))*INDEX($AA$44:$AA$361,MATCH($AN22,AU$44:AU$361,1)))))&gt;0),(INDEX($AA$44:$AA$361,MATCH($AN22,AU$44:AU$361,0))-INDEX($AA$44:$AA$361,MATCH($AN22,AU$44:AU$361,1))),(INDEX($Z$44:$Z$361,MATCH($AN22,AU$44:AU$361,0))-INDEX($Z$44:$Z$361,MATCH($AN22,AU$44:AU$361,1))))/AP22)*100))</f>
        <v>---</v>
      </c>
      <c t="str" s="423" r="AU22">
        <f>IF((MAX(AV$44:AV$361)&lt;$AN22),"---",((IF((IF((COUNT($AA$44:$AA$361)&lt;2),0,COUNT((INDEX($AA$44:$AA$361,MATCH($AN22,AV$44:AV$361,0))*INDEX($AA$44:$AA$361,MATCH($AN22,AV$44:AV$361,1)))))&gt;0),(INDEX($AA$44:$AA$361,MATCH($AN22,AV$44:AV$361,0))-INDEX($AA$44:$AA$361,MATCH($AN22,AV$44:AV$361,1))),(INDEX($Z$44:$Z$361,MATCH($AN22,AV$44:AV$361,0))-INDEX($Z$44:$Z$361,MATCH($AN22,AV$44:AV$361,1))))/AQ22)*100))</f>
        <v>---</v>
      </c>
      <c t="str" s="423" r="AV22">
        <f>IF((MAX(AW$44:AW$361)&lt;$AN22),"---",((IF((IF((COUNT($AA$44:$AA$361)&lt;2),0,COUNT((INDEX($AA$44:$AA$361,MATCH($AN22,AW$44:AW$361,0))*INDEX($AA$44:$AA$361,MATCH($AN22,AW$44:AW$361,1)))))&gt;0),(INDEX($AA$44:$AA$361,MATCH($AN22,AW$44:AW$361,0))-INDEX($AA$44:$AA$361,MATCH($AN22,AW$44:AW$361,1))),(INDEX($Z$44:$Z$361,MATCH($AN22,AW$44:AW$361,0))-INDEX($Z$44:$Z$361,MATCH($AN22,AW$44:AW$361,1))))/AR22)*100))</f>
        <v>---</v>
      </c>
      <c s="890" r="AW22"/>
      <c t="str" s="777" r="AX22">
        <f>IF(ISNUMBER(MATCH(AN23,AX$44:AX$361,0)),(INDEX(O$44:O$361,MATCH(AN23,AX$44:AX$361,0))-INDEX(O$44:O$361,MATCH(AN22,AX$44:AX$361,0))),"---")</f>
        <v>---</v>
      </c>
      <c s="113" r="AY22"/>
      <c s="761" r="AZ22"/>
      <c s="591" r="BA22"/>
      <c s="332" r="BB22"/>
      <c t="s" s="407" r="BC22">
        <v>307</v>
      </c>
      <c t="s" s="407" r="BD22">
        <v>308</v>
      </c>
      <c t="s" s="407" r="BE22">
        <v>309</v>
      </c>
      <c t="s" s="77" r="BF22">
        <v>310</v>
      </c>
      <c s="51" r="BG22"/>
      <c s="125" r="BH22"/>
      <c s="125" r="BI22"/>
    </row>
    <row r="23">
      <c s="822" r="A23"/>
      <c s="406" r="B23"/>
      <c s="886" r="C23"/>
      <c s="886" r="D23"/>
      <c s="886" r="E23"/>
      <c s="886" r="F23"/>
      <c s="886" r="G23"/>
      <c s="886" r="H23"/>
      <c s="418" r="I23"/>
      <c s="702" r="J23"/>
      <c s="908" r="K23"/>
      <c s="551" r="L23"/>
      <c s="551" r="M23"/>
      <c s="551" r="N23"/>
      <c s="551" r="O23"/>
      <c s="52" r="P23"/>
      <c s="52" r="Q23"/>
      <c s="52" r="R23"/>
      <c s="52" r="S23"/>
      <c s="551" r="T23"/>
      <c s="52" r="U23"/>
      <c s="52" r="V23"/>
      <c s="52" r="W23"/>
      <c s="52" r="X23"/>
      <c s="551" r="Y23"/>
      <c s="551" r="Z23"/>
      <c s="551" r="AA23"/>
      <c s="551" r="AB23"/>
      <c s="551" r="AC23"/>
      <c s="551" r="AD23"/>
      <c s="323" r="AE23"/>
      <c t="s" s="439" r="AF23">
        <v>304</v>
      </c>
      <c s="890" r="AG23"/>
      <c s="794" r="AH23"/>
      <c s="890" r="AI23"/>
      <c s="890" r="AJ23"/>
      <c s="890" r="AK23"/>
      <c s="80" r="AL23"/>
      <c s="890" r="AM23"/>
      <c s="890" r="AN23">
        <v>14</v>
      </c>
      <c t="str" s="142" r="AO23">
        <f>IF((MAX(AT$44:AT$361)&lt;$AN23),"---",(INDEX($O$44:$O$361,MATCH($AN23,AT$44:AT$361,1))-INDEX($O$44:$O$361,MATCH($AN23,AT$44:AT$361,0))))</f>
        <v>---</v>
      </c>
      <c t="str" s="142" r="AP23">
        <f>IF((MAX(AU$44:AU$361)&lt;$AN23),"---",(INDEX($O$44:$O$361,MATCH($AN23,AU$44:AU$361,1))-INDEX($O$44:$O$361,MATCH($AN23,AU$44:AU$361,0))))</f>
        <v>---</v>
      </c>
      <c t="str" s="142" r="AQ23">
        <f>IF((MAX(AV$44:AV$361)&lt;$AN23),"---",(INDEX($O$44:$O$361,MATCH($AN23,AV$44:AV$361,1))-INDEX($O$44:$O$361,MATCH($AN23,AV$44:AV$361,0))))</f>
        <v>---</v>
      </c>
      <c t="str" s="142" r="AR23">
        <f>IF((MAX(AW$44:AW$361)&lt;$AN23),"---",(INDEX($O$44:$O$361,MATCH($AN23,AW$44:AW$361,1))-INDEX($O$44:$O$361,MATCH($AN23,AW$44:AW$361,0))))</f>
        <v>---</v>
      </c>
      <c t="str" s="423" r="AS23">
        <f>IF((MAX(AT$44:AT$361)&lt;$AN23),"---",((IF((IF((COUNT($AA$44:$AA$361)&lt;2),0,COUNT((INDEX($AA$44:$AA$361,MATCH($AN23,AT$44:AT$361,0))*INDEX($AA$44:$AA$361,MATCH($AN23,AT$44:AT$361,1)))))&gt;0),(INDEX($AA$44:$AA$361,MATCH($AN23,AT$44:AT$361,0))-INDEX($AA$44:$AA$361,MATCH($AN23,AT$44:AT$361,1))),(INDEX($Z$44:$Z$361,MATCH($AN23,AT$44:AT$361,0))-INDEX($Z$44:$Z$361,MATCH($AN23,AT$44:AT$361,1))))/AO23)*100))</f>
        <v>---</v>
      </c>
      <c t="str" s="423" r="AT23">
        <f>IF((MAX(AU$44:AU$361)&lt;$AN23),"---",((IF((IF((COUNT($AA$44:$AA$361)&lt;2),0,COUNT((INDEX($AA$44:$AA$361,MATCH($AN23,AU$44:AU$361,0))*INDEX($AA$44:$AA$361,MATCH($AN23,AU$44:AU$361,1)))))&gt;0),(INDEX($AA$44:$AA$361,MATCH($AN23,AU$44:AU$361,0))-INDEX($AA$44:$AA$361,MATCH($AN23,AU$44:AU$361,1))),(INDEX($Z$44:$Z$361,MATCH($AN23,AU$44:AU$361,0))-INDEX($Z$44:$Z$361,MATCH($AN23,AU$44:AU$361,1))))/AP23)*100))</f>
        <v>---</v>
      </c>
      <c t="str" s="423" r="AU23">
        <f>IF((MAX(AV$44:AV$361)&lt;$AN23),"---",((IF((IF((COUNT($AA$44:$AA$361)&lt;2),0,COUNT((INDEX($AA$44:$AA$361,MATCH($AN23,AV$44:AV$361,0))*INDEX($AA$44:$AA$361,MATCH($AN23,AV$44:AV$361,1)))))&gt;0),(INDEX($AA$44:$AA$361,MATCH($AN23,AV$44:AV$361,0))-INDEX($AA$44:$AA$361,MATCH($AN23,AV$44:AV$361,1))),(INDEX($Z$44:$Z$361,MATCH($AN23,AV$44:AV$361,0))-INDEX($Z$44:$Z$361,MATCH($AN23,AV$44:AV$361,1))))/AQ23)*100))</f>
        <v>---</v>
      </c>
      <c t="str" s="423" r="AV23">
        <f>IF((MAX(AW$44:AW$361)&lt;$AN23),"---",((IF((IF((COUNT($AA$44:$AA$361)&lt;2),0,COUNT((INDEX($AA$44:$AA$361,MATCH($AN23,AW$44:AW$361,0))*INDEX($AA$44:$AA$361,MATCH($AN23,AW$44:AW$361,1)))))&gt;0),(INDEX($AA$44:$AA$361,MATCH($AN23,AW$44:AW$361,0))-INDEX($AA$44:$AA$361,MATCH($AN23,AW$44:AW$361,1))),(INDEX($Z$44:$Z$361,MATCH($AN23,AW$44:AW$361,0))-INDEX($Z$44:$Z$361,MATCH($AN23,AW$44:AW$361,1))))/AR23)*100))</f>
        <v>---</v>
      </c>
      <c s="890" r="AW23"/>
      <c t="str" s="777" r="AX23">
        <f>IF(ISNUMBER(MATCH(AN24,AX$44:AX$361,0)),(INDEX(O$44:O$361,MATCH(AN24,AX$44:AX$361,0))-INDEX(O$44:O$361,MATCH(AN23,AX$44:AX$361,0))),"---")</f>
        <v>---</v>
      </c>
      <c s="113" r="AY23"/>
      <c s="761" r="AZ23"/>
      <c s="591" r="BA23"/>
      <c t="s" s="716" r="BB23">
        <v>347</v>
      </c>
      <c t="str" s="444" r="BC23">
        <f>IF((COUNT(BC$26:BC$35)=0),"",(ROUND((AVERAGE(BC$26:BC$35)/(10^TRUNC(LOG(ABS(AVERAGE(BC$26:BC$35)))))),(3-IF((AVERAGE(BC$26:BC$35)&gt;1),1,0)))*(10^TRUNC(LOG(ABS(AVERAGE(BC$26:BC$35)))))))</f>
        <v/>
      </c>
      <c t="str" s="444" r="BD23">
        <f>IF((COUNT(BD$26:BD$35)=0),"",(ROUND((AVERAGE(BD$26:BD$35)/(10^TRUNC(LOG(ABS(AVERAGE(BD$26:BD$35)))))),(3-IF((AVERAGE(BD$26:BD$35)&gt;1),1,0)))*(10^TRUNC(LOG(ABS(AVERAGE(BD$26:BD$35)))))))</f>
        <v/>
      </c>
      <c t="str" s="444" r="BE23">
        <f>IF((COUNT(BE$26:BE$35)=0),"",(ROUND((AVERAGE(BE$26:BE$35)/(10^TRUNC(LOG(ABS(AVERAGE(BE$26:BE$35)))))),(3-IF((AVERAGE(BE$26:BE$35)&gt;1),1,0)))*(10^TRUNC(LOG(ABS(AVERAGE(BE$26:BE$35)))))))</f>
        <v/>
      </c>
      <c t="str" s="444" r="BF23">
        <f>IF((COUNT(BF$26:BF$35)=0),"",(ROUND((AVERAGE(BF$26:BF$35)/(10^TRUNC(LOG(ABS(AVERAGE(BF$26:BF$35)))))),(3-IF((AVERAGE(BF$26:BF$35)&gt;1),1,0)))*(10^TRUNC(LOG(ABS(AVERAGE(BF$26:BF$35)))))))</f>
        <v/>
      </c>
      <c s="51" r="BG23"/>
      <c s="125" r="BH23"/>
      <c s="125" r="BI23"/>
    </row>
    <row r="24">
      <c s="822" r="A24"/>
      <c s="406" r="B24"/>
      <c t="s" s="886" r="C24">
        <v>348</v>
      </c>
      <c s="886" r="D24"/>
      <c s="886" r="E24"/>
      <c s="886" r="F24"/>
      <c s="886" r="G24"/>
      <c s="886" r="H24"/>
      <c s="418" r="I24"/>
      <c s="702" r="J24"/>
      <c s="908" r="K24"/>
      <c s="551" r="L24"/>
      <c s="551" r="M24"/>
      <c s="551" r="N24"/>
      <c s="551" r="O24"/>
      <c s="52" r="P24"/>
      <c s="52" r="Q24"/>
      <c s="52" r="R24"/>
      <c s="52" r="S24"/>
      <c s="551" r="T24"/>
      <c s="52" r="U24"/>
      <c s="52" r="V24"/>
      <c s="52" r="W24"/>
      <c s="52" r="X24"/>
      <c s="551" r="Y24"/>
      <c s="551" r="Z24"/>
      <c s="551" r="AA24"/>
      <c s="551" r="AB24"/>
      <c s="551" r="AC24"/>
      <c s="551" r="AD24"/>
      <c s="671" r="AE24"/>
      <c t="s" s="439" r="AF24">
        <v>304</v>
      </c>
      <c s="890" r="AG24"/>
      <c s="890" r="AH24"/>
      <c s="890" r="AI24"/>
      <c s="890" r="AJ24"/>
      <c s="890" r="AK24"/>
      <c s="80" r="AL24"/>
      <c s="890" r="AM24"/>
      <c s="890" r="AN24">
        <v>15</v>
      </c>
      <c t="str" s="142" r="AO24">
        <f>IF((MAX(AT$44:AT$361)&lt;$AN24),"---",(INDEX($O$44:$O$361,MATCH($AN24,AT$44:AT$361,1))-INDEX($O$44:$O$361,MATCH($AN24,AT$44:AT$361,0))))</f>
        <v>---</v>
      </c>
      <c t="str" s="142" r="AP24">
        <f>IF((MAX(AU$44:AU$361)&lt;$AN24),"---",(INDEX($O$44:$O$361,MATCH($AN24,AU$44:AU$361,1))-INDEX($O$44:$O$361,MATCH($AN24,AU$44:AU$361,0))))</f>
        <v>---</v>
      </c>
      <c t="str" s="142" r="AQ24">
        <f>IF((MAX(AV$44:AV$361)&lt;$AN24),"---",(INDEX($O$44:$O$361,MATCH($AN24,AV$44:AV$361,1))-INDEX($O$44:$O$361,MATCH($AN24,AV$44:AV$361,0))))</f>
        <v>---</v>
      </c>
      <c t="str" s="142" r="AR24">
        <f>IF((MAX(AW$44:AW$361)&lt;$AN24),"---",(INDEX($O$44:$O$361,MATCH($AN24,AW$44:AW$361,1))-INDEX($O$44:$O$361,MATCH($AN24,AW$44:AW$361,0))))</f>
        <v>---</v>
      </c>
      <c t="str" s="423" r="AS24">
        <f>IF((MAX(AT$44:AT$361)&lt;$AN24),"---",((IF((IF((COUNT($AA$44:$AA$361)&lt;2),0,COUNT((INDEX($AA$44:$AA$361,MATCH($AN24,AT$44:AT$361,0))*INDEX($AA$44:$AA$361,MATCH($AN24,AT$44:AT$361,1)))))&gt;0),(INDEX($AA$44:$AA$361,MATCH($AN24,AT$44:AT$361,0))-INDEX($AA$44:$AA$361,MATCH($AN24,AT$44:AT$361,1))),(INDEX($Z$44:$Z$361,MATCH($AN24,AT$44:AT$361,0))-INDEX($Z$44:$Z$361,MATCH($AN24,AT$44:AT$361,1))))/AO24)*100))</f>
        <v>---</v>
      </c>
      <c t="str" s="423" r="AT24">
        <f>IF((MAX(AU$44:AU$361)&lt;$AN24),"---",((IF((IF((COUNT($AA$44:$AA$361)&lt;2),0,COUNT((INDEX($AA$44:$AA$361,MATCH($AN24,AU$44:AU$361,0))*INDEX($AA$44:$AA$361,MATCH($AN24,AU$44:AU$361,1)))))&gt;0),(INDEX($AA$44:$AA$361,MATCH($AN24,AU$44:AU$361,0))-INDEX($AA$44:$AA$361,MATCH($AN24,AU$44:AU$361,1))),(INDEX($Z$44:$Z$361,MATCH($AN24,AU$44:AU$361,0))-INDEX($Z$44:$Z$361,MATCH($AN24,AU$44:AU$361,1))))/AP24)*100))</f>
        <v>---</v>
      </c>
      <c t="str" s="423" r="AU24">
        <f>IF((MAX(AV$44:AV$361)&lt;$AN24),"---",((IF((IF((COUNT($AA$44:$AA$361)&lt;2),0,COUNT((INDEX($AA$44:$AA$361,MATCH($AN24,AV$44:AV$361,0))*INDEX($AA$44:$AA$361,MATCH($AN24,AV$44:AV$361,1)))))&gt;0),(INDEX($AA$44:$AA$361,MATCH($AN24,AV$44:AV$361,0))-INDEX($AA$44:$AA$361,MATCH($AN24,AV$44:AV$361,1))),(INDEX($Z$44:$Z$361,MATCH($AN24,AV$44:AV$361,0))-INDEX($Z$44:$Z$361,MATCH($AN24,AV$44:AV$361,1))))/AQ24)*100))</f>
        <v>---</v>
      </c>
      <c t="str" s="423" r="AV24">
        <f>IF((MAX(AW$44:AW$361)&lt;$AN24),"---",((IF((IF((COUNT($AA$44:$AA$361)&lt;2),0,COUNT((INDEX($AA$44:$AA$361,MATCH($AN24,AW$44:AW$361,0))*INDEX($AA$44:$AA$361,MATCH($AN24,AW$44:AW$361,1)))))&gt;0),(INDEX($AA$44:$AA$361,MATCH($AN24,AW$44:AW$361,0))-INDEX($AA$44:$AA$361,MATCH($AN24,AW$44:AW$361,1))),(INDEX($Z$44:$Z$361,MATCH($AN24,AW$44:AW$361,0))-INDEX($Z$44:$Z$361,MATCH($AN24,AW$44:AW$361,1))))/AR24)*100))</f>
        <v>---</v>
      </c>
      <c s="890" r="AW24"/>
      <c t="str" s="777" r="AX24">
        <f>IF(ISNUMBER(MATCH(AN25,AX$44:AX$361,0)),(INDEX(O$44:O$361,MATCH(AN25,AX$44:AX$361,0))-INDEX(O$44:O$361,MATCH(AN24,AX$44:AX$361,0))),"---")</f>
        <v>---</v>
      </c>
      <c s="113" r="AY24"/>
      <c s="761" r="AZ24"/>
      <c s="591" r="BA24"/>
      <c t="s" s="716" r="BB24">
        <v>349</v>
      </c>
      <c t="str" s="700" r="BC24">
        <f>IF((COUNT(BC$26:BC$35)&lt;2),"",(ROUND((MIN(BC$26:BC$35)/(10^TRUNC(LOG(ABS(MIN(BC$26:BC$35)))))),(3-IF((MIN(BC$26:BC$35)&gt;1),1,0)))*(10^TRUNC(LOG(ABS(MIN(BC$26:BC$35)))))))</f>
        <v/>
      </c>
      <c t="str" s="700" r="BD24">
        <f>IF((COUNT(BD$26:BD$35)&lt;2),"",(ROUND((MIN(BD$26:BD$35)/(10^TRUNC(LOG(ABS(MIN(BD$26:BD$35)))))),(3-IF((MIN(BD$26:BD$35)&gt;1),1,0)))*(10^TRUNC(LOG(ABS(MIN(BD$26:BD$35)))))))</f>
        <v/>
      </c>
      <c t="str" s="700" r="BE24">
        <f>IF((COUNT(BE$26:BE$35)&lt;2),"",(ROUND((MIN(BE$26:BE$35)/(10^TRUNC(LOG(ABS(MIN(BE$26:BE$35)))))),(3-IF((MIN(BE$26:BE$35)&gt;1),1,0)))*(10^TRUNC(LOG(ABS(MIN(BE$26:BE$35)))))))</f>
        <v/>
      </c>
      <c t="str" s="700" r="BF24">
        <f>IF((COUNT(BF$26:BF$35)&lt;2),"",(ROUND((MIN(BF$26:BF$35)/(10^TRUNC(LOG(ABS(MIN(BF$26:BF$35)))))),(3-IF((MIN(BF$26:BF$35)&gt;1),1,0)))*(10^TRUNC(LOG(ABS(MIN(BF$26:BF$35)))))))</f>
        <v/>
      </c>
      <c s="51" r="BG24"/>
      <c s="125" r="BH24"/>
      <c s="125" r="BI24"/>
    </row>
    <row r="25">
      <c s="822" r="A25"/>
      <c s="406" r="B25"/>
      <c s="886" r="C25"/>
      <c s="886" r="D25"/>
      <c s="886" r="E25"/>
      <c s="886" r="F25"/>
      <c s="886" r="G25"/>
      <c s="886" r="H25"/>
      <c s="418" r="I25"/>
      <c s="702" r="J25"/>
      <c s="908" r="K25"/>
      <c s="551" r="L25"/>
      <c s="551" r="M25"/>
      <c s="551" r="N25"/>
      <c s="551" r="O25"/>
      <c s="52" r="P25"/>
      <c s="52" r="Q25"/>
      <c s="52" r="R25"/>
      <c s="52" r="S25"/>
      <c s="551" r="T25"/>
      <c s="52" r="U25"/>
      <c s="52" r="V25"/>
      <c s="52" r="W25"/>
      <c s="52" r="X25"/>
      <c s="551" r="Y25"/>
      <c s="551" r="Z25"/>
      <c s="551" r="AA25"/>
      <c s="551" r="AB25"/>
      <c s="551" r="AC25"/>
      <c s="551" r="AD25"/>
      <c s="671" r="AE25"/>
      <c t="s" s="439" r="AF25">
        <v>304</v>
      </c>
      <c s="890" r="AG25"/>
      <c t="s" s="682" r="AH25">
        <v>350</v>
      </c>
      <c s="802" r="AI25"/>
      <c s="890" r="AJ25"/>
      <c s="890" r="AK25"/>
      <c s="80" r="AL25"/>
      <c s="890" r="AM25"/>
      <c s="890" r="AN25">
        <v>16</v>
      </c>
      <c t="str" s="142" r="AO25">
        <f>IF((MAX(AT$44:AT$361)&lt;$AN25),"---",(INDEX($O$44:$O$361,MATCH($AN25,AT$44:AT$361,1))-INDEX($O$44:$O$361,MATCH($AN25,AT$44:AT$361,0))))</f>
        <v>---</v>
      </c>
      <c t="str" s="142" r="AP25">
        <f>IF((MAX(AU$44:AU$361)&lt;$AN25),"---",(INDEX($O$44:$O$361,MATCH($AN25,AU$44:AU$361,1))-INDEX($O$44:$O$361,MATCH($AN25,AU$44:AU$361,0))))</f>
        <v>---</v>
      </c>
      <c t="str" s="142" r="AQ25">
        <f>IF((MAX(AV$44:AV$361)&lt;$AN25),"---",(INDEX($O$44:$O$361,MATCH($AN25,AV$44:AV$361,1))-INDEX($O$44:$O$361,MATCH($AN25,AV$44:AV$361,0))))</f>
        <v>---</v>
      </c>
      <c t="str" s="142" r="AR25">
        <f>IF((MAX(AW$44:AW$361)&lt;$AN25),"---",(INDEX($O$44:$O$361,MATCH($AN25,AW$44:AW$361,1))-INDEX($O$44:$O$361,MATCH($AN25,AW$44:AW$361,0))))</f>
        <v>---</v>
      </c>
      <c t="str" s="423" r="AS25">
        <f>IF((MAX(AT$44:AT$361)&lt;$AN25),"---",((IF((IF((COUNT($AA$44:$AA$361)&lt;2),0,COUNT((INDEX($AA$44:$AA$361,MATCH($AN25,AT$44:AT$361,0))*INDEX($AA$44:$AA$361,MATCH($AN25,AT$44:AT$361,1)))))&gt;0),(INDEX($AA$44:$AA$361,MATCH($AN25,AT$44:AT$361,0))-INDEX($AA$44:$AA$361,MATCH($AN25,AT$44:AT$361,1))),(INDEX($Z$44:$Z$361,MATCH($AN25,AT$44:AT$361,0))-INDEX($Z$44:$Z$361,MATCH($AN25,AT$44:AT$361,1))))/AO25)*100))</f>
        <v>---</v>
      </c>
      <c t="str" s="423" r="AT25">
        <f>IF((MAX(AU$44:AU$361)&lt;$AN25),"---",((IF((IF((COUNT($AA$44:$AA$361)&lt;2),0,COUNT((INDEX($AA$44:$AA$361,MATCH($AN25,AU$44:AU$361,0))*INDEX($AA$44:$AA$361,MATCH($AN25,AU$44:AU$361,1)))))&gt;0),(INDEX($AA$44:$AA$361,MATCH($AN25,AU$44:AU$361,0))-INDEX($AA$44:$AA$361,MATCH($AN25,AU$44:AU$361,1))),(INDEX($Z$44:$Z$361,MATCH($AN25,AU$44:AU$361,0))-INDEX($Z$44:$Z$361,MATCH($AN25,AU$44:AU$361,1))))/AP25)*100))</f>
        <v>---</v>
      </c>
      <c t="str" s="423" r="AU25">
        <f>IF((MAX(AV$44:AV$361)&lt;$AN25),"---",((IF((IF((COUNT($AA$44:$AA$361)&lt;2),0,COUNT((INDEX($AA$44:$AA$361,MATCH($AN25,AV$44:AV$361,0))*INDEX($AA$44:$AA$361,MATCH($AN25,AV$44:AV$361,1)))))&gt;0),(INDEX($AA$44:$AA$361,MATCH($AN25,AV$44:AV$361,0))-INDEX($AA$44:$AA$361,MATCH($AN25,AV$44:AV$361,1))),(INDEX($Z$44:$Z$361,MATCH($AN25,AV$44:AV$361,0))-INDEX($Z$44:$Z$361,MATCH($AN25,AV$44:AV$361,1))))/AQ25)*100))</f>
        <v>---</v>
      </c>
      <c t="str" s="423" r="AV25">
        <f>IF((MAX(AW$44:AW$361)&lt;$AN25),"---",((IF((IF((COUNT($AA$44:$AA$361)&lt;2),0,COUNT((INDEX($AA$44:$AA$361,MATCH($AN25,AW$44:AW$361,0))*INDEX($AA$44:$AA$361,MATCH($AN25,AW$44:AW$361,1)))))&gt;0),(INDEX($AA$44:$AA$361,MATCH($AN25,AW$44:AW$361,0))-INDEX($AA$44:$AA$361,MATCH($AN25,AW$44:AW$361,1))),(INDEX($Z$44:$Z$361,MATCH($AN25,AW$44:AW$361,0))-INDEX($Z$44:$Z$361,MATCH($AN25,AW$44:AW$361,1))))/AR25)*100))</f>
        <v>---</v>
      </c>
      <c s="890" r="AW25"/>
      <c t="str" s="777" r="AX25">
        <f>IF(ISNUMBER(MATCH(AN26,AX$44:AX$361,0)),(INDEX(O$44:O$361,MATCH(AN26,AX$44:AX$361,0))-INDEX(O$44:O$361,MATCH(AN25,AX$44:AX$361,0))),"---")</f>
        <v>---</v>
      </c>
      <c s="113" r="AY25"/>
      <c s="761" r="AZ25"/>
      <c s="591" r="BA25"/>
      <c t="s" s="576" r="BB25">
        <v>351</v>
      </c>
      <c t="str" s="195" r="BC25">
        <f>IF((COUNT(BC$26:BC$35)&lt;2),"",(ROUND((MAX(BC$26:BC$35)/(10^TRUNC(LOG(ABS(MAX(BC$26:BC$35)))))),(3-IF((MAX(BC$26:BC$35)&gt;1),1,0)))*(10^TRUNC(LOG(ABS(MAX(BC$26:BC$35)))))))</f>
        <v/>
      </c>
      <c t="str" s="195" r="BD25">
        <f>IF((COUNT(BD$26:BD$35)&lt;2),"",(ROUND((MAX(BD$26:BD$35)/(10^TRUNC(LOG(ABS(MAX(BD$26:BD$35)))))),(3-IF((MAX(BD$26:BD$35)&gt;1),1,0)))*(10^TRUNC(LOG(ABS(MAX(BD$26:BD$35)))))))</f>
        <v/>
      </c>
      <c t="str" s="195" r="BE25">
        <f>IF((COUNT(BE$26:BE$35)&lt;2),"",(ROUND((MAX(BE$26:BE$35)/(10^TRUNC(LOG(ABS(MAX(BE$26:BE$35)))))),(3-IF((MAX(BE$26:BE$35)&gt;1),1,0)))*(10^TRUNC(LOG(ABS(MAX(BE$26:BE$35)))))))</f>
        <v/>
      </c>
      <c t="str" s="195" r="BF25">
        <f>IF((COUNT(BF$26:BF$35)&lt;2),"",(ROUND((MAX(BF$26:BF$35)/(10^TRUNC(LOG(ABS(MAX(BF$26:BF$35)))))),(3-IF((MAX(BF$26:BF$35)&gt;1),1,0)))*(10^TRUNC(LOG(ABS(MAX(BF$26:BF$35)))))))</f>
        <v/>
      </c>
      <c s="51" r="BG25"/>
      <c s="125" r="BH25"/>
      <c s="125" r="BI25"/>
    </row>
    <row r="26">
      <c s="822" r="A26"/>
      <c s="406" r="B26"/>
      <c t="s" s="729" r="C26">
        <v>352</v>
      </c>
      <c s="566" r="D26"/>
      <c s="566" r="E26"/>
      <c s="886" r="F26"/>
      <c s="886" r="G26"/>
      <c s="886" r="H26"/>
      <c s="418" r="I26"/>
      <c s="702" r="J26"/>
      <c s="908" r="K26"/>
      <c s="551" r="L26"/>
      <c s="551" r="M26"/>
      <c s="551" r="N26"/>
      <c s="551" r="O26"/>
      <c s="52" r="P26"/>
      <c s="52" r="Q26"/>
      <c s="52" r="R26"/>
      <c s="52" r="S26"/>
      <c s="551" r="T26"/>
      <c s="52" r="U26"/>
      <c s="52" r="V26"/>
      <c s="52" r="W26"/>
      <c s="52" r="X26"/>
      <c s="551" r="Y26"/>
      <c s="551" r="Z26"/>
      <c s="551" r="AA26"/>
      <c s="551" r="AB26"/>
      <c s="551" r="AC26"/>
      <c s="551" r="AD26"/>
      <c s="671" r="AE26"/>
      <c t="s" s="439" r="AF26">
        <v>304</v>
      </c>
      <c s="794" r="AG26"/>
      <c t="s" s="794" r="AH26">
        <v>353</v>
      </c>
      <c s="890" r="AI26"/>
      <c s="890" r="AJ26"/>
      <c s="890" r="AK26"/>
      <c s="80" r="AL26"/>
      <c s="890" r="AM26"/>
      <c s="890" r="AN26">
        <v>17</v>
      </c>
      <c t="str" s="142" r="AO26">
        <f>IF((MAX(AT$44:AT$361)&lt;$AN26),"---",(INDEX($O$44:$O$361,MATCH($AN26,AT$44:AT$361,1))-INDEX($O$44:$O$361,MATCH($AN26,AT$44:AT$361,0))))</f>
        <v>---</v>
      </c>
      <c t="str" s="142" r="AP26">
        <f>IF((MAX(AU$44:AU$361)&lt;$AN26),"---",(INDEX($O$44:$O$361,MATCH($AN26,AU$44:AU$361,1))-INDEX($O$44:$O$361,MATCH($AN26,AU$44:AU$361,0))))</f>
        <v>---</v>
      </c>
      <c t="str" s="142" r="AQ26">
        <f>IF((MAX(AV$44:AV$361)&lt;$AN26),"---",(INDEX($O$44:$O$361,MATCH($AN26,AV$44:AV$361,1))-INDEX($O$44:$O$361,MATCH($AN26,AV$44:AV$361,0))))</f>
        <v>---</v>
      </c>
      <c t="str" s="142" r="AR26">
        <f>IF((MAX(AW$44:AW$361)&lt;$AN26),"---",(INDEX($O$44:$O$361,MATCH($AN26,AW$44:AW$361,1))-INDEX($O$44:$O$361,MATCH($AN26,AW$44:AW$361,0))))</f>
        <v>---</v>
      </c>
      <c t="str" s="423" r="AS26">
        <f>IF((MAX(AT$44:AT$361)&lt;$AN26),"---",((IF((IF((COUNT($AA$44:$AA$361)&lt;2),0,COUNT((INDEX($AA$44:$AA$361,MATCH($AN26,AT$44:AT$361,0))*INDEX($AA$44:$AA$361,MATCH($AN26,AT$44:AT$361,1)))))&gt;0),(INDEX($AA$44:$AA$361,MATCH($AN26,AT$44:AT$361,0))-INDEX($AA$44:$AA$361,MATCH($AN26,AT$44:AT$361,1))),(INDEX($Z$44:$Z$361,MATCH($AN26,AT$44:AT$361,0))-INDEX($Z$44:$Z$361,MATCH($AN26,AT$44:AT$361,1))))/AO26)*100))</f>
        <v>---</v>
      </c>
      <c t="str" s="423" r="AT26">
        <f>IF((MAX(AU$44:AU$361)&lt;$AN26),"---",((IF((IF((COUNT($AA$44:$AA$361)&lt;2),0,COUNT((INDEX($AA$44:$AA$361,MATCH($AN26,AU$44:AU$361,0))*INDEX($AA$44:$AA$361,MATCH($AN26,AU$44:AU$361,1)))))&gt;0),(INDEX($AA$44:$AA$361,MATCH($AN26,AU$44:AU$361,0))-INDEX($AA$44:$AA$361,MATCH($AN26,AU$44:AU$361,1))),(INDEX($Z$44:$Z$361,MATCH($AN26,AU$44:AU$361,0))-INDEX($Z$44:$Z$361,MATCH($AN26,AU$44:AU$361,1))))/AP26)*100))</f>
        <v>---</v>
      </c>
      <c t="str" s="423" r="AU26">
        <f>IF((MAX(AV$44:AV$361)&lt;$AN26),"---",((IF((IF((COUNT($AA$44:$AA$361)&lt;2),0,COUNT((INDEX($AA$44:$AA$361,MATCH($AN26,AV$44:AV$361,0))*INDEX($AA$44:$AA$361,MATCH($AN26,AV$44:AV$361,1)))))&gt;0),(INDEX($AA$44:$AA$361,MATCH($AN26,AV$44:AV$361,0))-INDEX($AA$44:$AA$361,MATCH($AN26,AV$44:AV$361,1))),(INDEX($Z$44:$Z$361,MATCH($AN26,AV$44:AV$361,0))-INDEX($Z$44:$Z$361,MATCH($AN26,AV$44:AV$361,1))))/AQ26)*100))</f>
        <v>---</v>
      </c>
      <c t="str" s="423" r="AV26">
        <f>IF((MAX(AW$44:AW$361)&lt;$AN26),"---",((IF((IF((COUNT($AA$44:$AA$361)&lt;2),0,COUNT((INDEX($AA$44:$AA$361,MATCH($AN26,AW$44:AW$361,0))*INDEX($AA$44:$AA$361,MATCH($AN26,AW$44:AW$361,1)))))&gt;0),(INDEX($AA$44:$AA$361,MATCH($AN26,AW$44:AW$361,0))-INDEX($AA$44:$AA$361,MATCH($AN26,AW$44:AW$361,1))),(INDEX($Z$44:$Z$361,MATCH($AN26,AW$44:AW$361,0))-INDEX($Z$44:$Z$361,MATCH($AN26,AW$44:AW$361,1))))/AR26)*100))</f>
        <v>---</v>
      </c>
      <c s="890" r="AW26"/>
      <c t="str" s="777" r="AX26">
        <f>IF(ISNUMBER(MATCH(AN27,AX$44:AX$361,0)),(INDEX(O$44:O$361,MATCH(AN27,AX$44:AX$361,0))-INDEX(O$44:O$361,MATCH(AN26,AX$44:AX$361,0))),"---")</f>
        <v>---</v>
      </c>
      <c s="113" r="AY26"/>
      <c s="761" r="AZ26"/>
      <c s="591" r="BA26"/>
      <c s="798" r="BB26">
        <v>1</v>
      </c>
      <c s="550" r="BC26"/>
      <c s="550" r="BD26"/>
      <c s="550" r="BE26"/>
      <c s="550" r="BF26"/>
      <c s="51" r="BG26"/>
      <c s="125" r="BH26"/>
      <c s="125" r="BI26"/>
    </row>
    <row r="27">
      <c s="822" r="A27"/>
      <c s="406" r="B27"/>
      <c s="756" r="C27"/>
      <c t="str" s="7" r="D27">
        <f>"bankfull width"&amp;IF((AH31=2)," (m)"," (ft)")</f>
        <v>bankfull width (ft)</v>
      </c>
      <c s="458" r="E27"/>
      <c t="str" s="185" r="F27">
        <f>IF(ISNUMBER(Dimension!$F$91),Dimension!$F$91,"---")</f>
        <v>---</v>
      </c>
      <c s="886" r="G27"/>
      <c s="886" r="H27"/>
      <c s="418" r="I27"/>
      <c s="702" r="J27"/>
      <c s="908" r="K27"/>
      <c s="551" r="L27"/>
      <c s="551" r="M27"/>
      <c s="551" r="N27"/>
      <c s="551" r="O27"/>
      <c s="52" r="P27"/>
      <c s="52" r="Q27"/>
      <c s="52" r="R27"/>
      <c s="52" r="S27"/>
      <c s="551" r="T27"/>
      <c s="52" r="U27"/>
      <c s="52" r="V27"/>
      <c s="52" r="W27"/>
      <c s="52" r="X27"/>
      <c s="551" r="Y27"/>
      <c s="551" r="Z27"/>
      <c s="551" r="AA27"/>
      <c s="551" r="AB27"/>
      <c s="551" r="AC27"/>
      <c s="551" r="AD27"/>
      <c s="671" r="AE27"/>
      <c t="s" s="439" r="AF27">
        <v>304</v>
      </c>
      <c s="794" r="AG27"/>
      <c t="s" s="794" r="AH27">
        <v>354</v>
      </c>
      <c s="890" r="AI27"/>
      <c s="890" r="AJ27"/>
      <c s="890" r="AK27"/>
      <c s="80" r="AL27"/>
      <c s="890" r="AM27"/>
      <c s="890" r="AN27">
        <v>18</v>
      </c>
      <c t="str" s="142" r="AO27">
        <f>IF((MAX(AT$44:AT$361)&lt;$AN27),"---",(INDEX($O$44:$O$361,MATCH($AN27,AT$44:AT$361,1))-INDEX($O$44:$O$361,MATCH($AN27,AT$44:AT$361,0))))</f>
        <v>---</v>
      </c>
      <c t="str" s="142" r="AP27">
        <f>IF((MAX(AU$44:AU$361)&lt;$AN27),"---",(INDEX($O$44:$O$361,MATCH($AN27,AU$44:AU$361,1))-INDEX($O$44:$O$361,MATCH($AN27,AU$44:AU$361,0))))</f>
        <v>---</v>
      </c>
      <c t="str" s="142" r="AQ27">
        <f>IF((MAX(AV$44:AV$361)&lt;$AN27),"---",(INDEX($O$44:$O$361,MATCH($AN27,AV$44:AV$361,1))-INDEX($O$44:$O$361,MATCH($AN27,AV$44:AV$361,0))))</f>
        <v>---</v>
      </c>
      <c t="str" s="142" r="AR27">
        <f>IF((MAX(AW$44:AW$361)&lt;$AN27),"---",(INDEX($O$44:$O$361,MATCH($AN27,AW$44:AW$361,1))-INDEX($O$44:$O$361,MATCH($AN27,AW$44:AW$361,0))))</f>
        <v>---</v>
      </c>
      <c t="str" s="423" r="AS27">
        <f>IF((MAX(AT$44:AT$361)&lt;$AN27),"---",((IF((IF((COUNT($AA$44:$AA$361)&lt;2),0,COUNT((INDEX($AA$44:$AA$361,MATCH($AN27,AT$44:AT$361,0))*INDEX($AA$44:$AA$361,MATCH($AN27,AT$44:AT$361,1)))))&gt;0),(INDEX($AA$44:$AA$361,MATCH($AN27,AT$44:AT$361,0))-INDEX($AA$44:$AA$361,MATCH($AN27,AT$44:AT$361,1))),(INDEX($Z$44:$Z$361,MATCH($AN27,AT$44:AT$361,0))-INDEX($Z$44:$Z$361,MATCH($AN27,AT$44:AT$361,1))))/AO27)*100))</f>
        <v>---</v>
      </c>
      <c t="str" s="423" r="AT27">
        <f>IF((MAX(AU$44:AU$361)&lt;$AN27),"---",((IF((IF((COUNT($AA$44:$AA$361)&lt;2),0,COUNT((INDEX($AA$44:$AA$361,MATCH($AN27,AU$44:AU$361,0))*INDEX($AA$44:$AA$361,MATCH($AN27,AU$44:AU$361,1)))))&gt;0),(INDEX($AA$44:$AA$361,MATCH($AN27,AU$44:AU$361,0))-INDEX($AA$44:$AA$361,MATCH($AN27,AU$44:AU$361,1))),(INDEX($Z$44:$Z$361,MATCH($AN27,AU$44:AU$361,0))-INDEX($Z$44:$Z$361,MATCH($AN27,AU$44:AU$361,1))))/AP27)*100))</f>
        <v>---</v>
      </c>
      <c t="str" s="423" r="AU27">
        <f>IF((MAX(AV$44:AV$361)&lt;$AN27),"---",((IF((IF((COUNT($AA$44:$AA$361)&lt;2),0,COUNT((INDEX($AA$44:$AA$361,MATCH($AN27,AV$44:AV$361,0))*INDEX($AA$44:$AA$361,MATCH($AN27,AV$44:AV$361,1)))))&gt;0),(INDEX($AA$44:$AA$361,MATCH($AN27,AV$44:AV$361,0))-INDEX($AA$44:$AA$361,MATCH($AN27,AV$44:AV$361,1))),(INDEX($Z$44:$Z$361,MATCH($AN27,AV$44:AV$361,0))-INDEX($Z$44:$Z$361,MATCH($AN27,AV$44:AV$361,1))))/AQ27)*100))</f>
        <v>---</v>
      </c>
      <c t="str" s="423" r="AV27">
        <f>IF((MAX(AW$44:AW$361)&lt;$AN27),"---",((IF((IF((COUNT($AA$44:$AA$361)&lt;2),0,COUNT((INDEX($AA$44:$AA$361,MATCH($AN27,AW$44:AW$361,0))*INDEX($AA$44:$AA$361,MATCH($AN27,AW$44:AW$361,1)))))&gt;0),(INDEX($AA$44:$AA$361,MATCH($AN27,AW$44:AW$361,0))-INDEX($AA$44:$AA$361,MATCH($AN27,AW$44:AW$361,1))),(INDEX($Z$44:$Z$361,MATCH($AN27,AW$44:AW$361,0))-INDEX($Z$44:$Z$361,MATCH($AN27,AW$44:AW$361,1))))/AR27)*100))</f>
        <v>---</v>
      </c>
      <c s="890" r="AW27"/>
      <c t="str" s="777" r="AX27">
        <f>IF(ISNUMBER(MATCH(AN28,AX$44:AX$361,0)),(INDEX(O$44:O$361,MATCH(AN28,AX$44:AX$361,0))-INDEX(O$44:O$361,MATCH(AN27,AX$44:AX$361,0))),"---")</f>
        <v>---</v>
      </c>
      <c s="113" r="AY27"/>
      <c s="761" r="AZ27"/>
      <c s="591" r="BA27"/>
      <c s="808" r="BB27">
        <v>2</v>
      </c>
      <c s="550" r="BC27"/>
      <c s="550" r="BD27"/>
      <c s="550" r="BE27"/>
      <c s="550" r="BF27"/>
      <c s="51" r="BG27"/>
      <c s="125" r="BH27"/>
      <c s="125" r="BI27"/>
    </row>
    <row r="28">
      <c s="822" r="A28"/>
      <c s="406" r="B28"/>
      <c s="886" r="C28"/>
      <c s="886" r="D28"/>
      <c s="756" r="E28"/>
      <c s="886" r="F28"/>
      <c s="886" r="G28"/>
      <c s="886" r="H28"/>
      <c s="418" r="I28"/>
      <c s="702" r="J28"/>
      <c s="908" r="K28"/>
      <c s="551" r="L28"/>
      <c s="551" r="M28"/>
      <c s="551" r="N28"/>
      <c s="551" r="O28"/>
      <c s="52" r="P28"/>
      <c s="52" r="Q28"/>
      <c s="52" r="R28"/>
      <c s="52" r="S28"/>
      <c s="551" r="T28"/>
      <c s="52" r="U28"/>
      <c s="52" r="V28"/>
      <c s="52" r="W28"/>
      <c s="52" r="X28"/>
      <c s="551" r="Y28"/>
      <c s="551" r="Z28"/>
      <c s="551" r="AA28"/>
      <c s="551" r="AB28"/>
      <c s="551" r="AC28"/>
      <c s="551" r="AD28"/>
      <c s="671" r="AE28"/>
      <c t="s" s="439" r="AF28">
        <v>304</v>
      </c>
      <c s="794" r="AG28"/>
      <c s="794" r="AH28">
        <v>1</v>
      </c>
      <c s="890" r="AI28"/>
      <c s="890" r="AJ28"/>
      <c s="890" r="AK28"/>
      <c s="80" r="AL28"/>
      <c s="890" r="AM28"/>
      <c s="890" r="AN28">
        <v>19</v>
      </c>
      <c t="str" s="142" r="AO28">
        <f>IF((MAX(AT$44:AT$361)&lt;$AN28),"---",(INDEX($O$44:$O$361,MATCH($AN28,AT$44:AT$361,1))-INDEX($O$44:$O$361,MATCH($AN28,AT$44:AT$361,0))))</f>
        <v>---</v>
      </c>
      <c t="str" s="142" r="AP28">
        <f>IF((MAX(AU$44:AU$361)&lt;$AN28),"---",(INDEX($O$44:$O$361,MATCH($AN28,AU$44:AU$361,1))-INDEX($O$44:$O$361,MATCH($AN28,AU$44:AU$361,0))))</f>
        <v>---</v>
      </c>
      <c t="str" s="142" r="AQ28">
        <f>IF((MAX(AV$44:AV$361)&lt;$AN28),"---",(INDEX($O$44:$O$361,MATCH($AN28,AV$44:AV$361,1))-INDEX($O$44:$O$361,MATCH($AN28,AV$44:AV$361,0))))</f>
        <v>---</v>
      </c>
      <c t="str" s="142" r="AR28">
        <f>IF((MAX(AW$44:AW$361)&lt;$AN28),"---",(INDEX($O$44:$O$361,MATCH($AN28,AW$44:AW$361,1))-INDEX($O$44:$O$361,MATCH($AN28,AW$44:AW$361,0))))</f>
        <v>---</v>
      </c>
      <c t="str" s="423" r="AS28">
        <f>IF((MAX(AT$44:AT$361)&lt;$AN28),"---",((IF((IF((COUNT($AA$44:$AA$361)&lt;2),0,COUNT((INDEX($AA$44:$AA$361,MATCH($AN28,AT$44:AT$361,0))*INDEX($AA$44:$AA$361,MATCH($AN28,AT$44:AT$361,1)))))&gt;0),(INDEX($AA$44:$AA$361,MATCH($AN28,AT$44:AT$361,0))-INDEX($AA$44:$AA$361,MATCH($AN28,AT$44:AT$361,1))),(INDEX($Z$44:$Z$361,MATCH($AN28,AT$44:AT$361,0))-INDEX($Z$44:$Z$361,MATCH($AN28,AT$44:AT$361,1))))/AO28)*100))</f>
        <v>---</v>
      </c>
      <c t="str" s="423" r="AT28">
        <f>IF((MAX(AU$44:AU$361)&lt;$AN28),"---",((IF((IF((COUNT($AA$44:$AA$361)&lt;2),0,COUNT((INDEX($AA$44:$AA$361,MATCH($AN28,AU$44:AU$361,0))*INDEX($AA$44:$AA$361,MATCH($AN28,AU$44:AU$361,1)))))&gt;0),(INDEX($AA$44:$AA$361,MATCH($AN28,AU$44:AU$361,0))-INDEX($AA$44:$AA$361,MATCH($AN28,AU$44:AU$361,1))),(INDEX($Z$44:$Z$361,MATCH($AN28,AU$44:AU$361,0))-INDEX($Z$44:$Z$361,MATCH($AN28,AU$44:AU$361,1))))/AP28)*100))</f>
        <v>---</v>
      </c>
      <c t="str" s="423" r="AU28">
        <f>IF((MAX(AV$44:AV$361)&lt;$AN28),"---",((IF((IF((COUNT($AA$44:$AA$361)&lt;2),0,COUNT((INDEX($AA$44:$AA$361,MATCH($AN28,AV$44:AV$361,0))*INDEX($AA$44:$AA$361,MATCH($AN28,AV$44:AV$361,1)))))&gt;0),(INDEX($AA$44:$AA$361,MATCH($AN28,AV$44:AV$361,0))-INDEX($AA$44:$AA$361,MATCH($AN28,AV$44:AV$361,1))),(INDEX($Z$44:$Z$361,MATCH($AN28,AV$44:AV$361,0))-INDEX($Z$44:$Z$361,MATCH($AN28,AV$44:AV$361,1))))/AQ28)*100))</f>
        <v>---</v>
      </c>
      <c t="str" s="423" r="AV28">
        <f>IF((MAX(AW$44:AW$361)&lt;$AN28),"---",((IF((IF((COUNT($AA$44:$AA$361)&lt;2),0,COUNT((INDEX($AA$44:$AA$361,MATCH($AN28,AW$44:AW$361,0))*INDEX($AA$44:$AA$361,MATCH($AN28,AW$44:AW$361,1)))))&gt;0),(INDEX($AA$44:$AA$361,MATCH($AN28,AW$44:AW$361,0))-INDEX($AA$44:$AA$361,MATCH($AN28,AW$44:AW$361,1))),(INDEX($Z$44:$Z$361,MATCH($AN28,AW$44:AW$361,0))-INDEX($Z$44:$Z$361,MATCH($AN28,AW$44:AW$361,1))))/AR28)*100))</f>
        <v>---</v>
      </c>
      <c s="890" r="AW28"/>
      <c t="str" s="777" r="AX28">
        <f>IF(ISNUMBER(MATCH(AN29,AX$44:AX$361,0)),(INDEX(O$44:O$361,MATCH(AN29,AX$44:AX$361,0))-INDEX(O$44:O$361,MATCH(AN28,AX$44:AX$361,0))),"---")</f>
        <v>---</v>
      </c>
      <c s="113" r="AY28"/>
      <c s="761" r="AZ28"/>
      <c s="591" r="BA28"/>
      <c s="808" r="BB28">
        <v>3</v>
      </c>
      <c s="550" r="BC28"/>
      <c s="550" r="BD28"/>
      <c s="550" r="BE28"/>
      <c s="550" r="BF28"/>
      <c s="51" r="BG28"/>
      <c s="125" r="BH28"/>
      <c s="125" r="BI28"/>
    </row>
    <row r="29">
      <c s="822" r="A29"/>
      <c s="406" r="B29"/>
      <c t="s" s="729" r="C29">
        <v>355</v>
      </c>
      <c s="566" r="D29"/>
      <c s="566" r="E29"/>
      <c s="886" r="F29"/>
      <c t="s" s="529" r="G29">
        <v>76</v>
      </c>
      <c t="s" s="529" r="H29">
        <v>77</v>
      </c>
      <c s="418" r="I29"/>
      <c s="702" r="J29"/>
      <c s="908" r="K29"/>
      <c s="551" r="L29"/>
      <c s="551" r="M29"/>
      <c s="551" r="N29"/>
      <c s="551" r="O29"/>
      <c s="52" r="P29"/>
      <c s="52" r="Q29"/>
      <c s="52" r="R29"/>
      <c s="52" r="S29"/>
      <c s="551" r="T29"/>
      <c s="52" r="U29"/>
      <c s="52" r="V29"/>
      <c s="52" r="W29"/>
      <c s="52" r="X29"/>
      <c s="551" r="Y29"/>
      <c s="551" r="Z29"/>
      <c s="551" r="AA29"/>
      <c s="551" r="AB29"/>
      <c s="551" r="AC29"/>
      <c s="551" r="AD29"/>
      <c s="671" r="AE29"/>
      <c t="s" s="439" r="AF29">
        <v>304</v>
      </c>
      <c s="794" r="AG29"/>
      <c s="890" r="AH29"/>
      <c s="890" r="AI29"/>
      <c s="890" r="AJ29"/>
      <c s="890" r="AK29"/>
      <c s="890" r="AL29"/>
      <c s="890" r="AM29"/>
      <c s="890" r="AN29">
        <v>20</v>
      </c>
      <c t="str" s="142" r="AO29">
        <f>IF((MAX(AT58:AT375)&lt;$AN29),"---",(INDEX($O$44:$O$361,MATCH($AN29,AT$44:AT$361,1))-INDEX($O$44:$O$361,MATCH($AN29,AT$44:AT$361,0))))</f>
        <v>---</v>
      </c>
      <c t="str" s="142" r="AP29">
        <f>IF((MAX(AU58:AU375)&lt;$AN29),"---",(INDEX($O$44:$O$361,MATCH($AN29,AU$44:AU$361,1))-INDEX($O$44:$O$361,MATCH($AN29,AU$44:AU$361,0))))</f>
        <v>---</v>
      </c>
      <c t="str" s="142" r="AQ29">
        <f>IF((MAX(AV58:AV375)&lt;$AN29),"---",(INDEX($O$44:$O$361,MATCH($AN29,AV$44:AV$361,1))-INDEX($O$44:$O$361,MATCH($AN29,AV$44:AV$361,0))))</f>
        <v>---</v>
      </c>
      <c t="str" s="142" r="AR29">
        <f>IF((MAX(AW58:AW375)&lt;$AN29),"---",(INDEX($O$44:$O$361,MATCH($AN29,AW$44:AW$361,1))-INDEX($O$44:$O$361,MATCH($AN29,AW$44:AW$361,0))))</f>
        <v>---</v>
      </c>
      <c t="str" s="423" r="AS29">
        <f>IF((MAX(AT$44:AT$361)&lt;$AN29),"---",((IF((IF((COUNT($AA$44:$AA$361)&lt;2),0,COUNT((INDEX($AA$44:$AA$361,MATCH($AN29,AT$44:AT$361,0))*INDEX($AA$44:$AA$361,MATCH($AN29,AT$44:AT$361,1)))))&gt;0),(INDEX($AA$44:$AA$361,MATCH($AN29,AT$44:AT$361,0))-INDEX($AA$44:$AA$361,MATCH($AN29,AT$44:AT$361,1))),(INDEX($Z$44:$Z$361,MATCH($AN29,AT$44:AT$361,0))-INDEX($Z$44:$Z$361,MATCH($AN29,AT$44:AT$361,1))))/AO29)*100))</f>
        <v>---</v>
      </c>
      <c t="str" s="423" r="AT29">
        <f>IF((MAX(AU$44:AU$361)&lt;$AN29),"---",((IF((IF((COUNT($AA$44:$AA$361)&lt;2),0,COUNT((INDEX($AA$44:$AA$361,MATCH($AN29,AU$44:AU$361,0))*INDEX($AA$44:$AA$361,MATCH($AN29,AU$44:AU$361,1)))))&gt;0),(INDEX($AA$44:$AA$361,MATCH($AN29,AU$44:AU$361,0))-INDEX($AA$44:$AA$361,MATCH($AN29,AU$44:AU$361,1))),(INDEX($Z$44:$Z$361,MATCH($AN29,AU$44:AU$361,0))-INDEX($Z$44:$Z$361,MATCH($AN29,AU$44:AU$361,1))))/AP29)*100))</f>
        <v>---</v>
      </c>
      <c t="str" s="423" r="AU29">
        <f>IF((MAX(AV$44:AV$361)&lt;$AN29),"---",((IF((IF((COUNT($AA$44:$AA$361)&lt;2),0,COUNT((INDEX($AA$44:$AA$361,MATCH($AN29,AV$44:AV$361,0))*INDEX($AA$44:$AA$361,MATCH($AN29,AV$44:AV$361,1)))))&gt;0),(INDEX($AA$44:$AA$361,MATCH($AN29,AV$44:AV$361,0))-INDEX($AA$44:$AA$361,MATCH($AN29,AV$44:AV$361,1))),(INDEX($Z$44:$Z$361,MATCH($AN29,AV$44:AV$361,0))-INDEX($Z$44:$Z$361,MATCH($AN29,AV$44:AV$361,1))))/AQ29)*100))</f>
        <v>---</v>
      </c>
      <c t="str" s="423" r="AV29">
        <f>IF((MAX(AW$44:AW$361)&lt;$AN29),"---",((IF((IF((COUNT($AA$44:$AA$361)&lt;2),0,COUNT((INDEX($AA$44:$AA$361,MATCH($AN29,AW$44:AW$361,0))*INDEX($AA$44:$AA$361,MATCH($AN29,AW$44:AW$361,1)))))&gt;0),(INDEX($AA$44:$AA$361,MATCH($AN29,AW$44:AW$361,0))-INDEX($AA$44:$AA$361,MATCH($AN29,AW$44:AW$361,1))),(INDEX($Z$44:$Z$361,MATCH($AN29,AW$44:AW$361,0))-INDEX($Z$44:$Z$361,MATCH($AN29,AW$44:AW$361,1))))/AR29)*100))</f>
        <v>---</v>
      </c>
      <c s="890" r="AW29"/>
      <c t="str" s="777" r="AX29">
        <f>IF(ISNUMBER(MATCH(AN30,AX$44:AX$361,0)),(INDEX(O$44:O$361,MATCH(AN30,AX$44:AX$361,0))-INDEX(O$44:O$361,MATCH(AN29,AX$44:AX$361,0))),"---")</f>
        <v>---</v>
      </c>
      <c s="113" r="AY29"/>
      <c s="761" r="AZ29"/>
      <c s="591" r="BA29"/>
      <c s="808" r="BB29">
        <v>4</v>
      </c>
      <c s="550" r="BC29"/>
      <c s="550" r="BD29"/>
      <c s="550" r="BE29"/>
      <c s="550" r="BF29"/>
      <c s="51" r="BG29"/>
      <c s="125" r="BH29"/>
      <c s="125" r="BI29"/>
    </row>
    <row r="30">
      <c s="822" r="A30"/>
      <c s="406" r="B30"/>
      <c s="756" r="C30"/>
      <c t="str" s="7" r="D30">
        <f>"pool-pool spacing"&amp;IF((AH31=2)," (m)"," (ft)")</f>
        <v>pool-pool spacing (ft)</v>
      </c>
      <c s="458" r="E30"/>
      <c t="str" s="616" r="F30">
        <f>AX7</f>
        <v>---</v>
      </c>
      <c s="458" r="G30"/>
      <c s="458" r="H30"/>
      <c s="734" r="I30"/>
      <c s="702" r="J30"/>
      <c s="289" r="K30"/>
      <c s="52" r="L30"/>
      <c s="52" r="M30"/>
      <c s="52" r="N30"/>
      <c s="52" r="O30"/>
      <c s="52" r="P30"/>
      <c s="52" r="Q30"/>
      <c s="52" r="R30"/>
      <c s="52" r="S30"/>
      <c s="52" r="T30"/>
      <c s="551" r="U30"/>
      <c s="52" r="V30"/>
      <c s="52" r="W30"/>
      <c s="52" r="X30"/>
      <c s="52" r="Y30"/>
      <c s="52" r="Z30"/>
      <c s="52" r="AA30"/>
      <c s="551" r="AB30"/>
      <c s="551" r="AC30"/>
      <c s="551" r="AD30"/>
      <c s="671" r="AE30"/>
      <c t="s" s="625" r="AF30">
        <v>304</v>
      </c>
      <c s="794" r="AG30"/>
      <c t="s" s="682" r="AH30">
        <v>356</v>
      </c>
      <c s="890" r="AI30"/>
      <c s="890" r="AJ30"/>
      <c s="890" r="AK30"/>
      <c s="890" r="AL30"/>
      <c s="890" r="AM30"/>
      <c s="890" r="AN30">
        <v>21</v>
      </c>
      <c t="str" s="142" r="AO30">
        <f>IF((MAX(AT59:AT376)&lt;$AN30),"---",(INDEX($O$44:$O$361,MATCH($AN30,AT$44:AT$361,1))-INDEX($O$44:$O$361,MATCH($AN30,AT$44:AT$361,0))))</f>
        <v>---</v>
      </c>
      <c t="str" s="142" r="AP30">
        <f>IF((MAX(AU59:AU376)&lt;$AN30),"---",(INDEX($O$44:$O$361,MATCH($AN30,AU$44:AU$361,1))-INDEX($O$44:$O$361,MATCH($AN30,AU$44:AU$361,0))))</f>
        <v>---</v>
      </c>
      <c t="str" s="142" r="AQ30">
        <f>IF((MAX(AV59:AV376)&lt;$AN30),"---",(INDEX($O$44:$O$361,MATCH($AN30,AV$44:AV$361,1))-INDEX($O$44:$O$361,MATCH($AN30,AV$44:AV$361,0))))</f>
        <v>---</v>
      </c>
      <c t="str" s="142" r="AR30">
        <f>IF((MAX(AW59:AW376)&lt;$AN30),"---",(INDEX($O$44:$O$361,MATCH($AN30,AW$44:AW$361,1))-INDEX($O$44:$O$361,MATCH($AN30,AW$44:AW$361,0))))</f>
        <v>---</v>
      </c>
      <c t="str" s="423" r="AS30">
        <f>IF((MAX(AT$44:AT$361)&lt;$AN30),"---",((IF((IF((COUNT($AA$44:$AA$361)&lt;2),0,COUNT((INDEX($AA$44:$AA$361,MATCH($AN30,AT$44:AT$361,0))*INDEX($AA$44:$AA$361,MATCH($AN30,AT$44:AT$361,1)))))&gt;0),(INDEX($AA$44:$AA$361,MATCH($AN30,AT$44:AT$361,0))-INDEX($AA$44:$AA$361,MATCH($AN30,AT$44:AT$361,1))),(INDEX($Z$44:$Z$361,MATCH($AN30,AT$44:AT$361,0))-INDEX($Z$44:$Z$361,MATCH($AN30,AT$44:AT$361,1))))/AO30)*100))</f>
        <v>---</v>
      </c>
      <c t="str" s="423" r="AT30">
        <f>IF((MAX(AU$44:AU$361)&lt;$AN30),"---",((IF((IF((COUNT($AA$44:$AA$361)&lt;2),0,COUNT((INDEX($AA$44:$AA$361,MATCH($AN30,AU$44:AU$361,0))*INDEX($AA$44:$AA$361,MATCH($AN30,AU$44:AU$361,1)))))&gt;0),(INDEX($AA$44:$AA$361,MATCH($AN30,AU$44:AU$361,0))-INDEX($AA$44:$AA$361,MATCH($AN30,AU$44:AU$361,1))),(INDEX($Z$44:$Z$361,MATCH($AN30,AU$44:AU$361,0))-INDEX($Z$44:$Z$361,MATCH($AN30,AU$44:AU$361,1))))/AP30)*100))</f>
        <v>---</v>
      </c>
      <c t="str" s="423" r="AU30">
        <f>IF((MAX(AV$44:AV$361)&lt;$AN30),"---",((IF((IF((COUNT($AA$44:$AA$361)&lt;2),0,COUNT((INDEX($AA$44:$AA$361,MATCH($AN30,AV$44:AV$361,0))*INDEX($AA$44:$AA$361,MATCH($AN30,AV$44:AV$361,1)))))&gt;0),(INDEX($AA$44:$AA$361,MATCH($AN30,AV$44:AV$361,0))-INDEX($AA$44:$AA$361,MATCH($AN30,AV$44:AV$361,1))),(INDEX($Z$44:$Z$361,MATCH($AN30,AV$44:AV$361,0))-INDEX($Z$44:$Z$361,MATCH($AN30,AV$44:AV$361,1))))/AQ30)*100))</f>
        <v>---</v>
      </c>
      <c t="str" s="423" r="AV30">
        <f>IF((MAX(AW$44:AW$361)&lt;$AN30),"---",((IF((IF((COUNT($AA$44:$AA$361)&lt;2),0,COUNT((INDEX($AA$44:$AA$361,MATCH($AN30,AW$44:AW$361,0))*INDEX($AA$44:$AA$361,MATCH($AN30,AW$44:AW$361,1)))))&gt;0),(INDEX($AA$44:$AA$361,MATCH($AN30,AW$44:AW$361,0))-INDEX($AA$44:$AA$361,MATCH($AN30,AW$44:AW$361,1))),(INDEX($Z$44:$Z$361,MATCH($AN30,AW$44:AW$361,0))-INDEX($Z$44:$Z$361,MATCH($AN30,AW$44:AW$361,1))))/AR30)*100))</f>
        <v>---</v>
      </c>
      <c s="890" r="AW30"/>
      <c t="str" s="777" r="AX30">
        <f>IF(ISNUMBER(MATCH(AN31,AX$44:AX$361,0)),(INDEX(O$44:O$361,MATCH(AN31,AX$44:AX$361,0))-INDEX(O$44:O$361,MATCH(AN30,AX$44:AX$361,0))),"---")</f>
        <v>---</v>
      </c>
      <c s="113" r="AY30"/>
      <c s="761" r="AZ30"/>
      <c s="591" r="BA30"/>
      <c s="808" r="BB30">
        <v>5</v>
      </c>
      <c s="550" r="BC30"/>
      <c s="550" r="BD30"/>
      <c s="550" r="BE30"/>
      <c s="550" r="BF30"/>
      <c s="51" r="BG30"/>
      <c s="125" r="BH30"/>
      <c s="125" r="BI30"/>
    </row>
    <row r="31">
      <c s="822" r="A31"/>
      <c s="406" r="B31"/>
      <c s="886" r="C31"/>
      <c t="str" s="836" r="D31">
        <f>"riffle length"&amp;IF((AH31=2)," (m)"," (ft)")</f>
        <v>riffle length (ft)</v>
      </c>
      <c s="458" r="E31"/>
      <c t="str" s="616" r="F31">
        <f>AO7</f>
        <v>---</v>
      </c>
      <c s="458" r="G31"/>
      <c s="458" r="H31"/>
      <c s="734" r="I31"/>
      <c s="702" r="J31"/>
      <c s="908" r="K31"/>
      <c s="551" r="L31"/>
      <c s="551" r="M31"/>
      <c s="52" r="N31"/>
      <c s="52" r="O31"/>
      <c s="52" r="P31"/>
      <c s="52" r="Q31"/>
      <c s="52" r="R31"/>
      <c s="52" r="S31"/>
      <c s="52" r="T31"/>
      <c s="52" r="U31"/>
      <c s="52" r="V31"/>
      <c s="52" r="W31"/>
      <c s="52" r="X31"/>
      <c s="52" r="Y31"/>
      <c s="52" r="Z31"/>
      <c s="52" r="AA31"/>
      <c s="551" r="AB31"/>
      <c s="551" r="AC31"/>
      <c s="551" r="AD31"/>
      <c s="671" r="AE31"/>
      <c t="s" s="439" r="AF31">
        <v>304</v>
      </c>
      <c s="794" r="AG31"/>
      <c s="636" r="AH31">
        <f>Summary!J4</f>
        <v>1</v>
      </c>
      <c s="890" r="AI31"/>
      <c s="890" r="AJ31"/>
      <c s="890" r="AK31"/>
      <c s="890" r="AL31"/>
      <c s="890" r="AM31"/>
      <c s="890" r="AN31">
        <v>22</v>
      </c>
      <c t="str" s="142" r="AO31">
        <f>IF((MAX(AT60:AT377)&lt;$AN31),"---",(INDEX($O$44:$O$361,MATCH($AN31,AT$44:AT$361,1))-INDEX($O$44:$O$361,MATCH($AN31,AT$44:AT$361,0))))</f>
        <v>---</v>
      </c>
      <c t="str" s="142" r="AP31">
        <f>IF((MAX(AU60:AU377)&lt;$AN31),"---",(INDEX($O$44:$O$361,MATCH($AN31,AU$44:AU$361,1))-INDEX($O$44:$O$361,MATCH($AN31,AU$44:AU$361,0))))</f>
        <v>---</v>
      </c>
      <c t="str" s="142" r="AQ31">
        <f>IF((MAX(AV60:AV377)&lt;$AN31),"---",(INDEX($O$44:$O$361,MATCH($AN31,AV$44:AV$361,1))-INDEX($O$44:$O$361,MATCH($AN31,AV$44:AV$361,0))))</f>
        <v>---</v>
      </c>
      <c t="str" s="142" r="AR31">
        <f>IF((MAX(AW60:AW377)&lt;$AN31),"---",(INDEX($O$44:$O$361,MATCH($AN31,AW$44:AW$361,1))-INDEX($O$44:$O$361,MATCH($AN31,AW$44:AW$361,0))))</f>
        <v>---</v>
      </c>
      <c t="str" s="423" r="AS31">
        <f>IF((MAX(AT$44:AT$361)&lt;$AN31),"---",((IF((IF((COUNT($AA$44:$AA$361)&lt;2),0,COUNT((INDEX($AA$44:$AA$361,MATCH($AN31,AT$44:AT$361,0))*INDEX($AA$44:$AA$361,MATCH($AN31,AT$44:AT$361,1)))))&gt;0),(INDEX($AA$44:$AA$361,MATCH($AN31,AT$44:AT$361,0))-INDEX($AA$44:$AA$361,MATCH($AN31,AT$44:AT$361,1))),(INDEX($Z$44:$Z$361,MATCH($AN31,AT$44:AT$361,0))-INDEX($Z$44:$Z$361,MATCH($AN31,AT$44:AT$361,1))))/AO31)*100))</f>
        <v>---</v>
      </c>
      <c t="str" s="423" r="AT31">
        <f>IF((MAX(AU$44:AU$361)&lt;$AN31),"---",((IF((IF((COUNT($AA$44:$AA$361)&lt;2),0,COUNT((INDEX($AA$44:$AA$361,MATCH($AN31,AU$44:AU$361,0))*INDEX($AA$44:$AA$361,MATCH($AN31,AU$44:AU$361,1)))))&gt;0),(INDEX($AA$44:$AA$361,MATCH($AN31,AU$44:AU$361,0))-INDEX($AA$44:$AA$361,MATCH($AN31,AU$44:AU$361,1))),(INDEX($Z$44:$Z$361,MATCH($AN31,AU$44:AU$361,0))-INDEX($Z$44:$Z$361,MATCH($AN31,AU$44:AU$361,1))))/AP31)*100))</f>
        <v>---</v>
      </c>
      <c t="str" s="423" r="AU31">
        <f>IF((MAX(AV$44:AV$361)&lt;$AN31),"---",((IF((IF((COUNT($AA$44:$AA$361)&lt;2),0,COUNT((INDEX($AA$44:$AA$361,MATCH($AN31,AV$44:AV$361,0))*INDEX($AA$44:$AA$361,MATCH($AN31,AV$44:AV$361,1)))))&gt;0),(INDEX($AA$44:$AA$361,MATCH($AN31,AV$44:AV$361,0))-INDEX($AA$44:$AA$361,MATCH($AN31,AV$44:AV$361,1))),(INDEX($Z$44:$Z$361,MATCH($AN31,AV$44:AV$361,0))-INDEX($Z$44:$Z$361,MATCH($AN31,AV$44:AV$361,1))))/AQ31)*100))</f>
        <v>---</v>
      </c>
      <c t="str" s="423" r="AV31">
        <f>IF((MAX(AW$44:AW$361)&lt;$AN31),"---",((IF((IF((COUNT($AA$44:$AA$361)&lt;2),0,COUNT((INDEX($AA$44:$AA$361,MATCH($AN31,AW$44:AW$361,0))*INDEX($AA$44:$AA$361,MATCH($AN31,AW$44:AW$361,1)))))&gt;0),(INDEX($AA$44:$AA$361,MATCH($AN31,AW$44:AW$361,0))-INDEX($AA$44:$AA$361,MATCH($AN31,AW$44:AW$361,1))),(INDEX($Z$44:$Z$361,MATCH($AN31,AW$44:AW$361,0))-INDEX($Z$44:$Z$361,MATCH($AN31,AW$44:AW$361,1))))/AR31)*100))</f>
        <v>---</v>
      </c>
      <c s="890" r="AW31"/>
      <c t="str" s="777" r="AX31">
        <f>IF(ISNUMBER(MATCH(AN32,AX$44:AX$361,0)),(INDEX(O$44:O$361,MATCH(AN32,AX$44:AX$361,0))-INDEX(O$44:O$361,MATCH(AN31,AX$44:AX$361,0))),"---")</f>
        <v>---</v>
      </c>
      <c s="113" r="AY31"/>
      <c s="761" r="AZ31"/>
      <c s="591" r="BA31"/>
      <c s="808" r="BB31">
        <v>6</v>
      </c>
      <c s="550" r="BC31"/>
      <c s="550" r="BD31"/>
      <c s="550" r="BE31"/>
      <c s="550" r="BF31"/>
      <c s="51" r="BG31"/>
      <c s="125" r="BH31"/>
      <c s="125" r="BI31"/>
    </row>
    <row customHeight="1" s="392" customFormat="1" r="32" ht="13.5">
      <c s="822" r="A32"/>
      <c s="406" r="B32"/>
      <c s="886" r="C32"/>
      <c t="str" s="836" r="D32">
        <f>"pool length"&amp;IF((AH31=2)," (m)"," (ft)")</f>
        <v>pool length (ft)</v>
      </c>
      <c s="458" r="E32"/>
      <c t="str" s="616" r="F32">
        <f>AP7</f>
        <v>---</v>
      </c>
      <c s="458" r="G32"/>
      <c s="458" r="H32"/>
      <c s="734" r="I32"/>
      <c s="702" r="J32"/>
      <c s="36" r="K32"/>
      <c s="391" r="L32"/>
      <c s="52" r="M32"/>
      <c t="s" s="912" r="N32">
        <v>357</v>
      </c>
      <c s="912" r="O32"/>
      <c s="912" r="P32"/>
      <c t="s" s="912" r="Q32">
        <v>358</v>
      </c>
      <c s="912" r="R32"/>
      <c s="912" r="S32"/>
      <c t="str" s="912" r="T32">
        <f>IF((AH31=2),"length (m)","length (ft)")</f>
        <v>length (ft)</v>
      </c>
      <c s="912" r="U32"/>
      <c s="246" r="V32"/>
      <c t="s" s="912" r="W32">
        <v>359</v>
      </c>
      <c s="912" r="X32"/>
      <c s="246" r="Y32"/>
      <c t="str" s="440" r="Z32">
        <f>IF((AH31=2),"pool-pool spacing (m)","pool-pool spacing (ft)")</f>
        <v>pool-pool spacing (ft)</v>
      </c>
      <c s="246" r="AA32"/>
      <c s="246" r="AB32"/>
      <c t="s" s="246" r="AC32">
        <v>360</v>
      </c>
      <c s="246" r="AD32"/>
      <c s="671" r="AE32"/>
      <c t="s" s="439" r="AF32">
        <v>304</v>
      </c>
      <c s="682" r="AG32"/>
      <c t="str" s="890" r="AH32">
        <f>"Elevation"&amp;IF((AH31=2)," (m)"," (ft)")</f>
        <v>Elevation (ft)</v>
      </c>
      <c s="682" r="AI32"/>
      <c s="682" r="AJ32"/>
      <c s="682" r="AK32"/>
      <c s="682" r="AL32"/>
      <c s="682" r="AM32"/>
      <c s="890" r="AN32">
        <v>23</v>
      </c>
      <c t="str" s="142" r="AO32">
        <f>IF((MAX(AT61:AT378)&lt;$AN32),"---",(INDEX($O$44:$O$361,MATCH($AN32,AT$44:AT$361,1))-INDEX($O$44:$O$361,MATCH($AN32,AT$44:AT$361,0))))</f>
        <v>---</v>
      </c>
      <c t="str" s="142" r="AP32">
        <f>IF((MAX(AU61:AU378)&lt;$AN32),"---",(INDEX($O$44:$O$361,MATCH($AN32,AU$44:AU$361,1))-INDEX($O$44:$O$361,MATCH($AN32,AU$44:AU$361,0))))</f>
        <v>---</v>
      </c>
      <c t="str" s="142" r="AQ32">
        <f>IF((MAX(AV61:AV378)&lt;$AN32),"---",(INDEX($O$44:$O$361,MATCH($AN32,AV$44:AV$361,1))-INDEX($O$44:$O$361,MATCH($AN32,AV$44:AV$361,0))))</f>
        <v>---</v>
      </c>
      <c t="str" s="142" r="AR32">
        <f>IF((MAX(AW61:AW378)&lt;$AN32),"---",(INDEX($O$44:$O$361,MATCH($AN32,AW$44:AW$361,1))-INDEX($O$44:$O$361,MATCH($AN32,AW$44:AW$361,0))))</f>
        <v>---</v>
      </c>
      <c t="str" s="423" r="AS32">
        <f>IF((MAX(AT$44:AT$361)&lt;$AN32),"---",((IF((IF((COUNT($AA$44:$AA$361)&lt;2),0,COUNT((INDEX($AA$44:$AA$361,MATCH($AN32,AT$44:AT$361,0))*INDEX($AA$44:$AA$361,MATCH($AN32,AT$44:AT$361,1)))))&gt;0),(INDEX($AA$44:$AA$361,MATCH($AN32,AT$44:AT$361,0))-INDEX($AA$44:$AA$361,MATCH($AN32,AT$44:AT$361,1))),(INDEX($Z$44:$Z$361,MATCH($AN32,AT$44:AT$361,0))-INDEX($Z$44:$Z$361,MATCH($AN32,AT$44:AT$361,1))))/AO32)*100))</f>
        <v>---</v>
      </c>
      <c t="str" s="423" r="AT32">
        <f>IF((MAX(AU$44:AU$361)&lt;$AN32),"---",((IF((IF((COUNT($AA$44:$AA$361)&lt;2),0,COUNT((INDEX($AA$44:$AA$361,MATCH($AN32,AU$44:AU$361,0))*INDEX($AA$44:$AA$361,MATCH($AN32,AU$44:AU$361,1)))))&gt;0),(INDEX($AA$44:$AA$361,MATCH($AN32,AU$44:AU$361,0))-INDEX($AA$44:$AA$361,MATCH($AN32,AU$44:AU$361,1))),(INDEX($Z$44:$Z$361,MATCH($AN32,AU$44:AU$361,0))-INDEX($Z$44:$Z$361,MATCH($AN32,AU$44:AU$361,1))))/AP32)*100))</f>
        <v>---</v>
      </c>
      <c t="str" s="423" r="AU32">
        <f>IF((MAX(AV$44:AV$361)&lt;$AN32),"---",((IF((IF((COUNT($AA$44:$AA$361)&lt;2),0,COUNT((INDEX($AA$44:$AA$361,MATCH($AN32,AV$44:AV$361,0))*INDEX($AA$44:$AA$361,MATCH($AN32,AV$44:AV$361,1)))))&gt;0),(INDEX($AA$44:$AA$361,MATCH($AN32,AV$44:AV$361,0))-INDEX($AA$44:$AA$361,MATCH($AN32,AV$44:AV$361,1))),(INDEX($Z$44:$Z$361,MATCH($AN32,AV$44:AV$361,0))-INDEX($Z$44:$Z$361,MATCH($AN32,AV$44:AV$361,1))))/AQ32)*100))</f>
        <v>---</v>
      </c>
      <c t="str" s="423" r="AV32">
        <f>IF((MAX(AW$44:AW$361)&lt;$AN32),"---",((IF((IF((COUNT($AA$44:$AA$361)&lt;2),0,COUNT((INDEX($AA$44:$AA$361,MATCH($AN32,AW$44:AW$361,0))*INDEX($AA$44:$AA$361,MATCH($AN32,AW$44:AW$361,1)))))&gt;0),(INDEX($AA$44:$AA$361,MATCH($AN32,AW$44:AW$361,0))-INDEX($AA$44:$AA$361,MATCH($AN32,AW$44:AW$361,1))),(INDEX($Z$44:$Z$361,MATCH($AN32,AW$44:AW$361,0))-INDEX($Z$44:$Z$361,MATCH($AN32,AW$44:AW$361,1))))/AR32)*100))</f>
        <v>---</v>
      </c>
      <c s="682" r="AW32"/>
      <c t="str" s="777" r="AX32">
        <f>IF(ISNUMBER(MATCH(AN33,AX$44:AX$361,0)),(INDEX(O$44:O$361,MATCH(AN33,AX$44:AX$361,0))-INDEX(O$44:O$361,MATCH(AN32,AX$44:AX$361,0))),"---")</f>
        <v>---</v>
      </c>
      <c s="113" r="AY32"/>
      <c s="761" r="AZ32"/>
      <c s="691" r="BA32"/>
      <c s="808" r="BB32">
        <v>7</v>
      </c>
      <c s="550" r="BC32"/>
      <c s="550" r="BD32"/>
      <c s="550" r="BE32"/>
      <c s="550" r="BF32"/>
      <c s="51" r="BG32"/>
      <c s="125" r="BH32"/>
      <c s="125" r="BI32"/>
    </row>
    <row s="642" customFormat="1" r="33">
      <c s="822" r="A33"/>
      <c s="406" r="B33"/>
      <c s="886" r="C33"/>
      <c t="str" s="836" r="D33">
        <f>"run length"&amp;IF((AH31=2)," (m)"," (ft)")</f>
        <v>run length (ft)</v>
      </c>
      <c s="458" r="E33"/>
      <c t="str" s="616" r="F33">
        <f>AQ7</f>
        <v>---</v>
      </c>
      <c s="458" r="G33"/>
      <c s="458" r="H33"/>
      <c s="734" r="I33"/>
      <c s="702" r="J33"/>
      <c s="289" r="K33"/>
      <c s="52" r="L33"/>
      <c t="s" s="812" r="M33">
        <v>361</v>
      </c>
      <c t="str" s="351" r="N33">
        <f>F67</f>
        <v>---</v>
      </c>
      <c s="549" r="O33"/>
      <c s="664" r="P33"/>
      <c t="str" s="829" r="Q33">
        <f>"---"</f>
        <v>---</v>
      </c>
      <c s="549" r="R33"/>
      <c s="664" r="S33"/>
      <c t="str" s="148" r="T33">
        <f>IF((COUNT(O44:O361)&gt;2),MAX(O44:O361),"---")</f>
        <v>---</v>
      </c>
      <c t="str" s="549" r="U33">
        <f>IF(AND(ISNUMBER(F61),COUNT(O44:O361)),(("("&amp;ROUND((MAX(O44:O361)/F61),1))&amp;" channel widths)"),"")</f>
        <v/>
      </c>
      <c s="664" r="V33"/>
      <c t="str" s="829" r="W33">
        <f>"---"</f>
        <v>---</v>
      </c>
      <c s="549" r="X33"/>
      <c s="664" r="Y33"/>
      <c t="str" s="829" r="Z33">
        <f>"---"</f>
        <v>---</v>
      </c>
      <c s="549" r="AA33"/>
      <c s="829" r="AB33"/>
      <c t="str" s="829" r="AC33">
        <f>"---"</f>
        <v>---</v>
      </c>
      <c s="664" r="AD33"/>
      <c s="671" r="AE33"/>
      <c t="s" s="439" r="AF33">
        <v>304</v>
      </c>
      <c s="142" r="AG33"/>
      <c t="str" s="890" r="AH33">
        <f>"Channel Distance"&amp;IF((AH31=2)," (m)"," (ft)")</f>
        <v>Channel Distance (ft)</v>
      </c>
      <c s="794" r="AI33"/>
      <c s="142" r="AJ33"/>
      <c s="142" r="AK33"/>
      <c s="142" r="AL33"/>
      <c s="142" r="AM33"/>
      <c s="890" r="AN33">
        <v>24</v>
      </c>
      <c t="str" s="142" r="AO33">
        <f>IF((MAX(AT62:AT379)&lt;$AN33),"---",(INDEX($O$44:$O$361,MATCH($AN33,AT$44:AT$361,1))-INDEX($O$44:$O$361,MATCH($AN33,AT$44:AT$361,0))))</f>
        <v>---</v>
      </c>
      <c t="str" s="142" r="AP33">
        <f>IF((MAX(AU62:AU379)&lt;$AN33),"---",(INDEX($O$44:$O$361,MATCH($AN33,AU$44:AU$361,1))-INDEX($O$44:$O$361,MATCH($AN33,AU$44:AU$361,0))))</f>
        <v>---</v>
      </c>
      <c t="str" s="142" r="AQ33">
        <f>IF((MAX(AV62:AV379)&lt;$AN33),"---",(INDEX($O$44:$O$361,MATCH($AN33,AV$44:AV$361,1))-INDEX($O$44:$O$361,MATCH($AN33,AV$44:AV$361,0))))</f>
        <v>---</v>
      </c>
      <c t="str" s="142" r="AR33">
        <f>IF((MAX(AW62:AW379)&lt;$AN33),"---",(INDEX($O$44:$O$361,MATCH($AN33,AW$44:AW$361,1))-INDEX($O$44:$O$361,MATCH($AN33,AW$44:AW$361,0))))</f>
        <v>---</v>
      </c>
      <c t="str" s="423" r="AS33">
        <f>IF((MAX(AT$44:AT$361)&lt;$AN33),"---",((IF((IF((COUNT($AA$44:$AA$361)&lt;2),0,COUNT((INDEX($AA$44:$AA$361,MATCH($AN33,AT$44:AT$361,0))*INDEX($AA$44:$AA$361,MATCH($AN33,AT$44:AT$361,1)))))&gt;0),(INDEX($AA$44:$AA$361,MATCH($AN33,AT$44:AT$361,0))-INDEX($AA$44:$AA$361,MATCH($AN33,AT$44:AT$361,1))),(INDEX($Z$44:$Z$361,MATCH($AN33,AT$44:AT$361,0))-INDEX($Z$44:$Z$361,MATCH($AN33,AT$44:AT$361,1))))/AO33)*100))</f>
        <v>---</v>
      </c>
      <c t="str" s="423" r="AT33">
        <f>IF((MAX(AU$44:AU$361)&lt;$AN33),"---",((IF((IF((COUNT($AA$44:$AA$361)&lt;2),0,COUNT((INDEX($AA$44:$AA$361,MATCH($AN33,AU$44:AU$361,0))*INDEX($AA$44:$AA$361,MATCH($AN33,AU$44:AU$361,1)))))&gt;0),(INDEX($AA$44:$AA$361,MATCH($AN33,AU$44:AU$361,0))-INDEX($AA$44:$AA$361,MATCH($AN33,AU$44:AU$361,1))),(INDEX($Z$44:$Z$361,MATCH($AN33,AU$44:AU$361,0))-INDEX($Z$44:$Z$361,MATCH($AN33,AU$44:AU$361,1))))/AP33)*100))</f>
        <v>---</v>
      </c>
      <c t="str" s="423" r="AU33">
        <f>IF((MAX(AV$44:AV$361)&lt;$AN33),"---",((IF((IF((COUNT($AA$44:$AA$361)&lt;2),0,COUNT((INDEX($AA$44:$AA$361,MATCH($AN33,AV$44:AV$361,0))*INDEX($AA$44:$AA$361,MATCH($AN33,AV$44:AV$361,1)))))&gt;0),(INDEX($AA$44:$AA$361,MATCH($AN33,AV$44:AV$361,0))-INDEX($AA$44:$AA$361,MATCH($AN33,AV$44:AV$361,1))),(INDEX($Z$44:$Z$361,MATCH($AN33,AV$44:AV$361,0))-INDEX($Z$44:$Z$361,MATCH($AN33,AV$44:AV$361,1))))/AQ33)*100))</f>
        <v>---</v>
      </c>
      <c t="str" s="423" r="AV33">
        <f>IF((MAX(AW$44:AW$361)&lt;$AN33),"---",((IF((IF((COUNT($AA$44:$AA$361)&lt;2),0,COUNT((INDEX($AA$44:$AA$361,MATCH($AN33,AW$44:AW$361,0))*INDEX($AA$44:$AA$361,MATCH($AN33,AW$44:AW$361,1)))))&gt;0),(INDEX($AA$44:$AA$361,MATCH($AN33,AW$44:AW$361,0))-INDEX($AA$44:$AA$361,MATCH($AN33,AW$44:AW$361,1))),(INDEX($Z$44:$Z$361,MATCH($AN33,AW$44:AW$361,0))-INDEX($Z$44:$Z$361,MATCH($AN33,AW$44:AW$361,1))))/AR33)*100))</f>
        <v>---</v>
      </c>
      <c s="142" r="AW33"/>
      <c t="str" s="777" r="AX33">
        <f>IF(ISNUMBER(MATCH(AN34,AX$44:AX$361,0)),(INDEX(O$44:O$361,MATCH(AN34,AX$44:AX$361,0))-INDEX(O$44:O$361,MATCH(AN33,AX$44:AX$361,0))),"---")</f>
        <v>---</v>
      </c>
      <c s="113" r="AY33"/>
      <c s="761" r="AZ33"/>
      <c s="591" r="BA33"/>
      <c s="808" r="BB33">
        <v>8</v>
      </c>
      <c s="550" r="BC33"/>
      <c s="550" r="BD33"/>
      <c s="550" r="BE33"/>
      <c s="550" r="BF33"/>
      <c s="51" r="BG33"/>
      <c s="125" r="BH33"/>
      <c s="125" r="BI33"/>
    </row>
    <row r="34">
      <c s="822" r="A34"/>
      <c s="406" r="B34"/>
      <c s="886" r="C34"/>
      <c t="str" s="836" r="D34">
        <f>"glide length"&amp;IF((AH31=2)," (m)"," (ft)")</f>
        <v>glide length (ft)</v>
      </c>
      <c s="458" r="E34"/>
      <c t="str" s="616" r="F34">
        <f>AR7</f>
        <v>---</v>
      </c>
      <c s="458" r="G34"/>
      <c s="458" r="H34"/>
      <c s="734" r="I34"/>
      <c s="702" r="J34"/>
      <c s="289" r="K34"/>
      <c s="52" r="L34"/>
      <c t="s" s="812" r="M34">
        <v>307</v>
      </c>
      <c t="str" s="687" r="N34">
        <f>F68</f>
        <v>---</v>
      </c>
      <c t="str" s="321" r="O34">
        <f>IF(ISNUMBER(H68),(((("  ("&amp;H68)&amp;" - ")&amp;I68)&amp;")"),IF(ISNUMBER(I68),(((("  ("&amp;H68)&amp;" - ")&amp;I68)&amp;")"),""))</f>
        <v/>
      </c>
      <c s="886" r="P34"/>
      <c t="str" s="482" r="Q34">
        <f>F78</f>
        <v>---</v>
      </c>
      <c t="str" s="321" r="R34">
        <f>IF(ISNUMBER(H78),(((("  ("&amp;H78)&amp;" - ")&amp;I78)&amp;")"),IF(ISNUMBER(I78),(((("  ("&amp;H78)&amp;" - ")&amp;I78)&amp;")"),""))</f>
        <v/>
      </c>
      <c s="886" r="S34"/>
      <c t="str" s="788" r="T34">
        <f>AO7</f>
        <v>---</v>
      </c>
      <c t="str" s="321" r="U34">
        <f>IF(ISNUMBER(H63),(((("  ("&amp;H63)&amp;" - ")&amp;I63)&amp;")"),IF(ISNUMBER(I63),(((("  ("&amp;H63)&amp;" - ")&amp;I63)&amp;")"),""))</f>
        <v/>
      </c>
      <c s="886" r="V34"/>
      <c t="str" s="482" r="W34">
        <f>F74</f>
        <v>---</v>
      </c>
      <c t="str" s="321" r="X34">
        <f>IF(ISNUMBER(H74),(((("  ("&amp;H74)&amp;" - ")&amp;I74)&amp;")"),IF(ISNUMBER(I74),(((("  ("&amp;H74)&amp;" - ")&amp;I74)&amp;")"),""))</f>
        <v/>
      </c>
      <c s="886" r="Y34"/>
      <c t="str" s="482" r="Z34">
        <f>"---"</f>
        <v>---</v>
      </c>
      <c s="886" r="AA34"/>
      <c s="886" r="AB34"/>
      <c t="str" s="482" r="AC34">
        <f>"---"</f>
        <v>---</v>
      </c>
      <c s="886" r="AD34"/>
      <c s="671" r="AE34"/>
      <c t="s" s="439" r="AF34">
        <v>304</v>
      </c>
      <c s="794" r="AG34"/>
      <c s="890" r="AH34"/>
      <c s="890" r="AI34"/>
      <c s="142" r="AJ34"/>
      <c s="142" r="AK34"/>
      <c s="890" r="AL34"/>
      <c s="890" r="AM34"/>
      <c s="890" r="AN34">
        <v>25</v>
      </c>
      <c t="str" s="142" r="AO34">
        <f>IF((MAX(AT63:AT380)&lt;$AN34),"---",(INDEX($O$44:$O$361,MATCH($AN34,AT$44:AT$361,1))-INDEX($O$44:$O$361,MATCH($AN34,AT$44:AT$361,0))))</f>
        <v>---</v>
      </c>
      <c t="str" s="142" r="AP34">
        <f>IF((MAX(AU63:AU380)&lt;$AN34),"---",(INDEX($O$44:$O$361,MATCH($AN34,AU$44:AU$361,1))-INDEX($O$44:$O$361,MATCH($AN34,AU$44:AU$361,0))))</f>
        <v>---</v>
      </c>
      <c t="str" s="142" r="AQ34">
        <f>IF((MAX(AV63:AV380)&lt;$AN34),"---",(INDEX($O$44:$O$361,MATCH($AN34,AV$44:AV$361,1))-INDEX($O$44:$O$361,MATCH($AN34,AV$44:AV$361,0))))</f>
        <v>---</v>
      </c>
      <c t="str" s="142" r="AR34">
        <f>IF((MAX(AW63:AW380)&lt;$AN34),"---",(INDEX($O$44:$O$361,MATCH($AN34,AW$44:AW$361,1))-INDEX($O$44:$O$361,MATCH($AN34,AW$44:AW$361,0))))</f>
        <v>---</v>
      </c>
      <c t="str" s="423" r="AS34">
        <f>IF((MAX(AT$44:AT$361)&lt;$AN34),"---",((IF((IF((COUNT($AA$44:$AA$361)&lt;2),0,COUNT((INDEX($AA$44:$AA$361,MATCH($AN34,AT$44:AT$361,0))*INDEX($AA$44:$AA$361,MATCH($AN34,AT$44:AT$361,1)))))&gt;0),(INDEX($AA$44:$AA$361,MATCH($AN34,AT$44:AT$361,0))-INDEX($AA$44:$AA$361,MATCH($AN34,AT$44:AT$361,1))),(INDEX($Z$44:$Z$361,MATCH($AN34,AT$44:AT$361,0))-INDEX($Z$44:$Z$361,MATCH($AN34,AT$44:AT$361,1))))/AO34)*100))</f>
        <v>---</v>
      </c>
      <c t="str" s="423" r="AT34">
        <f>IF((MAX(AU$44:AU$361)&lt;$AN34),"---",((IF((IF((COUNT($AA$44:$AA$361)&lt;2),0,COUNT((INDEX($AA$44:$AA$361,MATCH($AN34,AU$44:AU$361,0))*INDEX($AA$44:$AA$361,MATCH($AN34,AU$44:AU$361,1)))))&gt;0),(INDEX($AA$44:$AA$361,MATCH($AN34,AU$44:AU$361,0))-INDEX($AA$44:$AA$361,MATCH($AN34,AU$44:AU$361,1))),(INDEX($Z$44:$Z$361,MATCH($AN34,AU$44:AU$361,0))-INDEX($Z$44:$Z$361,MATCH($AN34,AU$44:AU$361,1))))/AP34)*100))</f>
        <v>---</v>
      </c>
      <c t="str" s="423" r="AU34">
        <f>IF((MAX(AV$44:AV$361)&lt;$AN34),"---",((IF((IF((COUNT($AA$44:$AA$361)&lt;2),0,COUNT((INDEX($AA$44:$AA$361,MATCH($AN34,AV$44:AV$361,0))*INDEX($AA$44:$AA$361,MATCH($AN34,AV$44:AV$361,1)))))&gt;0),(INDEX($AA$44:$AA$361,MATCH($AN34,AV$44:AV$361,0))-INDEX($AA$44:$AA$361,MATCH($AN34,AV$44:AV$361,1))),(INDEX($Z$44:$Z$361,MATCH($AN34,AV$44:AV$361,0))-INDEX($Z$44:$Z$361,MATCH($AN34,AV$44:AV$361,1))))/AQ34)*100))</f>
        <v>---</v>
      </c>
      <c t="str" s="423" r="AV34">
        <f>IF((MAX(AW$44:AW$361)&lt;$AN34),"---",((IF((IF((COUNT($AA$44:$AA$361)&lt;2),0,COUNT((INDEX($AA$44:$AA$361,MATCH($AN34,AW$44:AW$361,0))*INDEX($AA$44:$AA$361,MATCH($AN34,AW$44:AW$361,1)))))&gt;0),(INDEX($AA$44:$AA$361,MATCH($AN34,AW$44:AW$361,0))-INDEX($AA$44:$AA$361,MATCH($AN34,AW$44:AW$361,1))),(INDEX($Z$44:$Z$361,MATCH($AN34,AW$44:AW$361,0))-INDEX($Z$44:$Z$361,MATCH($AN34,AW$44:AW$361,1))))/AR34)*100))</f>
        <v>---</v>
      </c>
      <c s="890" r="AW34"/>
      <c t="str" s="777" r="AX34">
        <f>IF(ISNUMBER(MATCH(AN35,AX$44:AX$361,0)),(INDEX(O$44:O$361,MATCH(AN35,AX$44:AX$361,0))-INDEX(O$44:O$361,MATCH(AN34,AX$44:AX$361,0))),"---")</f>
        <v>---</v>
      </c>
      <c s="113" r="AY34"/>
      <c s="761" r="AZ34"/>
      <c s="591" r="BA34"/>
      <c s="808" r="BB34">
        <v>9</v>
      </c>
      <c s="550" r="BC34"/>
      <c s="550" r="BD34"/>
      <c s="550" r="BE34"/>
      <c s="550" r="BF34"/>
      <c s="51" r="BG34"/>
      <c s="125" r="BH34"/>
      <c s="125" r="BI34"/>
    </row>
    <row customHeight="1" r="35" ht="13.5">
      <c s="822" r="A35"/>
      <c s="406" r="B35"/>
      <c s="886" r="C35"/>
      <c s="886" r="D35"/>
      <c s="756" r="E35"/>
      <c s="886" r="F35"/>
      <c s="756" r="G35"/>
      <c s="756" r="H35"/>
      <c s="418" r="I35"/>
      <c s="702" r="J35"/>
      <c s="289" r="K35"/>
      <c s="52" r="L35"/>
      <c t="s" s="812" r="M35">
        <v>308</v>
      </c>
      <c t="str" s="409" r="N35">
        <f>F69</f>
        <v>---</v>
      </c>
      <c t="str" s="472" r="O35">
        <f>IF((H69=I69),"",IF(ISNUMBER(H69),(((("  ("&amp;H69)&amp;" - ")&amp;I69)&amp;")"),IF(ISNUMBER(I69),(((("  ("&amp;H69)&amp;" - ")&amp;I69)&amp;")"),"")))</f>
        <v/>
      </c>
      <c s="551" r="P35"/>
      <c t="str" s="8" r="Q35">
        <f>F79</f>
        <v>---</v>
      </c>
      <c t="str" s="472" r="R35">
        <f>IF((H69=I69),"",IF(ISNUMBER(H79),(((("  ("&amp;H79)&amp;" - ")&amp;I79)&amp;")"),IF(ISNUMBER(I79),(((("  ("&amp;H79)&amp;" - ")&amp;I79)&amp;")"),"")))</f>
        <v/>
      </c>
      <c s="551" r="S35"/>
      <c t="str" s="692" r="T35">
        <f>F64</f>
        <v>---</v>
      </c>
      <c t="str" s="472" r="U35">
        <f>IF(ISNUMBER(H64),(((("  ("&amp;H64)&amp;" - ")&amp;I64)&amp;")"),IF(ISNUMBER(I64),(((("  ("&amp;H64)&amp;" - ")&amp;I64)&amp;")"),""))</f>
        <v/>
      </c>
      <c s="551" r="V35"/>
      <c t="str" s="8" r="W35">
        <f>F75</f>
        <v>---</v>
      </c>
      <c t="str" s="472" r="X35">
        <f>IF(ISNUMBER(H75),(((("  ("&amp;H75)&amp;" - ")&amp;I75)&amp;")"),IF(ISNUMBER(I75),(((("  ("&amp;H75)&amp;" - ")&amp;I75)&amp;")"),""))</f>
        <v/>
      </c>
      <c s="551" r="Y35"/>
      <c t="str" s="692" r="Z35">
        <f>F62</f>
        <v>---</v>
      </c>
      <c t="str" s="472" r="AA35">
        <f>IF(ISNUMBER(H62),(((("  ("&amp;H62)&amp;" - ")&amp;I62)&amp;")"),IF(ISNUMBER(I62),(((("  ("&amp;H62)&amp;" - ")&amp;I62)&amp;")"),""))</f>
        <v/>
      </c>
      <c s="551" r="AB35"/>
      <c t="str" s="8" r="AC35">
        <f>$F$82</f>
        <v>---</v>
      </c>
      <c t="str" s="472" r="AD35">
        <f>IF(ISNUMBER(H82),(((("  ("&amp;H82)&amp;" - ")&amp;I82)&amp;")"),IF(ISNUMBER(I82),(((("  ("&amp;H82)&amp;" - ")&amp;I82)&amp;")"),""))</f>
        <v/>
      </c>
      <c s="671" r="AE35"/>
      <c t="s" s="439" r="AF35">
        <v>304</v>
      </c>
      <c s="794" r="AG35"/>
      <c s="890" r="AH35"/>
      <c s="890" r="AI35"/>
      <c s="142" r="AJ35"/>
      <c s="142" r="AK35"/>
      <c s="890" r="AL35"/>
      <c s="890" r="AM35"/>
      <c s="890" r="AN35">
        <v>26</v>
      </c>
      <c t="str" s="142" r="AO35">
        <f>IF((MAX(AT64:AT381)&lt;$AN35),"---",(INDEX($O$44:$O$361,MATCH($AN35,AT$44:AT$361,1))-INDEX($O$44:$O$361,MATCH($AN35,AT$44:AT$361,0))))</f>
        <v>---</v>
      </c>
      <c t="str" s="142" r="AP35">
        <f>IF((MAX(AU64:AU381)&lt;$AN35),"---",(INDEX($O$44:$O$361,MATCH($AN35,AU$44:AU$361,1))-INDEX($O$44:$O$361,MATCH($AN35,AU$44:AU$361,0))))</f>
        <v>---</v>
      </c>
      <c t="str" s="142" r="AQ35">
        <f>IF((MAX(AV64:AV381)&lt;$AN35),"---",(INDEX($O$44:$O$361,MATCH($AN35,AV$44:AV$361,1))-INDEX($O$44:$O$361,MATCH($AN35,AV$44:AV$361,0))))</f>
        <v>---</v>
      </c>
      <c t="str" s="142" r="AR35">
        <f>IF((MAX(AW64:AW381)&lt;$AN35),"---",(INDEX($O$44:$O$361,MATCH($AN35,AW$44:AW$361,1))-INDEX($O$44:$O$361,MATCH($AN35,AW$44:AW$361,0))))</f>
        <v>---</v>
      </c>
      <c t="str" s="423" r="AS35">
        <f>IF((MAX(AT$44:AT$361)&lt;$AN35),"---",((IF((IF((COUNT($AA$44:$AA$361)&lt;2),0,COUNT((INDEX($AA$44:$AA$361,MATCH($AN35,AT$44:AT$361,0))*INDEX($AA$44:$AA$361,MATCH($AN35,AT$44:AT$361,1)))))&gt;0),(INDEX($AA$44:$AA$361,MATCH($AN35,AT$44:AT$361,0))-INDEX($AA$44:$AA$361,MATCH($AN35,AT$44:AT$361,1))),(INDEX($Z$44:$Z$361,MATCH($AN35,AT$44:AT$361,0))-INDEX($Z$44:$Z$361,MATCH($AN35,AT$44:AT$361,1))))/AO35)*100))</f>
        <v>---</v>
      </c>
      <c t="str" s="423" r="AT35">
        <f>IF((MAX(AU$44:AU$361)&lt;$AN35),"---",((IF((IF((COUNT($AA$44:$AA$361)&lt;2),0,COUNT((INDEX($AA$44:$AA$361,MATCH($AN35,AU$44:AU$361,0))*INDEX($AA$44:$AA$361,MATCH($AN35,AU$44:AU$361,1)))))&gt;0),(INDEX($AA$44:$AA$361,MATCH($AN35,AU$44:AU$361,0))-INDEX($AA$44:$AA$361,MATCH($AN35,AU$44:AU$361,1))),(INDEX($Z$44:$Z$361,MATCH($AN35,AU$44:AU$361,0))-INDEX($Z$44:$Z$361,MATCH($AN35,AU$44:AU$361,1))))/AP35)*100))</f>
        <v>---</v>
      </c>
      <c t="str" s="423" r="AU35">
        <f>IF((MAX(AV$44:AV$361)&lt;$AN35),"---",((IF((IF((COUNT($AA$44:$AA$361)&lt;2),0,COUNT((INDEX($AA$44:$AA$361,MATCH($AN35,AV$44:AV$361,0))*INDEX($AA$44:$AA$361,MATCH($AN35,AV$44:AV$361,1)))))&gt;0),(INDEX($AA$44:$AA$361,MATCH($AN35,AV$44:AV$361,0))-INDEX($AA$44:$AA$361,MATCH($AN35,AV$44:AV$361,1))),(INDEX($Z$44:$Z$361,MATCH($AN35,AV$44:AV$361,0))-INDEX($Z$44:$Z$361,MATCH($AN35,AV$44:AV$361,1))))/AQ35)*100))</f>
        <v>---</v>
      </c>
      <c t="str" s="423" r="AV35">
        <f>IF((MAX(AW$44:AW$361)&lt;$AN35),"---",((IF((IF((COUNT($AA$44:$AA$361)&lt;2),0,COUNT((INDEX($AA$44:$AA$361,MATCH($AN35,AW$44:AW$361,0))*INDEX($AA$44:$AA$361,MATCH($AN35,AW$44:AW$361,1)))))&gt;0),(INDEX($AA$44:$AA$361,MATCH($AN35,AW$44:AW$361,0))-INDEX($AA$44:$AA$361,MATCH($AN35,AW$44:AW$361,1))),(INDEX($Z$44:$Z$361,MATCH($AN35,AW$44:AW$361,0))-INDEX($Z$44:$Z$361,MATCH($AN35,AW$44:AW$361,1))))/AR35)*100))</f>
        <v>---</v>
      </c>
      <c s="890" r="AW35"/>
      <c t="str" s="777" r="AX35">
        <f>IF(ISNUMBER(MATCH(AN36,AX$44:AX$361,0)),(INDEX(O$44:O$361,MATCH(AN36,AX$44:AX$361,0))-INDEX(O$44:O$361,MATCH(AN35,AX$44:AX$361,0))),"---")</f>
        <v>---</v>
      </c>
      <c s="113" r="AY35"/>
      <c s="761" r="AZ35"/>
      <c s="591" r="BA35"/>
      <c s="145" r="BB35">
        <v>10</v>
      </c>
      <c s="550" r="BC35"/>
      <c s="550" r="BD35"/>
      <c s="550" r="BE35"/>
      <c s="550" r="BF35"/>
      <c s="51" r="BG35"/>
      <c s="125" r="BH35"/>
      <c s="125" r="BI35"/>
    </row>
    <row customHeight="1" r="36" ht="14.25">
      <c s="822" r="A36"/>
      <c s="406" r="B36"/>
      <c t="s" s="729" r="C36">
        <v>362</v>
      </c>
      <c s="566" r="D36"/>
      <c s="566" r="E36"/>
      <c s="886" r="F36"/>
      <c s="886" r="G36"/>
      <c s="886" r="H36"/>
      <c s="418" r="I36"/>
      <c s="702" r="J36"/>
      <c s="908" r="K36"/>
      <c s="551" r="L36"/>
      <c t="str" s="812" r="M36">
        <f>IF((F65="---"),"","run")</f>
        <v/>
      </c>
      <c t="str" s="687" r="N36">
        <f>F70</f>
        <v>---</v>
      </c>
      <c t="str" s="321" r="O36">
        <f>IF(ISNUMBER(H70),(((("  ("&amp;H70)&amp;" - ")&amp;I70)&amp;")"),IF(ISNUMBER(I70),(((("  ("&amp;H70)&amp;" - ")&amp;I70)&amp;")"),""))</f>
        <v/>
      </c>
      <c s="886" r="P36"/>
      <c t="str" s="482" r="Q36">
        <f>F80</f>
        <v>---</v>
      </c>
      <c t="str" s="321" r="R36">
        <f>IF(ISNUMBER(H80),(((("  ("&amp;H80)&amp;" - ")&amp;I80)&amp;")"),IF(ISNUMBER(I80),(((("  ("&amp;H80)&amp;" - ")&amp;I80)&amp;")"),""))</f>
        <v/>
      </c>
      <c s="886" r="S36"/>
      <c t="str" s="788" r="T36">
        <f>F65</f>
        <v>---</v>
      </c>
      <c t="str" s="321" r="U36">
        <f>IF(ISNUMBER(H65),(((("  ("&amp;H65)&amp;" - ")&amp;I65)&amp;")"),IF(ISNUMBER(I65),(((("  ("&amp;H65)&amp;" - ")&amp;I65)&amp;")"),""))</f>
        <v/>
      </c>
      <c s="886" r="V36"/>
      <c t="str" s="482" r="W36">
        <f>F76</f>
        <v>---</v>
      </c>
      <c t="str" s="321" r="X36">
        <f>IF(ISNUMBER(H76),(((("  ("&amp;H76)&amp;" - ")&amp;I76)&amp;")"),IF(ISNUMBER(I76),(((("  ("&amp;H76)&amp;" - ")&amp;I76)&amp;")"),""))</f>
        <v/>
      </c>
      <c s="886" r="Y36"/>
      <c t="str" s="482" r="Z36">
        <f>"---"</f>
        <v>---</v>
      </c>
      <c s="321" r="AA36"/>
      <c s="886" r="AB36"/>
      <c t="str" s="482" r="AC36">
        <f>"---"</f>
        <v>---</v>
      </c>
      <c s="886" r="AD36"/>
      <c s="671" r="AE36"/>
      <c t="s" s="439" r="AF36">
        <v>304</v>
      </c>
      <c s="794" r="AG36"/>
      <c s="890" r="AH36"/>
      <c s="890" r="AI36"/>
      <c s="142" r="AJ36"/>
      <c s="142" r="AK36"/>
      <c s="890" r="AL36"/>
      <c s="890" r="AM36"/>
      <c s="890" r="AN36">
        <v>27</v>
      </c>
      <c t="str" s="142" r="AO36">
        <f>IF((MAX(AT65:AT382)&lt;$AN36),"---",(INDEX($O$44:$O$361,MATCH($AN36,AT$44:AT$361,1))-INDEX($O$44:$O$361,MATCH($AN36,AT$44:AT$361,0))))</f>
        <v>---</v>
      </c>
      <c t="str" s="142" r="AP36">
        <f>IF((MAX(AU65:AU382)&lt;$AN36),"---",(INDEX($O$44:$O$361,MATCH($AN36,AU$44:AU$361,1))-INDEX($O$44:$O$361,MATCH($AN36,AU$44:AU$361,0))))</f>
        <v>---</v>
      </c>
      <c t="str" s="142" r="AQ36">
        <f>IF((MAX(AV65:AV382)&lt;$AN36),"---",(INDEX($O$44:$O$361,MATCH($AN36,AV$44:AV$361,1))-INDEX($O$44:$O$361,MATCH($AN36,AV$44:AV$361,0))))</f>
        <v>---</v>
      </c>
      <c t="str" s="142" r="AR36">
        <f>IF((MAX(AW65:AW382)&lt;$AN36),"---",(INDEX($O$44:$O$361,MATCH($AN36,AW$44:AW$361,1))-INDEX($O$44:$O$361,MATCH($AN36,AW$44:AW$361,0))))</f>
        <v>---</v>
      </c>
      <c t="str" s="423" r="AS36">
        <f>IF((MAX(AT$44:AT$361)&lt;$AN36),"---",((IF((IF((COUNT($AA$44:$AA$361)&lt;2),0,COUNT((INDEX($AA$44:$AA$361,MATCH($AN36,AT$44:AT$361,0))*INDEX($AA$44:$AA$361,MATCH($AN36,AT$44:AT$361,1)))))&gt;0),(INDEX($AA$44:$AA$361,MATCH($AN36,AT$44:AT$361,0))-INDEX($AA$44:$AA$361,MATCH($AN36,AT$44:AT$361,1))),(INDEX($Z$44:$Z$361,MATCH($AN36,AT$44:AT$361,0))-INDEX($Z$44:$Z$361,MATCH($AN36,AT$44:AT$361,1))))/AO36)*100))</f>
        <v>---</v>
      </c>
      <c t="str" s="423" r="AT36">
        <f>IF((MAX(AU$44:AU$361)&lt;$AN36),"---",((IF((IF((COUNT($AA$44:$AA$361)&lt;2),0,COUNT((INDEX($AA$44:$AA$361,MATCH($AN36,AU$44:AU$361,0))*INDEX($AA$44:$AA$361,MATCH($AN36,AU$44:AU$361,1)))))&gt;0),(INDEX($AA$44:$AA$361,MATCH($AN36,AU$44:AU$361,0))-INDEX($AA$44:$AA$361,MATCH($AN36,AU$44:AU$361,1))),(INDEX($Z$44:$Z$361,MATCH($AN36,AU$44:AU$361,0))-INDEX($Z$44:$Z$361,MATCH($AN36,AU$44:AU$361,1))))/AP36)*100))</f>
        <v>---</v>
      </c>
      <c t="str" s="423" r="AU36">
        <f>IF((MAX(AV$44:AV$361)&lt;$AN36),"---",((IF((IF((COUNT($AA$44:$AA$361)&lt;2),0,COUNT((INDEX($AA$44:$AA$361,MATCH($AN36,AV$44:AV$361,0))*INDEX($AA$44:$AA$361,MATCH($AN36,AV$44:AV$361,1)))))&gt;0),(INDEX($AA$44:$AA$361,MATCH($AN36,AV$44:AV$361,0))-INDEX($AA$44:$AA$361,MATCH($AN36,AV$44:AV$361,1))),(INDEX($Z$44:$Z$361,MATCH($AN36,AV$44:AV$361,0))-INDEX($Z$44:$Z$361,MATCH($AN36,AV$44:AV$361,1))))/AQ36)*100))</f>
        <v>---</v>
      </c>
      <c t="str" s="423" r="AV36">
        <f>IF((MAX(AW$44:AW$361)&lt;$AN36),"---",((IF((IF((COUNT($AA$44:$AA$361)&lt;2),0,COUNT((INDEX($AA$44:$AA$361,MATCH($AN36,AW$44:AW$361,0))*INDEX($AA$44:$AA$361,MATCH($AN36,AW$44:AW$361,1)))))&gt;0),(INDEX($AA$44:$AA$361,MATCH($AN36,AW$44:AW$361,0))-INDEX($AA$44:$AA$361,MATCH($AN36,AW$44:AW$361,1))),(INDEX($Z$44:$Z$361,MATCH($AN36,AW$44:AW$361,0))-INDEX($Z$44:$Z$361,MATCH($AN36,AW$44:AW$361,1))))/AR36)*100))</f>
        <v>---</v>
      </c>
      <c s="890" r="AW36"/>
      <c t="str" s="777" r="AX36">
        <f>IF(ISNUMBER(MATCH(AN37,AX$44:AX$361,0)),(INDEX(O$44:O$361,MATCH(AN37,AX$44:AX$361,0))-INDEX(O$44:O$361,MATCH(AN36,AX$44:AX$361,0))),"---")</f>
        <v>---</v>
      </c>
      <c s="113" r="AY36"/>
      <c s="761" r="AZ36"/>
      <c s="761" r="BA36"/>
      <c s="412" r="BB36"/>
      <c s="412" r="BC36"/>
      <c s="412" r="BD36"/>
      <c s="412" r="BE36"/>
      <c s="412" r="BF36"/>
      <c s="125" r="BG36"/>
      <c s="125" r="BH36"/>
      <c s="125" r="BI36"/>
    </row>
    <row customHeight="1" r="37" ht="14.25">
      <c s="822" r="A37"/>
      <c s="406" r="B37"/>
      <c s="756" r="C37"/>
      <c t="s" s="7" r="D37">
        <v>96</v>
      </c>
      <c s="458" r="E37"/>
      <c t="str" s="367" r="F37">
        <f>$AJ$13</f>
        <v>---</v>
      </c>
      <c s="566" r="G37"/>
      <c s="566" r="H37"/>
      <c s="418" r="I37"/>
      <c s="702" r="J37"/>
      <c s="908" r="K37"/>
      <c s="551" r="L37"/>
      <c t="str" s="812" r="M37">
        <f>IF((F66="---"),"","glide")</f>
        <v/>
      </c>
      <c t="str" s="409" r="N37">
        <f>F71</f>
        <v>---</v>
      </c>
      <c t="str" s="472" r="O37">
        <f>IF(ISNUMBER(H71),(((("  ("&amp;H71)&amp;" - ")&amp;I71)&amp;")"),IF(ISNUMBER(I71),(((("  ("&amp;H71)&amp;" - ")&amp;I71)&amp;")"),""))</f>
        <v/>
      </c>
      <c s="551" r="P37"/>
      <c t="str" s="8" r="Q37">
        <f>F81</f>
        <v>---</v>
      </c>
      <c t="str" s="472" r="R37">
        <f>IF(ISNUMBER(H81),(((("  ("&amp;H81)&amp;" - ")&amp;I81)&amp;")"),IF(ISNUMBER(I81),(((("  ("&amp;H81)&amp;" - ")&amp;I81)&amp;")"),""))</f>
        <v/>
      </c>
      <c s="551" r="S37"/>
      <c t="str" s="692" r="T37">
        <f>F66</f>
        <v>---</v>
      </c>
      <c t="str" s="472" r="U37">
        <f>IF(ISNUMBER(H66),(((("  ("&amp;H66)&amp;" - ")&amp;I66)&amp;")"),IF(ISNUMBER(I66),(((("  ("&amp;H66)&amp;" - ")&amp;I66)&amp;")"),""))</f>
        <v/>
      </c>
      <c s="551" r="V37"/>
      <c t="str" s="8" r="W37">
        <f>F77</f>
        <v>---</v>
      </c>
      <c t="str" s="472" r="X37">
        <f>IF(ISNUMBER(H77),(((("  ("&amp;H77)&amp;" - ")&amp;I77)&amp;")"),IF(ISNUMBER(I77),(((("  ("&amp;H77)&amp;" - ")&amp;I77)&amp;")"),""))</f>
        <v/>
      </c>
      <c s="551" r="Y37"/>
      <c t="str" s="8" r="Z37">
        <f>"---"</f>
        <v>---</v>
      </c>
      <c s="472" r="AA37"/>
      <c s="551" r="AB37"/>
      <c t="str" s="8" r="AC37">
        <f>"---"</f>
        <v>---</v>
      </c>
      <c s="551" r="AD37"/>
      <c s="671" r="AE37"/>
      <c t="s" s="439" r="AF37">
        <v>304</v>
      </c>
      <c s="794" r="AG37"/>
      <c s="890" r="AH37"/>
      <c s="890" r="AI37"/>
      <c s="142" r="AJ37"/>
      <c s="142" r="AK37"/>
      <c s="890" r="AL37"/>
      <c s="890" r="AM37"/>
      <c s="890" r="AN37">
        <v>28</v>
      </c>
      <c t="str" s="142" r="AO37">
        <f>IF((MAX(AT66:AT383)&lt;$AN37),"---",(INDEX($O$44:$O$361,MATCH($AN37,AT$44:AT$361,1))-INDEX($O$44:$O$361,MATCH($AN37,AT$44:AT$361,0))))</f>
        <v>---</v>
      </c>
      <c t="str" s="142" r="AP37">
        <f>IF((MAX(AU66:AU383)&lt;$AN37),"---",(INDEX($O$44:$O$361,MATCH($AN37,AU$44:AU$361,1))-INDEX($O$44:$O$361,MATCH($AN37,AU$44:AU$361,0))))</f>
        <v>---</v>
      </c>
      <c t="str" s="142" r="AQ37">
        <f>IF((MAX(AV66:AV383)&lt;$AN37),"---",(INDEX($O$44:$O$361,MATCH($AN37,AV$44:AV$361,1))-INDEX($O$44:$O$361,MATCH($AN37,AV$44:AV$361,0))))</f>
        <v>---</v>
      </c>
      <c t="str" s="142" r="AR37">
        <f>IF((MAX(AW66:AW383)&lt;$AN37),"---",(INDEX($O$44:$O$361,MATCH($AN37,AW$44:AW$361,1))-INDEX($O$44:$O$361,MATCH($AN37,AW$44:AW$361,0))))</f>
        <v>---</v>
      </c>
      <c t="str" s="423" r="AS37">
        <f>IF((MAX(AT$44:AT$361)&lt;$AN37),"---",((IF((IF((COUNT($AA$44:$AA$361)&lt;2),0,COUNT((INDEX($AA$44:$AA$361,MATCH($AN37,AT$44:AT$361,0))*INDEX($AA$44:$AA$361,MATCH($AN37,AT$44:AT$361,1)))))&gt;0),(INDEX($AA$44:$AA$361,MATCH($AN37,AT$44:AT$361,0))-INDEX($AA$44:$AA$361,MATCH($AN37,AT$44:AT$361,1))),(INDEX($Z$44:$Z$361,MATCH($AN37,AT$44:AT$361,0))-INDEX($Z$44:$Z$361,MATCH($AN37,AT$44:AT$361,1))))/AO37)*100))</f>
        <v>---</v>
      </c>
      <c t="str" s="423" r="AT37">
        <f>IF((MAX(AU$44:AU$361)&lt;$AN37),"---",((IF((IF((COUNT($AA$44:$AA$361)&lt;2),0,COUNT((INDEX($AA$44:$AA$361,MATCH($AN37,AU$44:AU$361,0))*INDEX($AA$44:$AA$361,MATCH($AN37,AU$44:AU$361,1)))))&gt;0),(INDEX($AA$44:$AA$361,MATCH($AN37,AU$44:AU$361,0))-INDEX($AA$44:$AA$361,MATCH($AN37,AU$44:AU$361,1))),(INDEX($Z$44:$Z$361,MATCH($AN37,AU$44:AU$361,0))-INDEX($Z$44:$Z$361,MATCH($AN37,AU$44:AU$361,1))))/AP37)*100))</f>
        <v>---</v>
      </c>
      <c t="str" s="423" r="AU37">
        <f>IF((MAX(AV$44:AV$361)&lt;$AN37),"---",((IF((IF((COUNT($AA$44:$AA$361)&lt;2),0,COUNT((INDEX($AA$44:$AA$361,MATCH($AN37,AV$44:AV$361,0))*INDEX($AA$44:$AA$361,MATCH($AN37,AV$44:AV$361,1)))))&gt;0),(INDEX($AA$44:$AA$361,MATCH($AN37,AV$44:AV$361,0))-INDEX($AA$44:$AA$361,MATCH($AN37,AV$44:AV$361,1))),(INDEX($Z$44:$Z$361,MATCH($AN37,AV$44:AV$361,0))-INDEX($Z$44:$Z$361,MATCH($AN37,AV$44:AV$361,1))))/AQ37)*100))</f>
        <v>---</v>
      </c>
      <c t="str" s="423" r="AV37">
        <f>IF((MAX(AW$44:AW$361)&lt;$AN37),"---",((IF((IF((COUNT($AA$44:$AA$361)&lt;2),0,COUNT((INDEX($AA$44:$AA$361,MATCH($AN37,AW$44:AW$361,0))*INDEX($AA$44:$AA$361,MATCH($AN37,AW$44:AW$361,1)))))&gt;0),(INDEX($AA$44:$AA$361,MATCH($AN37,AW$44:AW$361,0))-INDEX($AA$44:$AA$361,MATCH($AN37,AW$44:AW$361,1))),(INDEX($Z$44:$Z$361,MATCH($AN37,AW$44:AW$361,0))-INDEX($Z$44:$Z$361,MATCH($AN37,AW$44:AW$361,1))))/AR37)*100))</f>
        <v>---</v>
      </c>
      <c s="890" r="AW37"/>
      <c t="str" s="777" r="AX37">
        <f>IF(ISNUMBER(MATCH(AN38,AX$44:AX$361,0)),(INDEX(O$44:O$361,MATCH(AN38,AX$44:AX$361,0))-INDEX(O$44:O$361,MATCH(AN37,AX$44:AX$361,0))),"---")</f>
        <v>---</v>
      </c>
      <c s="113" r="AY37"/>
      <c t="s" s="761" r="AZ37">
        <v>2</v>
      </c>
      <c s="591" r="BA37"/>
      <c t="s" s="503" r="BB37">
        <v>363</v>
      </c>
      <c s="745" r="BC37"/>
      <c s="745" r="BD37"/>
      <c s="843" r="BE37"/>
      <c t="s" s="162" r="BF37">
        <v>364</v>
      </c>
      <c s="51" r="BG37"/>
      <c s="125" r="BH37"/>
      <c s="125" r="BI37"/>
    </row>
    <row customHeight="1" r="38" ht="13.5">
      <c s="822" r="A38"/>
      <c s="406" r="B38"/>
      <c s="886" r="C38"/>
      <c t="s" s="836" r="D38">
        <v>141</v>
      </c>
      <c s="458" r="E38"/>
      <c t="str" s="362" r="F38">
        <f>AS7</f>
        <v>---</v>
      </c>
      <c s="458" r="G38"/>
      <c s="458" r="H38"/>
      <c s="734" r="I38"/>
      <c s="702" r="J38"/>
      <c s="20" r="K38"/>
      <c s="414" r="L38"/>
      <c s="414" r="M38"/>
      <c s="414" r="N38"/>
      <c s="414" r="O38"/>
      <c s="680" r="P38"/>
      <c s="680" r="Q38"/>
      <c s="680" r="R38"/>
      <c s="680" r="S38"/>
      <c s="414" r="T38"/>
      <c s="680" r="U38"/>
      <c s="680" r="V38"/>
      <c s="680" r="W38"/>
      <c s="680" r="X38"/>
      <c s="414" r="Y38"/>
      <c s="414" r="Z38"/>
      <c s="414" r="AA38"/>
      <c s="414" r="AB38"/>
      <c s="414" r="AC38"/>
      <c s="414" r="AD38"/>
      <c s="397" r="AE38"/>
      <c t="s" s="439" r="AF38">
        <v>304</v>
      </c>
      <c s="794" r="AG38"/>
      <c s="890" r="AH38"/>
      <c s="890" r="AI38"/>
      <c s="142" r="AJ38"/>
      <c s="142" r="AK38"/>
      <c s="890" r="AL38"/>
      <c s="890" r="AM38"/>
      <c s="890" r="AN38">
        <v>29</v>
      </c>
      <c t="str" s="142" r="AO38">
        <f>IF((MAX(AT67:AT384)&lt;$AN38),"---",(INDEX($O$44:$O$361,MATCH($AN38,AT$44:AT$361,1))-INDEX($O$44:$O$361,MATCH($AN38,AT$44:AT$361,0))))</f>
        <v>---</v>
      </c>
      <c t="str" s="142" r="AP38">
        <f>IF((MAX(AU67:AU384)&lt;$AN38),"---",(INDEX($O$44:$O$361,MATCH($AN38,AU$44:AU$361,1))-INDEX($O$44:$O$361,MATCH($AN38,AU$44:AU$361,0))))</f>
        <v>---</v>
      </c>
      <c t="str" s="142" r="AQ38">
        <f>IF((MAX(AV67:AV384)&lt;$AN38),"---",(INDEX($O$44:$O$361,MATCH($AN38,AV$44:AV$361,1))-INDEX($O$44:$O$361,MATCH($AN38,AV$44:AV$361,0))))</f>
        <v>---</v>
      </c>
      <c t="str" s="142" r="AR38">
        <f>IF((MAX(AW67:AW384)&lt;$AN38),"---",(INDEX($O$44:$O$361,MATCH($AN38,AW$44:AW$361,1))-INDEX($O$44:$O$361,MATCH($AN38,AW$44:AW$361,0))))</f>
        <v>---</v>
      </c>
      <c t="str" s="423" r="AS38">
        <f>IF((MAX(AT$44:AT$361)&lt;$AN38),"---",((IF((IF((COUNT($AA$44:$AA$361)&lt;2),0,COUNT((INDEX($AA$44:$AA$361,MATCH($AN38,AT$44:AT$361,0))*INDEX($AA$44:$AA$361,MATCH($AN38,AT$44:AT$361,1)))))&gt;0),(INDEX($AA$44:$AA$361,MATCH($AN38,AT$44:AT$361,0))-INDEX($AA$44:$AA$361,MATCH($AN38,AT$44:AT$361,1))),(INDEX($Z$44:$Z$361,MATCH($AN38,AT$44:AT$361,0))-INDEX($Z$44:$Z$361,MATCH($AN38,AT$44:AT$361,1))))/AO38)*100))</f>
        <v>---</v>
      </c>
      <c t="str" s="423" r="AT38">
        <f>IF((MAX(AU$44:AU$361)&lt;$AN38),"---",((IF((IF((COUNT($AA$44:$AA$361)&lt;2),0,COUNT((INDEX($AA$44:$AA$361,MATCH($AN38,AU$44:AU$361,0))*INDEX($AA$44:$AA$361,MATCH($AN38,AU$44:AU$361,1)))))&gt;0),(INDEX($AA$44:$AA$361,MATCH($AN38,AU$44:AU$361,0))-INDEX($AA$44:$AA$361,MATCH($AN38,AU$44:AU$361,1))),(INDEX($Z$44:$Z$361,MATCH($AN38,AU$44:AU$361,0))-INDEX($Z$44:$Z$361,MATCH($AN38,AU$44:AU$361,1))))/AP38)*100))</f>
        <v>---</v>
      </c>
      <c t="str" s="423" r="AU38">
        <f>IF((MAX(AV$44:AV$361)&lt;$AN38),"---",((IF((IF((COUNT($AA$44:$AA$361)&lt;2),0,COUNT((INDEX($AA$44:$AA$361,MATCH($AN38,AV$44:AV$361,0))*INDEX($AA$44:$AA$361,MATCH($AN38,AV$44:AV$361,1)))))&gt;0),(INDEX($AA$44:$AA$361,MATCH($AN38,AV$44:AV$361,0))-INDEX($AA$44:$AA$361,MATCH($AN38,AV$44:AV$361,1))),(INDEX($Z$44:$Z$361,MATCH($AN38,AV$44:AV$361,0))-INDEX($Z$44:$Z$361,MATCH($AN38,AV$44:AV$361,1))))/AQ38)*100))</f>
        <v>---</v>
      </c>
      <c t="str" s="423" r="AV38">
        <f>IF((MAX(AW$44:AW$361)&lt;$AN38),"---",((IF((IF((COUNT($AA$44:$AA$361)&lt;2),0,COUNT((INDEX($AA$44:$AA$361,MATCH($AN38,AW$44:AW$361,0))*INDEX($AA$44:$AA$361,MATCH($AN38,AW$44:AW$361,1)))))&gt;0),(INDEX($AA$44:$AA$361,MATCH($AN38,AW$44:AW$361,0))-INDEX($AA$44:$AA$361,MATCH($AN38,AW$44:AW$361,1))),(INDEX($Z$44:$Z$361,MATCH($AN38,AW$44:AW$361,0))-INDEX($Z$44:$Z$361,MATCH($AN38,AW$44:AW$361,1))))/AR38)*100))</f>
        <v>---</v>
      </c>
      <c s="890" r="AW38"/>
      <c t="str" s="777" r="AX38">
        <f>IF(ISNUMBER(MATCH(AN39,AX$44:AX$361,0)),(INDEX(O$44:O$361,MATCH(AN39,AX$44:AX$361,0))-INDEX(O$44:O$361,MATCH(AN38,AX$44:AX$361,0))),"---")</f>
        <v>---</v>
      </c>
      <c s="113" r="AY38"/>
      <c s="761" r="AZ38"/>
      <c s="591" r="BA38"/>
      <c s="192" r="BB38"/>
      <c s="230" r="BC38"/>
      <c s="230" r="BD38"/>
      <c s="230" r="BE38"/>
      <c s="447" r="BF38"/>
      <c s="51" r="BG38"/>
      <c s="125" r="BH38"/>
      <c s="125" r="BI38"/>
    </row>
    <row customHeight="1" r="39" ht="14.25">
      <c s="822" r="A39"/>
      <c s="406" r="B39"/>
      <c s="886" r="C39"/>
      <c t="s" s="836" r="D39">
        <v>143</v>
      </c>
      <c s="458" r="E39"/>
      <c t="str" s="362" r="F39">
        <f>AT7</f>
        <v>---</v>
      </c>
      <c s="458" r="G39"/>
      <c s="458" r="H39"/>
      <c s="734" r="I39"/>
      <c s="702" r="J39"/>
      <c s="711" r="K39"/>
      <c s="711" r="L39"/>
      <c t="s" s="413" r="M39">
        <v>365</v>
      </c>
      <c s="718" r="N39"/>
      <c s="910" r="O39"/>
      <c s="911" r="P39"/>
      <c t="s" s="770" r="Q39">
        <v>366</v>
      </c>
      <c s="379" r="R39"/>
      <c s="420" r="S39"/>
      <c s="711" r="T39"/>
      <c s="768" r="U39"/>
      <c s="144" r="V39"/>
      <c s="572" r="W39"/>
      <c s="888" r="X39"/>
      <c s="711" r="Y39"/>
      <c s="718" r="Z39"/>
      <c s="467" r="AA39"/>
      <c s="467" r="AB39"/>
      <c s="467" r="AC39"/>
      <c s="467" r="AD39"/>
      <c s="494" r="AE39"/>
      <c t="s" s="439" r="AF39">
        <v>304</v>
      </c>
      <c s="794" r="AG39"/>
      <c s="890" r="AH39"/>
      <c s="890" r="AI39"/>
      <c s="890" r="AJ39"/>
      <c s="142" r="AK39"/>
      <c s="890" r="AL39"/>
      <c s="890" r="AM39"/>
      <c s="890" r="AN39">
        <v>30</v>
      </c>
      <c t="str" s="142" r="AO39">
        <f>IF((MAX(AT68:AT385)&lt;$AN39),"---",(INDEX($O$44:$O$361,MATCH($AN39,AT$44:AT$361,1))-INDEX($O$44:$O$361,MATCH($AN39,AT$44:AT$361,0))))</f>
        <v>---</v>
      </c>
      <c t="str" s="142" r="AP39">
        <f>IF((MAX(AU68:AU385)&lt;$AN39),"---",(INDEX($O$44:$O$361,MATCH($AN39,AU$44:AU$361,1))-INDEX($O$44:$O$361,MATCH($AN39,AU$44:AU$361,0))))</f>
        <v>---</v>
      </c>
      <c t="str" s="142" r="AQ39">
        <f>IF((MAX(AV68:AV385)&lt;$AN39),"---",(INDEX($O$44:$O$361,MATCH($AN39,AV$44:AV$361,1))-INDEX($O$44:$O$361,MATCH($AN39,AV$44:AV$361,0))))</f>
        <v>---</v>
      </c>
      <c t="str" s="142" r="AR39">
        <f>IF((MAX(AW68:AW385)&lt;$AN39),"---",(INDEX($O$44:$O$361,MATCH($AN39,AW$44:AW$361,1))-INDEX($O$44:$O$361,MATCH($AN39,AW$44:AW$361,0))))</f>
        <v>---</v>
      </c>
      <c t="str" s="142" r="AS39">
        <f>IF((MAX(AT$44:AT$361)&lt;$AN39),"---",((IF(((INDEX($AA$44:$AA$361,MATCH($AN39,AT$44:AT$361,0))*INDEX($AA$44:$AA$361,MATCH($AN39,AT$44:AT$361,1)))&gt;0),(INDEX($AA$44:$AA$361,MATCH($AN39,AT$44:AT$361,0))-INDEX($AA$44:$AA$361,MATCH($AN39,AT$44:AT$361,1))),(INDEX($Z$44:$Z$361,MATCH($AN39,AT$44:AT$361,0))-INDEX($Z$44:$Z$361,MATCH($AN39,AT$44:AT$361,1))))/AO39)*100))</f>
        <v>---</v>
      </c>
      <c t="str" s="142" r="AT39">
        <f>IF((MAX(AU$44:AU$361)&lt;$AN39),"---",((IF(((INDEX($AA$44:$AA$361,MATCH($AN39,AU$44:AU$361,0))*INDEX($AA$44:$AA$361,MATCH($AN39,AU$44:AU$361,1)))&gt;0),(INDEX($AA$44:$AA$361,MATCH($AN39,AU$44:AU$361,0))-INDEX($AA$44:$AA$361,MATCH($AN39,AU$44:AU$361,1))),(INDEX($Z$44:$Z$361,MATCH($AN39,AU$44:AU$361,0))-INDEX($Z$44:$Z$361,MATCH($AN39,AU$44:AU$361,1))))/AP39)*100))</f>
        <v>---</v>
      </c>
      <c t="str" s="142" r="AU39">
        <f>IF((MAX(AV$44:AV$361)&lt;$AN39),"---",((IF(((INDEX($AA$44:$AA$361,MATCH($AN39,AV$44:AV$361,0))*INDEX($AA$44:$AA$361,MATCH($AN39,AV$44:AV$361,1)))&gt;0),(INDEX($AA$44:$AA$361,MATCH($AN39,AV$44:AV$361,0))-INDEX($AA$44:$AA$361,MATCH($AN39,AV$44:AV$361,1))),(INDEX($Z$44:$Z$361,MATCH($AN39,AV$44:AV$361,0))-INDEX($Z$44:$Z$361,MATCH($AN39,AV$44:AV$361,1))))/AQ39)*100))</f>
        <v>---</v>
      </c>
      <c t="str" s="142" r="AV39">
        <f>IF((MAX(AW$44:AW$361)&lt;$AN39),"---",((IF(((INDEX($AA$44:$AA$361,MATCH($AN39,AW$44:AW$361,0))*INDEX($AA$44:$AA$361,MATCH($AN39,AW$44:AW$361,1)))&gt;0),(INDEX($AA$44:$AA$361,MATCH($AN39,AW$44:AW$361,0))-INDEX($AA$44:$AA$361,MATCH($AN39,AW$44:AW$361,1))),(INDEX($Z$44:$Z$361,MATCH($AN39,AW$44:AW$361,0))-INDEX($Z$44:$Z$361,MATCH($AN39,AW$44:AW$361,1))))/AR39)*100))</f>
        <v>---</v>
      </c>
      <c s="890" r="AW39"/>
      <c t="str" s="777" r="AX39">
        <f>IF(ISNUMBER(MATCH(31,AX$44:AX$361,0)),(INDEX(O$44:O$361,MATCH(31,AX$44:AX$361,0))-INDEX(O$44:O$361,MATCH(AN39,AX$44:AX$361,0))),"---")</f>
        <v>---</v>
      </c>
      <c s="113" r="AY39"/>
      <c s="761" r="AZ39"/>
      <c s="591" r="BA39"/>
      <c s="267" r="BB39"/>
      <c t="s" s="333" r="BC39">
        <v>367</v>
      </c>
      <c t="s" s="333" r="BD39">
        <v>368</v>
      </c>
      <c t="s" s="333" r="BE39">
        <v>369</v>
      </c>
      <c t="s" s="344" r="BF39">
        <v>370</v>
      </c>
      <c s="51" r="BG39"/>
      <c s="125" r="BH39"/>
      <c s="125" r="BI39"/>
    </row>
    <row customHeight="1" r="40" ht="13.5">
      <c s="822" r="A40"/>
      <c s="406" r="B40"/>
      <c s="886" r="C40"/>
      <c t="s" s="836" r="D40">
        <v>145</v>
      </c>
      <c s="458" r="E40"/>
      <c t="str" s="362" r="F40">
        <f>AU7</f>
        <v>---</v>
      </c>
      <c s="458" r="G40"/>
      <c s="458" r="H40"/>
      <c s="734" r="I40"/>
      <c s="702" r="J40"/>
      <c s="913" r="K40"/>
      <c t="s" s="913" r="L40">
        <v>371</v>
      </c>
      <c s="889" r="M40"/>
      <c s="275" r="N40"/>
      <c s="146" r="O40"/>
      <c s="330" r="P40"/>
      <c s="568" r="Q40">
        <v>100</v>
      </c>
      <c s="164" r="R40"/>
      <c s="252" r="S40"/>
      <c s="275" r="T40"/>
      <c s="913" r="U40"/>
      <c s="792" r="V40"/>
      <c t="s" s="266" r="W40">
        <v>372</v>
      </c>
      <c s="284" r="X40"/>
      <c s="275" r="Y40"/>
      <c s="611" r="Z40"/>
      <c s="661" r="AA40"/>
      <c s="661" r="AB40"/>
      <c s="661" r="AC40"/>
      <c s="661" r="AD40"/>
      <c s="909" r="AE40"/>
      <c t="s" s="439" r="AF40">
        <v>304</v>
      </c>
      <c s="794" r="AG40"/>
      <c s="890" r="AH40"/>
      <c s="890" r="AI40"/>
      <c s="890" r="AJ40"/>
      <c s="890" r="AK40"/>
      <c t="s" s="682" r="AL40">
        <v>373</v>
      </c>
      <c s="890" r="AM40"/>
      <c s="890" r="AN40">
        <v>31</v>
      </c>
      <c s="890" r="AO40"/>
      <c s="890" r="AP40"/>
      <c s="890" r="AQ40"/>
      <c s="890" r="AR40"/>
      <c s="890" r="AS40"/>
      <c s="890" r="AT40"/>
      <c s="890" r="AU40"/>
      <c s="890" r="AV40"/>
      <c s="890" r="AW40"/>
      <c t="s" s="777" r="AX40">
        <v>304</v>
      </c>
      <c s="113" r="AY40"/>
      <c s="761" r="AZ40"/>
      <c s="591" r="BA40"/>
      <c t="s" s="21" r="BB40">
        <v>374</v>
      </c>
      <c s="882" r="BC40"/>
      <c s="882" r="BD40"/>
      <c s="563" r="BE40"/>
      <c s="41" r="BF40"/>
      <c s="51" r="BG40"/>
      <c s="125" r="BH40"/>
      <c s="125" r="BI40"/>
    </row>
    <row customHeight="1" r="41" ht="13.5">
      <c s="822" r="A41"/>
      <c s="406" r="B41"/>
      <c s="886" r="C41"/>
      <c t="s" s="836" r="D41">
        <v>147</v>
      </c>
      <c s="458" r="E41"/>
      <c t="str" s="362" r="F41">
        <f>AV7</f>
        <v>---</v>
      </c>
      <c s="458" r="G41"/>
      <c s="458" r="H41"/>
      <c s="734" r="I41"/>
      <c s="702" r="J41"/>
      <c s="913" r="K41"/>
      <c t="s" s="913" r="L41">
        <v>375</v>
      </c>
      <c s="889" r="M41"/>
      <c s="275" r="N41"/>
      <c s="146" r="O41"/>
      <c s="683" r="P41"/>
      <c t="s" s="883" r="Q41">
        <v>376</v>
      </c>
      <c s="238" r="R41"/>
      <c t="s" s="252" r="S41">
        <v>377</v>
      </c>
      <c s="275" r="T41"/>
      <c t="s" s="913" r="U41">
        <v>377</v>
      </c>
      <c t="s" s="805" r="V41">
        <v>377</v>
      </c>
      <c t="s" s="805" r="W41">
        <v>377</v>
      </c>
      <c t="s" s="805" r="X41">
        <v>377</v>
      </c>
      <c t="s" s="913" r="Y41">
        <v>378</v>
      </c>
      <c t="s" s="211" r="Z41">
        <v>379</v>
      </c>
      <c t="s" s="881" r="AA41">
        <v>379</v>
      </c>
      <c t="s" s="881" r="AB41">
        <v>379</v>
      </c>
      <c t="s" s="881" r="AC41">
        <v>379</v>
      </c>
      <c t="s" s="881" r="AD41">
        <v>379</v>
      </c>
      <c t="s" s="475" r="AE41">
        <v>379</v>
      </c>
      <c t="s" s="625" r="AF41">
        <v>380</v>
      </c>
      <c s="794" r="AG41"/>
      <c s="890" r="AH41"/>
      <c s="890" r="AI41"/>
      <c s="890" r="AJ41"/>
      <c s="890" r="AK41"/>
      <c t="s" s="80" r="AL41">
        <v>381</v>
      </c>
      <c t="str" s="142" r="AM41">
        <f>SLOPE(AM44:AM361,AL44:AL361)</f>
        <v>#N/A:emptyArray</v>
      </c>
      <c s="890" r="AN41"/>
      <c s="890" r="AO41"/>
      <c s="890" r="AP41"/>
      <c s="890" r="AQ41"/>
      <c s="890" r="AR41"/>
      <c s="890" r="AS41"/>
      <c s="890" r="AT41"/>
      <c s="890" r="AU41"/>
      <c s="890" r="AV41"/>
      <c s="890" r="AW41"/>
      <c t="s" s="777" r="AX41">
        <v>304</v>
      </c>
      <c s="113" r="AY41"/>
      <c s="761" r="AZ41"/>
      <c s="591" r="BA41"/>
      <c t="s" s="166" r="BB41">
        <v>382</v>
      </c>
      <c s="458" r="BC41"/>
      <c s="867" r="BD41"/>
      <c t="str" s="249" r="BE41">
        <f>IF(OR(ISBLANK(BC40),ISBLANK(BD40),ISBLANK(BC41),ISBLANK(BD41)),"---",(ROUND(((((BD40-BD41)/(BC41-BC40))*100)/(10^TRUNC(LOG(ABS((((BD40-BD41)/(BC41-BC40))*100)))))),(2-IF(((((BD40-BD41)/(BC41-BC40))*100)&gt;1),1,0)))*(10^TRUNC(LOG(ABS((((BD40-BD41)/(BC41-BC40))*100)))))))</f>
        <v>---</v>
      </c>
      <c s="873" r="BF41"/>
      <c s="51" r="BG41"/>
      <c s="125" r="BH41"/>
      <c s="125" r="BI41"/>
    </row>
    <row customHeight="1" r="42" ht="15.0">
      <c s="822" r="A42"/>
      <c s="406" r="B42"/>
      <c s="886" r="C42"/>
      <c t="s" s="836" r="D42">
        <v>149</v>
      </c>
      <c s="458" r="E42"/>
      <c s="367" r="F42"/>
      <c s="756" r="G42"/>
      <c s="756" r="H42"/>
      <c s="418" r="I42"/>
      <c s="702" r="J42"/>
      <c t="s" s="319" r="K42">
        <v>383</v>
      </c>
      <c t="s" s="319" r="L42">
        <v>384</v>
      </c>
      <c s="165" r="M42"/>
      <c t="str" s="319" r="N42">
        <f>IF((AH28=1),"distance","station")</f>
        <v>distance</v>
      </c>
      <c t="s" s="575" r="O42">
        <v>367</v>
      </c>
      <c t="s" s="435" r="P42">
        <v>385</v>
      </c>
      <c t="s" s="435" r="Q42">
        <v>386</v>
      </c>
      <c t="s" s="435" r="R42">
        <v>377</v>
      </c>
      <c t="s" s="795" r="S42">
        <v>380</v>
      </c>
      <c t="s" s="319" r="T42">
        <v>387</v>
      </c>
      <c t="s" s="319" r="U42">
        <v>388</v>
      </c>
      <c s="182" r="V42"/>
      <c s="182" r="W42"/>
      <c s="182" r="X42"/>
      <c t="s" s="319" r="Y42">
        <v>389</v>
      </c>
      <c t="s" s="9" r="Z42">
        <v>380</v>
      </c>
      <c t="s" s="209" r="AA42">
        <v>390</v>
      </c>
      <c t="str" s="209" r="AB42">
        <f>IF(ISTEXT(U42),U42,"---")</f>
        <v>bankfull</v>
      </c>
      <c t="str" s="209" r="AC42">
        <f>IF(ISBLANK(V42),"---",V42)</f>
        <v>---</v>
      </c>
      <c t="str" s="209" r="AD42">
        <f>IF(ISTEXT(W42),W42,"---")</f>
        <v>---</v>
      </c>
      <c t="str" s="14" r="AE42">
        <f>IF(ISBLANK(X42),"---",X42)</f>
        <v>---</v>
      </c>
      <c t="s" s="625" r="AF42">
        <v>391</v>
      </c>
      <c s="794" r="AG42"/>
      <c t="s" s="682" r="AH42">
        <v>392</v>
      </c>
      <c s="890" r="AI42"/>
      <c s="890" r="AJ42"/>
      <c s="890" r="AK42"/>
      <c t="s" s="80" r="AL42">
        <v>393</v>
      </c>
      <c t="str" s="142" r="AM42">
        <f>INTERCEPT(AM44:AM361,AL44:AL361)</f>
        <v>#N/A:emptyArray</v>
      </c>
      <c s="142" r="AN42"/>
      <c t="s" s="682" r="AO42">
        <v>394</v>
      </c>
      <c s="890" r="AP42"/>
      <c s="890" r="AQ42"/>
      <c s="890" r="AR42"/>
      <c s="890" r="AS42"/>
      <c s="142" r="AT42"/>
      <c s="142" r="AU42"/>
      <c s="142" r="AV42"/>
      <c s="142" r="AW42"/>
      <c t="s" s="777" r="AX42">
        <v>395</v>
      </c>
      <c s="113" r="AY42"/>
      <c s="761" r="AZ42"/>
      <c s="591" r="BA42"/>
      <c s="579" r="BB42"/>
      <c s="399" r="BC42"/>
      <c s="399" r="BD42"/>
      <c s="283" r="BE42"/>
      <c s="847" r="BF42"/>
      <c s="51" r="BG42"/>
      <c s="125" r="BH42"/>
      <c s="125" r="BI42"/>
    </row>
    <row customHeight="1" r="43" ht="14.25">
      <c s="47" r="A43"/>
      <c s="695" r="B43"/>
      <c s="566" r="C43"/>
      <c s="566" r="D43"/>
      <c s="127" r="E43"/>
      <c s="566" r="F43"/>
      <c s="566" r="G43"/>
      <c s="566" r="H43"/>
      <c s="704" r="I43"/>
      <c s="702" r="J43"/>
      <c t="s" s="82" r="K43">
        <v>396</v>
      </c>
      <c s="870" r="L43"/>
      <c s="133" r="M43"/>
      <c s="133" r="N43"/>
      <c s="434" r="O43"/>
      <c s="443" r="P43"/>
      <c s="158" r="Q43">
        <f>Q40+P43</f>
        <v>100</v>
      </c>
      <c s="257" r="R43"/>
      <c s="32" r="S43"/>
      <c s="133" r="T43"/>
      <c s="133" r="U43"/>
      <c s="133" r="V43"/>
      <c s="133" r="W43"/>
      <c s="133" r="X43"/>
      <c s="133" r="Y43"/>
      <c s="133" r="Z43"/>
      <c s="133" r="AA43"/>
      <c s="133" r="AB43"/>
      <c s="133" r="AC43"/>
      <c s="133" r="AD43"/>
      <c s="380" r="AE43"/>
      <c t="str" s="625" r="AF43">
        <f>"= text"</f>
        <v>= text</v>
      </c>
      <c s="794" r="AG43"/>
      <c t="s" s="794" r="AH43">
        <v>397</v>
      </c>
      <c t="s" s="890" r="AI43">
        <v>398</v>
      </c>
      <c t="s" s="890" r="AJ43">
        <v>399</v>
      </c>
      <c s="794" r="AK43"/>
      <c t="s" s="142" r="AL43">
        <v>400</v>
      </c>
      <c t="s" s="142" r="AM43">
        <v>398</v>
      </c>
      <c s="142" r="AN43"/>
      <c t="s" s="142" r="AO43">
        <v>307</v>
      </c>
      <c t="s" s="142" r="AP43">
        <v>308</v>
      </c>
      <c t="s" s="142" r="AQ43">
        <v>309</v>
      </c>
      <c t="s" s="142" r="AR43">
        <v>310</v>
      </c>
      <c s="142" r="AS43"/>
      <c t="s" s="142" r="AT43">
        <v>307</v>
      </c>
      <c t="s" s="142" r="AU43">
        <v>308</v>
      </c>
      <c t="s" s="142" r="AV43">
        <v>309</v>
      </c>
      <c t="s" s="142" r="AW43">
        <v>310</v>
      </c>
      <c t="s" s="777" r="AX43">
        <v>401</v>
      </c>
      <c s="51" r="AY43"/>
      <c s="761" r="AZ43"/>
      <c s="591" r="BA43"/>
      <c t="s" s="166" r="BB43">
        <v>374</v>
      </c>
      <c s="458" r="BC43"/>
      <c s="458" r="BD43"/>
      <c s="495" r="BE43"/>
      <c s="167" r="BF43"/>
      <c s="51" r="BG43"/>
      <c s="125" r="BH43"/>
      <c s="125" r="BI43"/>
    </row>
    <row customHeight="1" r="44" ht="14.25">
      <c s="125" r="A44"/>
      <c s="412" r="B44"/>
      <c s="412" r="C44"/>
      <c s="412" r="D44"/>
      <c s="412" r="E44"/>
      <c s="412" r="F44"/>
      <c s="412" r="G44"/>
      <c s="412" r="H44"/>
      <c s="412" r="I44"/>
      <c s="822" r="J44"/>
      <c s="429" r="K44"/>
      <c s="458" r="L44"/>
      <c s="104" r="M44"/>
      <c s="458" r="N44"/>
      <c t="str" s="589" r="O44">
        <f>N44</f>
        <v/>
      </c>
      <c s="228" r="P44"/>
      <c s="273" r="Q44">
        <f>IF(ISNUMBER(P44),((Q43+P44)-R43),Q43)</f>
        <v>100</v>
      </c>
      <c s="228" r="R44"/>
      <c s="610" r="S44"/>
      <c s="458" r="T44"/>
      <c s="458" r="U44"/>
      <c s="458" r="V44"/>
      <c s="458" r="W44"/>
      <c s="458" r="X44"/>
      <c s="504" r="Y44"/>
      <c t="str" s="620" r="Z44">
        <f>IF(ISNUMBER(S44),(Q44-S44),NA())</f>
        <v>#N/A:explicit</v>
      </c>
      <c t="str" s="620" r="AA44">
        <f>IF(ISNUMBER(T44),IF((AH$22=1),(Z44+T44),(Q44-T44)),NA())</f>
        <v>#N/A:explicit</v>
      </c>
      <c t="str" s="620" r="AB44">
        <f>IF(ISNUMBER(U44),(Q44-U44),NA())</f>
        <v>#N/A:explicit</v>
      </c>
      <c t="str" s="620" r="AC44">
        <f>IF(ISNUMBER(V44),(Q44-V44),NA())</f>
        <v>#N/A:explicit</v>
      </c>
      <c t="str" s="620" r="AD44">
        <f>IF(ISNUMBER(W44),(Q44-W44),NA())</f>
        <v>#N/A:explicit</v>
      </c>
      <c t="str" s="620" r="AE44">
        <f>IF(ISNUMBER(X44),(Q44-X44),NA())</f>
        <v>#N/A:explicit</v>
      </c>
      <c t="str" s="552" r="AF44">
        <f>IF(ISNUMBER(Z44),Z44,"---")</f>
        <v>---</v>
      </c>
      <c s="142" r="AG44"/>
      <c t="str" s="142" r="AH44">
        <f>IF(ISBLANK(L44),NA(),MIN(AF$44:AF$361))</f>
        <v>#N/A:explicit</v>
      </c>
      <c t="str" s="142" r="AI44">
        <f>IF(ISNA(AA44),Z44,AA44)</f>
        <v>#N/A:explicit</v>
      </c>
      <c s="142" r="AJ44">
        <f>MIN(AF$44:AF$361)</f>
        <v>0</v>
      </c>
      <c s="142" r="AK44"/>
      <c t="str" s="142" r="AL44">
        <f>IF(ISNUMBER(AB44),O44,"---")</f>
        <v>---</v>
      </c>
      <c t="str" s="80" r="AM44">
        <f>IF(ISNUMBER(AB44),AB44,"---")</f>
        <v>---</v>
      </c>
      <c s="80" r="AN44"/>
      <c t="str" s="142" r="AO44">
        <f>IF((M44="r"),Z44,NA())</f>
        <v>#N/A:explicit</v>
      </c>
      <c t="str" s="142" r="AP44">
        <f>IF((M44="p"),Z44,NA())</f>
        <v>#N/A:explicit</v>
      </c>
      <c t="str" s="142" r="AQ44">
        <f>IF((M44="n"),Z44,NA())</f>
        <v>#N/A:explicit</v>
      </c>
      <c t="str" s="142" r="AR44">
        <f>IF((M44="g"),Z44,NA())</f>
        <v>#N/A:explicit</v>
      </c>
      <c s="142" r="AS44"/>
      <c t="str" s="142" r="AT44">
        <f>IF(($M44="r"),1,"---")</f>
        <v>---</v>
      </c>
      <c t="str" s="142" r="AU44">
        <f>IF(($M44="p"),1,"---")</f>
        <v>---</v>
      </c>
      <c t="str" s="142" r="AV44">
        <f>IF(($M44="n"),1,"---")</f>
        <v>---</v>
      </c>
      <c t="str" s="142" r="AW44">
        <f>IF(($M44="g"),1,"---")</f>
        <v>---</v>
      </c>
      <c s="676" r="AX44">
        <f>IF((M44="p"),1,0)</f>
        <v>0</v>
      </c>
      <c s="51" r="AY44"/>
      <c s="761" r="AZ44"/>
      <c s="591" r="BA44"/>
      <c t="s" s="166" r="BB44">
        <v>382</v>
      </c>
      <c s="458" r="BC44"/>
      <c s="867" r="BD44"/>
      <c t="str" s="249" r="BE44">
        <f>IF(OR(ISBLANK(BC43),ISBLANK(BD43),ISBLANK(BC44),ISBLANK(BD44)),"---",(ROUND(((((BD43-BD44)/(BC44-BC43))*100)/(10^TRUNC(LOG(ABS((((BD43-BD44)/(BC44-BC43))*100)))))),(2-IF(((((BD43-BD44)/(BC44-BC43))*100)&gt;1),1,0)))*(10^TRUNC(LOG(ABS((((BD43-BD44)/(BC44-BC43))*100)))))))</f>
        <v>---</v>
      </c>
      <c s="873" r="BF44"/>
      <c s="51" r="BG44"/>
      <c s="125" r="BH44"/>
      <c s="125" r="BI44"/>
    </row>
    <row customHeight="1" r="45" ht="14.25">
      <c s="822" r="A45"/>
      <c t="s" s="659" r="B45">
        <v>402</v>
      </c>
      <c s="516" r="C45"/>
      <c s="516" r="D45"/>
      <c s="507" r="E45"/>
      <c s="507" r="F45"/>
      <c s="507" r="G45"/>
      <c s="507" r="H45"/>
      <c s="138" r="I45"/>
      <c s="702" r="J45"/>
      <c s="848" r="K45"/>
      <c s="550" r="L45"/>
      <c s="104" r="M45"/>
      <c s="550" r="N45"/>
      <c t="str" s="589" r="O45">
        <f>IF((AH$28=2),IF(ISBLANK(N45),O44,N45),IF(ISNUMBER(N45),(MAX(O$44:O44)+N45),O44))</f>
        <v/>
      </c>
      <c s="694" r="P45"/>
      <c s="273" r="Q45">
        <f>IF(ISNUMBER(P45),((Q44+P45)-R44),Q44)</f>
        <v>100</v>
      </c>
      <c s="694" r="R45"/>
      <c s="821" r="S45"/>
      <c s="550" r="T45"/>
      <c s="550" r="U45"/>
      <c s="550" r="V45"/>
      <c s="550" r="W45"/>
      <c s="550" r="X45"/>
      <c s="550" r="Y45"/>
      <c t="str" s="470" r="Z45">
        <f>IF(ISNUMBER(S45),(Q45-S45),NA())</f>
        <v>#N/A:explicit</v>
      </c>
      <c t="str" s="470" r="AA45">
        <f>IF(ISNUMBER(T45),IF((AH$22=1),(Z45+T45),(Q45-T45)),NA())</f>
        <v>#N/A:explicit</v>
      </c>
      <c t="str" s="470" r="AB45">
        <f>IF(ISNUMBER(U45),(Q45-U45),NA())</f>
        <v>#N/A:explicit</v>
      </c>
      <c t="str" s="470" r="AC45">
        <f>IF(ISNUMBER(V45),(Q45-V45),NA())</f>
        <v>#N/A:explicit</v>
      </c>
      <c t="str" s="470" r="AD45">
        <f>IF(ISNUMBER(W45),(Q45-W45),NA())</f>
        <v>#N/A:explicit</v>
      </c>
      <c t="str" s="470" r="AE45">
        <f>IF(ISNUMBER(X45),(Q45-X45),NA())</f>
        <v>#N/A:explicit</v>
      </c>
      <c t="str" s="552" r="AF45">
        <f>IF(ISNUMBER(Z45),Z45,"---")</f>
        <v>---</v>
      </c>
      <c s="142" r="AG45"/>
      <c t="str" s="142" r="AH45">
        <f>IF(ISBLANK(L45),NA(),MIN(AF$44:AF$361))</f>
        <v>#N/A:explicit</v>
      </c>
      <c t="str" s="142" r="AI45">
        <f>IF(ISNA(AA45),Z45,AA45)</f>
        <v>#N/A:explicit</v>
      </c>
      <c s="142" r="AJ45">
        <f>MIN(AF$44:AF$361)</f>
        <v>0</v>
      </c>
      <c s="142" r="AK45"/>
      <c t="str" s="142" r="AL45">
        <f>IF(ISNUMBER(AB45),O45,"---")</f>
        <v>---</v>
      </c>
      <c t="str" s="80" r="AM45">
        <f>IF(ISNUMBER(AB45),AB45,"---")</f>
        <v>---</v>
      </c>
      <c s="80" r="AN45"/>
      <c t="str" s="142" r="AO45">
        <f>IF((M45="r"),Z45,NA())</f>
        <v>#N/A:explicit</v>
      </c>
      <c t="str" s="142" r="AP45">
        <f>IF((M45="p"),Z45,NA())</f>
        <v>#N/A:explicit</v>
      </c>
      <c t="str" s="142" r="AQ45">
        <f>IF((M45="n"),Z45,NA())</f>
        <v>#N/A:explicit</v>
      </c>
      <c t="str" s="142" r="AR45">
        <f>IF((M45="g"),Z45,NA())</f>
        <v>#N/A:explicit</v>
      </c>
      <c s="142" r="AS45"/>
      <c t="str" s="142" r="AT45">
        <f>IF((COUNTA($M45:$M$361)=0),"---",IF(AND(($M45="r"),(COUNTA($M46:$M$361)&gt;0)),(MAX(AT$44:AT44)+1),IF(OR(($M44="p"),($M44="n"),($M44="g")),"---",AT44)))</f>
        <v>---</v>
      </c>
      <c t="str" s="142" r="AU45">
        <f>IF((COUNTA($M45:$M$361)=0),"---",IF(AND(($M45="p"),(COUNTA($M46:$M$361)&gt;0)),(MAX(AU$44:AU44)+1),IF(OR(($M44="r"),($M44="n"),($M44="g")),"---",AU44)))</f>
        <v>---</v>
      </c>
      <c t="str" s="142" r="AV45">
        <f>IF((COUNTA($M45:$M$361)=0),"---",IF(AND(($M45="n"),(COUNTA($M46:$M$361)&gt;0)),(MAX(AV$44:AV44)+1),IF(OR(($M44="r"),($M44="p"),($M44="g")),"---",AV44)))</f>
        <v>---</v>
      </c>
      <c t="str" s="142" r="AW45">
        <f>IF((COUNTA($M45:$M$361)=0),"---",IF(AND(($M45="g"),(COUNTA($M46:$M$361)&gt;0)),(MAX(AW$44:AW44)+1),IF(OR(($M44="r"),($M44="p"),($M44="n")),"---",AW44)))</f>
        <v>---</v>
      </c>
      <c s="676" r="AX45">
        <f>IF((M45="p"),(1+MAX(AX$44:AX44)),0)</f>
        <v>0</v>
      </c>
      <c s="51" r="AY45"/>
      <c s="761" r="AZ45"/>
      <c s="591" r="BA45"/>
      <c s="579" r="BB45"/>
      <c s="399" r="BC45"/>
      <c s="399" r="BD45"/>
      <c s="283" r="BE45"/>
      <c s="847" r="BF45"/>
      <c s="51" r="BG45"/>
      <c s="125" r="BH45"/>
      <c s="125" r="BI45"/>
    </row>
    <row customHeight="1" r="46" ht="13.5">
      <c s="822" r="A46"/>
      <c s="332" r="B46"/>
      <c t="s" s="737" r="C46">
        <v>13</v>
      </c>
      <c t="str" s="10" r="D46">
        <f>Summary!$N$6</f>
        <v>---</v>
      </c>
      <c s="664" r="E46"/>
      <c s="664" r="F46"/>
      <c s="664" r="G46"/>
      <c s="664" r="H46"/>
      <c s="726" r="I46"/>
      <c s="702" r="J46"/>
      <c s="848" r="K46"/>
      <c s="550" r="L46"/>
      <c s="104" r="M46"/>
      <c s="550" r="N46"/>
      <c t="str" s="589" r="O46">
        <f>IF((AH$28=2),IF(ISBLANK(N46),O45,N46),IF(ISNUMBER(N46),(MAX(O$44:O45)+N46),O45))</f>
        <v/>
      </c>
      <c s="694" r="P46"/>
      <c s="273" r="Q46">
        <f>IF(ISNUMBER(P46),((Q45+P46)-R45),Q45)</f>
        <v>100</v>
      </c>
      <c s="694" r="R46"/>
      <c s="821" r="S46"/>
      <c s="550" r="T46"/>
      <c s="550" r="U46"/>
      <c s="550" r="V46"/>
      <c s="550" r="W46"/>
      <c s="550" r="X46"/>
      <c s="550" r="Y46"/>
      <c t="str" s="470" r="Z46">
        <f>IF(ISNUMBER(S46),(Q46-S46),NA())</f>
        <v>#N/A:explicit</v>
      </c>
      <c t="str" s="470" r="AA46">
        <f>IF(ISNUMBER(T46),IF((AH$22=1),(Z46+T46),(Q46-T46)),NA())</f>
        <v>#N/A:explicit</v>
      </c>
      <c t="str" s="470" r="AB46">
        <f>IF(ISNUMBER(U46),(Q46-U46),NA())</f>
        <v>#N/A:explicit</v>
      </c>
      <c t="str" s="470" r="AC46">
        <f>IF(ISNUMBER(V46),(Q46-V46),NA())</f>
        <v>#N/A:explicit</v>
      </c>
      <c t="str" s="470" r="AD46">
        <f>IF(ISNUMBER(W46),(Q46-W46),NA())</f>
        <v>#N/A:explicit</v>
      </c>
      <c t="str" s="470" r="AE46">
        <f>IF(ISNUMBER(X46),(Q46-X46),NA())</f>
        <v>#N/A:explicit</v>
      </c>
      <c t="str" s="552" r="AF46">
        <f>IF(ISNUMBER(Z46),Z46,"---")</f>
        <v>---</v>
      </c>
      <c s="142" r="AG46"/>
      <c t="str" s="142" r="AH46">
        <f>IF(ISBLANK(L46),NA(),MIN(AF$44:AF$361))</f>
        <v>#N/A:explicit</v>
      </c>
      <c t="str" s="142" r="AI46">
        <f>IF(ISNA(AA46),Z46,AA46)</f>
        <v>#N/A:explicit</v>
      </c>
      <c s="142" r="AJ46">
        <f>MIN(AF$44:AF$361)</f>
        <v>0</v>
      </c>
      <c s="142" r="AK46"/>
      <c t="str" s="142" r="AL46">
        <f>IF(ISNUMBER(AB46),O46,"---")</f>
        <v>---</v>
      </c>
      <c t="str" s="80" r="AM46">
        <f>IF(ISNUMBER(AB46),AB46,"---")</f>
        <v>---</v>
      </c>
      <c s="80" r="AN46"/>
      <c t="str" s="142" r="AO46">
        <f>IF((M46="r"),Z46,NA())</f>
        <v>#N/A:explicit</v>
      </c>
      <c t="str" s="142" r="AP46">
        <f>IF((M46="p"),Z46,NA())</f>
        <v>#N/A:explicit</v>
      </c>
      <c t="str" s="142" r="AQ46">
        <f>IF((M46="n"),Z46,NA())</f>
        <v>#N/A:explicit</v>
      </c>
      <c t="str" s="142" r="AR46">
        <f>IF((M46="g"),Z46,NA())</f>
        <v>#N/A:explicit</v>
      </c>
      <c s="142" r="AS46"/>
      <c t="str" s="142" r="AT46">
        <f>IF((COUNTA($M46:$M$361)=0),"---",IF(AND(($M46="r"),(COUNTA($M47:$M$361)&gt;0)),(MAX(AT$44:AT45)+1),IF(OR(($M45="p"),($M45="n"),($M45="g")),"---",AT45)))</f>
        <v>---</v>
      </c>
      <c t="str" s="142" r="AU46">
        <f>IF((COUNTA($M46:$M$361)=0),"---",IF(AND(($M46="p"),(COUNTA($M47:$M$361)&gt;0)),(MAX(AU$44:AU45)+1),IF(OR(($M45="r"),($M45="n"),($M45="g")),"---",AU45)))</f>
        <v>---</v>
      </c>
      <c t="str" s="142" r="AV46">
        <f>IF((COUNTA($M46:$M$361)=0),"---",IF(AND(($M46="n"),(COUNTA($M47:$M$361)&gt;0)),(MAX(AV$44:AV45)+1),IF(OR(($M45="r"),($M45="p"),($M45="g")),"---",AV45)))</f>
        <v>---</v>
      </c>
      <c t="str" s="142" r="AW46">
        <f>IF((COUNTA($M46:$M$361)=0),"---",IF(AND(($M46="g"),(COUNTA($M47:$M$361)&gt;0)),(MAX(AW$44:AW45)+1),IF(OR(($M45="r"),($M45="p"),($M45="n")),"---",AW45)))</f>
        <v>---</v>
      </c>
      <c s="676" r="AX46">
        <f>IF((M46="p"),(1+MAX(AX$44:AX45)),0)</f>
        <v>0</v>
      </c>
      <c s="51" r="AY46"/>
      <c s="761" r="AZ46"/>
      <c s="591" r="BA46"/>
      <c t="s" s="166" r="BB46">
        <v>374</v>
      </c>
      <c s="458" r="BC46"/>
      <c s="458" r="BD46"/>
      <c s="495" r="BE46"/>
      <c s="167" r="BF46"/>
      <c s="51" r="BG46"/>
      <c s="125" r="BH46"/>
      <c s="125" r="BI46"/>
    </row>
    <row customHeight="1" r="47" ht="13.5">
      <c s="822" r="A47"/>
      <c s="406" r="B47"/>
      <c t="s" s="836" r="C47">
        <v>15</v>
      </c>
      <c t="str" s="582" r="D47">
        <f>Summary!$N$7</f>
        <v>---</v>
      </c>
      <c s="551" r="E47"/>
      <c s="551" r="F47"/>
      <c s="551" r="G47"/>
      <c s="551" r="H47"/>
      <c s="671" r="I47"/>
      <c s="702" r="J47"/>
      <c s="848" r="K47"/>
      <c s="550" r="L47"/>
      <c s="104" r="M47"/>
      <c s="550" r="N47"/>
      <c t="str" s="589" r="O47">
        <f>IF((AH$28=2),IF(ISBLANK(N47),O46,N47),IF(ISNUMBER(N47),(MAX(O$44:O46)+N47),O46))</f>
        <v/>
      </c>
      <c s="694" r="P47"/>
      <c s="273" r="Q47">
        <f>IF(ISNUMBER(P47),((Q46+P47)-R46),Q46)</f>
        <v>100</v>
      </c>
      <c s="694" r="R47"/>
      <c s="821" r="S47"/>
      <c s="550" r="T47"/>
      <c s="550" r="U47"/>
      <c s="550" r="V47"/>
      <c s="550" r="W47"/>
      <c s="550" r="X47"/>
      <c s="550" r="Y47"/>
      <c t="str" s="470" r="Z47">
        <f>IF(ISNUMBER(S47),(Q47-S47),NA())</f>
        <v>#N/A:explicit</v>
      </c>
      <c t="str" s="470" r="AA47">
        <f>IF(ISNUMBER(T47),IF((AH$22=1),(Z47+T47),(Q47-T47)),NA())</f>
        <v>#N/A:explicit</v>
      </c>
      <c t="str" s="470" r="AB47">
        <f>IF(ISNUMBER(U47),(Q47-U47),NA())</f>
        <v>#N/A:explicit</v>
      </c>
      <c t="str" s="470" r="AC47">
        <f>IF(ISNUMBER(V47),(Q47-V47),NA())</f>
        <v>#N/A:explicit</v>
      </c>
      <c t="str" s="470" r="AD47">
        <f>IF(ISNUMBER(W47),(Q47-W47),NA())</f>
        <v>#N/A:explicit</v>
      </c>
      <c t="str" s="470" r="AE47">
        <f>IF(ISNUMBER(X47),(Q47-X47),NA())</f>
        <v>#N/A:explicit</v>
      </c>
      <c t="str" s="552" r="AF47">
        <f>IF(ISNUMBER(Z47),Z47,"---")</f>
        <v>---</v>
      </c>
      <c s="142" r="AG47"/>
      <c t="str" s="142" r="AH47">
        <f>IF(ISBLANK(L47),NA(),MIN(AF$44:AF$361))</f>
        <v>#N/A:explicit</v>
      </c>
      <c t="str" s="142" r="AI47">
        <f>IF(ISNA(AA47),Z47,AA47)</f>
        <v>#N/A:explicit</v>
      </c>
      <c s="142" r="AJ47">
        <f>MIN(AF$44:AF$361)</f>
        <v>0</v>
      </c>
      <c s="142" r="AK47"/>
      <c t="str" s="142" r="AL47">
        <f>IF(ISNUMBER(AB47),O47,"---")</f>
        <v>---</v>
      </c>
      <c t="str" s="80" r="AM47">
        <f>IF(ISNUMBER(AB47),AB47,"---")</f>
        <v>---</v>
      </c>
      <c s="80" r="AN47"/>
      <c t="str" s="142" r="AO47">
        <f>IF((M47="r"),Z47,NA())</f>
        <v>#N/A:explicit</v>
      </c>
      <c t="str" s="142" r="AP47">
        <f>IF((M47="p"),Z47,NA())</f>
        <v>#N/A:explicit</v>
      </c>
      <c t="str" s="142" r="AQ47">
        <f>IF((M47="n"),Z47,NA())</f>
        <v>#N/A:explicit</v>
      </c>
      <c t="str" s="142" r="AR47">
        <f>IF((M47="g"),Z47,NA())</f>
        <v>#N/A:explicit</v>
      </c>
      <c s="142" r="AS47"/>
      <c t="str" s="142" r="AT47">
        <f>IF((COUNTA($M47:$M$361)=0),"---",IF(AND(($M47="r"),(COUNTA($M48:$M$361)&gt;0)),(MAX(AT$44:AT46)+1),IF(OR(($M46="p"),($M46="n"),($M46="g")),"---",AT46)))</f>
        <v>---</v>
      </c>
      <c t="str" s="142" r="AU47">
        <f>IF((COUNTA($M47:$M$361)=0),"---",IF(AND(($M47="p"),(COUNTA($M48:$M$361)&gt;0)),(MAX(AU$44:AU46)+1),IF(OR(($M46="r"),($M46="n"),($M46="g")),"---",AU46)))</f>
        <v>---</v>
      </c>
      <c t="str" s="142" r="AV47">
        <f>IF((COUNTA($M47:$M$361)=0),"---",IF(AND(($M47="n"),(COUNTA($M48:$M$361)&gt;0)),(MAX(AV$44:AV46)+1),IF(OR(($M46="r"),($M46="p"),($M46="g")),"---",AV46)))</f>
        <v>---</v>
      </c>
      <c t="str" s="142" r="AW47">
        <f>IF((COUNTA($M47:$M$361)=0),"---",IF(AND(($M47="g"),(COUNTA($M48:$M$361)&gt;0)),(MAX(AW$44:AW46)+1),IF(OR(($M46="r"),($M46="p"),($M46="n")),"---",AW46)))</f>
        <v>---</v>
      </c>
      <c s="676" r="AX47">
        <f>IF((M47="p"),(1+MAX(AX$44:AX46)),0)</f>
        <v>0</v>
      </c>
      <c s="51" r="AY47"/>
      <c s="761" r="AZ47"/>
      <c s="591" r="BA47"/>
      <c t="s" s="166" r="BB47">
        <v>382</v>
      </c>
      <c s="458" r="BC47"/>
      <c s="458" r="BD47"/>
      <c t="str" s="681" r="BE47">
        <f>IF(OR(ISBLANK(BC46),ISBLANK(BD46),ISBLANK(BC47),ISBLANK(BD47)),"---",(ROUND(((((BD46-BD47)/(BC47-BC46))*100)/(10^TRUNC(LOG(ABS((((BD46-BD47)/(BC47-BC46))*100)))))),(2-IF(((((BD46-BD47)/(BC47-BC46))*100)&gt;1),1,0)))*(10^TRUNC(LOG(ABS((((BD46-BD47)/(BC47-BC46))*100)))))))</f>
        <v>---</v>
      </c>
      <c s="873" r="BF47"/>
      <c s="51" r="BG47"/>
      <c s="125" r="BH47"/>
      <c s="125" r="BI47"/>
    </row>
    <row r="48">
      <c s="822" r="A48"/>
      <c s="406" r="B48"/>
      <c t="s" s="836" r="C48">
        <v>18</v>
      </c>
      <c t="str" s="207" r="D48">
        <f>Summary!$N$8</f>
        <v>---</v>
      </c>
      <c s="304" r="E48"/>
      <c s="304" r="F48"/>
      <c s="304" r="G48"/>
      <c s="304" r="H48"/>
      <c s="12" r="I48"/>
      <c s="702" r="J48"/>
      <c s="429" r="K48"/>
      <c s="458" r="L48"/>
      <c s="104" r="M48"/>
      <c s="458" r="N48"/>
      <c t="str" s="589" r="O48">
        <f>IF((AH$28=2),IF(ISBLANK(N48),O47,N48),IF(ISNUMBER(N48),(MAX(O$44:O47)+N48),O47))</f>
        <v/>
      </c>
      <c s="228" r="P48"/>
      <c s="273" r="Q48">
        <f>IF(ISNUMBER(P48),((Q47+P48)-R47),Q47)</f>
        <v>100</v>
      </c>
      <c s="228" r="R48"/>
      <c s="610" r="S48"/>
      <c s="458" r="T48"/>
      <c s="458" r="U48"/>
      <c s="458" r="V48"/>
      <c s="458" r="W48"/>
      <c s="458" r="X48"/>
      <c s="458" r="Y48"/>
      <c t="str" s="620" r="Z48">
        <f>IF(ISNUMBER(S48),(Q48-S48),NA())</f>
        <v>#N/A:explicit</v>
      </c>
      <c t="str" s="620" r="AA48">
        <f>IF(ISNUMBER(T48),IF((AH$22=1),(Z48+T48),(Q48-T48)),NA())</f>
        <v>#N/A:explicit</v>
      </c>
      <c t="str" s="620" r="AB48">
        <f>IF(ISNUMBER(U48),(Q48-U48),NA())</f>
        <v>#N/A:explicit</v>
      </c>
      <c t="str" s="620" r="AC48">
        <f>IF(ISNUMBER(V48),(Q48-V48),NA())</f>
        <v>#N/A:explicit</v>
      </c>
      <c t="str" s="620" r="AD48">
        <f>IF(ISNUMBER(W48),(Q48-W48),NA())</f>
        <v>#N/A:explicit</v>
      </c>
      <c t="str" s="620" r="AE48">
        <f>IF(ISNUMBER(X48),(Q48-X48),NA())</f>
        <v>#N/A:explicit</v>
      </c>
      <c t="str" s="552" r="AF48">
        <f>IF(ISNUMBER(Z48),Z48,"---")</f>
        <v>---</v>
      </c>
      <c s="142" r="AG48"/>
      <c t="str" s="142" r="AH48">
        <f>IF(ISBLANK(L48),NA(),MIN(AF$44:AF$361))</f>
        <v>#N/A:explicit</v>
      </c>
      <c t="str" s="142" r="AI48">
        <f>IF(ISNA(AA48),Z48,AA48)</f>
        <v>#N/A:explicit</v>
      </c>
      <c s="142" r="AJ48">
        <f>MIN(AF$44:AF$361)</f>
        <v>0</v>
      </c>
      <c s="142" r="AK48"/>
      <c t="str" s="142" r="AL48">
        <f>IF(ISNUMBER(AB48),O48,"---")</f>
        <v>---</v>
      </c>
      <c t="str" s="80" r="AM48">
        <f>IF(ISNUMBER(AB48),AB48,"---")</f>
        <v>---</v>
      </c>
      <c s="80" r="AN48"/>
      <c t="str" s="142" r="AO48">
        <f>IF((M48="r"),Z48,NA())</f>
        <v>#N/A:explicit</v>
      </c>
      <c t="str" s="142" r="AP48">
        <f>IF((M48="p"),Z48,NA())</f>
        <v>#N/A:explicit</v>
      </c>
      <c t="str" s="142" r="AQ48">
        <f>IF((M48="n"),Z48,NA())</f>
        <v>#N/A:explicit</v>
      </c>
      <c t="str" s="142" r="AR48">
        <f>IF((M48="g"),Z48,NA())</f>
        <v>#N/A:explicit</v>
      </c>
      <c s="142" r="AS48"/>
      <c t="str" s="142" r="AT48">
        <f>IF((COUNTA($M48:$M$361)=0),"---",IF(AND(($M48="r"),(COUNTA($M49:$M$361)&gt;0)),(MAX(AT$44:AT47)+1),IF(OR(($M47="p"),($M47="n"),($M47="g")),"---",AT47)))</f>
        <v>---</v>
      </c>
      <c t="str" s="142" r="AU48">
        <f>IF((COUNTA($M48:$M$361)=0),"---",IF(AND(($M48="p"),(COUNTA($M49:$M$361)&gt;0)),(MAX(AU$44:AU47)+1),IF(OR(($M47="r"),($M47="n"),($M47="g")),"---",AU47)))</f>
        <v>---</v>
      </c>
      <c t="str" s="142" r="AV48">
        <f>IF((COUNTA($M48:$M$361)=0),"---",IF(AND(($M48="n"),(COUNTA($M49:$M$361)&gt;0)),(MAX(AV$44:AV47)+1),IF(OR(($M47="r"),($M47="p"),($M47="g")),"---",AV47)))</f>
        <v>---</v>
      </c>
      <c t="str" s="142" r="AW48">
        <f>IF((COUNTA($M48:$M$361)=0),"---",IF(AND(($M48="g"),(COUNTA($M49:$M$361)&gt;0)),(MAX(AW$44:AW47)+1),IF(OR(($M47="r"),($M47="p"),($M47="n")),"---",AW47)))</f>
        <v>---</v>
      </c>
      <c s="676" r="AX48">
        <f>IF((M48="p"),(1+MAX(AX$44:AX47)),0)</f>
        <v>0</v>
      </c>
      <c s="51" r="AY48"/>
      <c s="761" r="AZ48"/>
      <c s="591" r="BA48"/>
      <c s="579" r="BB48"/>
      <c s="399" r="BC48"/>
      <c s="399" r="BD48"/>
      <c s="283" r="BE48"/>
      <c s="847" r="BF48"/>
      <c s="51" r="BG48"/>
      <c s="125" r="BH48"/>
      <c s="125" r="BI48"/>
    </row>
    <row customHeight="1" r="49" ht="13.5">
      <c s="822" r="A49"/>
      <c s="406" r="B49"/>
      <c s="482" r="C49"/>
      <c s="207" r="D49"/>
      <c s="304" r="E49"/>
      <c s="304" r="F49"/>
      <c s="304" r="G49"/>
      <c s="304" r="H49"/>
      <c s="12" r="I49"/>
      <c s="702" r="J49"/>
      <c s="429" r="K49"/>
      <c s="458" r="L49"/>
      <c s="104" r="M49"/>
      <c s="458" r="N49"/>
      <c t="str" s="589" r="O49">
        <f>IF((AH$28=2),IF(ISBLANK(N49),O48,N49),IF(ISNUMBER(N49),(MAX(O$44:O48)+N49),O48))</f>
        <v/>
      </c>
      <c s="228" r="P49"/>
      <c s="273" r="Q49">
        <f>IF(ISNUMBER(P49),((Q48+P49)-R48),Q48)</f>
        <v>100</v>
      </c>
      <c s="228" r="R49"/>
      <c s="610" r="S49"/>
      <c s="458" r="T49"/>
      <c s="458" r="U49"/>
      <c s="458" r="V49"/>
      <c s="458" r="W49"/>
      <c s="458" r="X49"/>
      <c s="458" r="Y49"/>
      <c t="str" s="620" r="Z49">
        <f>IF(ISNUMBER(S49),(Q49-S49),NA())</f>
        <v>#N/A:explicit</v>
      </c>
      <c t="str" s="620" r="AA49">
        <f>IF(ISNUMBER(T49),IF((AH$22=1),(Z49+T49),(Q49-T49)),NA())</f>
        <v>#N/A:explicit</v>
      </c>
      <c t="str" s="620" r="AB49">
        <f>IF(ISNUMBER(U49),(Q49-U49),NA())</f>
        <v>#N/A:explicit</v>
      </c>
      <c t="str" s="620" r="AC49">
        <f>IF(ISNUMBER(V49),(Q49-V49),NA())</f>
        <v>#N/A:explicit</v>
      </c>
      <c t="str" s="620" r="AD49">
        <f>IF(ISNUMBER(W49),(Q49-W49),NA())</f>
        <v>#N/A:explicit</v>
      </c>
      <c t="str" s="620" r="AE49">
        <f>IF(ISNUMBER(X49),(Q49-X49),NA())</f>
        <v>#N/A:explicit</v>
      </c>
      <c t="str" s="552" r="AF49">
        <f>IF(ISNUMBER(Z49),Z49,"---")</f>
        <v>---</v>
      </c>
      <c s="142" r="AG49"/>
      <c t="str" s="142" r="AH49">
        <f>IF(ISBLANK(L49),NA(),MIN(AF$44:AF$361))</f>
        <v>#N/A:explicit</v>
      </c>
      <c t="str" s="142" r="AI49">
        <f>IF(ISNA(AA49),Z49,AA49)</f>
        <v>#N/A:explicit</v>
      </c>
      <c s="142" r="AJ49">
        <f>MIN(AF$44:AF$361)</f>
        <v>0</v>
      </c>
      <c s="142" r="AK49"/>
      <c t="str" s="142" r="AL49">
        <f>IF(ISNUMBER(AB49),O49,"---")</f>
        <v>---</v>
      </c>
      <c t="str" s="80" r="AM49">
        <f>IF(ISNUMBER(AB49),AB49,"---")</f>
        <v>---</v>
      </c>
      <c s="80" r="AN49"/>
      <c t="str" s="142" r="AO49">
        <f>IF((M49="r"),Z49,NA())</f>
        <v>#N/A:explicit</v>
      </c>
      <c t="str" s="142" r="AP49">
        <f>IF((M49="p"),Z49,NA())</f>
        <v>#N/A:explicit</v>
      </c>
      <c t="str" s="142" r="AQ49">
        <f>IF((M49="n"),Z49,NA())</f>
        <v>#N/A:explicit</v>
      </c>
      <c t="str" s="142" r="AR49">
        <f>IF((M49="g"),Z49,NA())</f>
        <v>#N/A:explicit</v>
      </c>
      <c s="142" r="AS49"/>
      <c t="str" s="142" r="AT49">
        <f>IF((COUNTA($M49:$M$361)=0),"---",IF(AND(($M49="r"),(COUNTA($M50:$M$361)&gt;0)),(MAX(AT$44:AT48)+1),IF(OR(($M48="p"),($M48="n"),($M48="g")),"---",AT48)))</f>
        <v>---</v>
      </c>
      <c t="str" s="142" r="AU49">
        <f>IF((COUNTA($M49:$M$361)=0),"---",IF(AND(($M49="p"),(COUNTA($M50:$M$361)&gt;0)),(MAX(AU$44:AU48)+1),IF(OR(($M48="r"),($M48="n"),($M48="g")),"---",AU48)))</f>
        <v>---</v>
      </c>
      <c t="str" s="142" r="AV49">
        <f>IF((COUNTA($M49:$M$361)=0),"---",IF(AND(($M49="n"),(COUNTA($M50:$M$361)&gt;0)),(MAX(AV$44:AV48)+1),IF(OR(($M48="r"),($M48="p"),($M48="g")),"---",AV48)))</f>
        <v>---</v>
      </c>
      <c t="str" s="142" r="AW49">
        <f>IF((COUNTA($M49:$M$361)=0),"---",IF(AND(($M49="g"),(COUNTA($M50:$M$361)&gt;0)),(MAX(AW$44:AW48)+1),IF(OR(($M48="r"),($M48="p"),($M48="n")),"---",AW48)))</f>
        <v>---</v>
      </c>
      <c s="676" r="AX49">
        <f>IF((M49="p"),(1+MAX(AX$44:AX48)),0)</f>
        <v>0</v>
      </c>
      <c s="51" r="AY49"/>
      <c s="761" r="AZ49"/>
      <c s="591" r="BA49"/>
      <c t="s" s="166" r="BB49">
        <v>374</v>
      </c>
      <c s="458" r="BC49"/>
      <c s="458" r="BD49"/>
      <c s="495" r="BE49"/>
      <c s="167" r="BF49"/>
      <c s="51" r="BG49"/>
      <c s="125" r="BH49"/>
      <c s="125" r="BI49"/>
    </row>
    <row customHeight="1" r="50" ht="13.5">
      <c s="822" r="A50"/>
      <c s="406" r="B50"/>
      <c s="482" r="C50"/>
      <c s="207" r="D50"/>
      <c s="304" r="E50"/>
      <c s="304" r="F50"/>
      <c s="304" r="G50"/>
      <c s="304" r="H50"/>
      <c s="12" r="I50"/>
      <c s="702" r="J50"/>
      <c s="429" r="K50"/>
      <c s="458" r="L50"/>
      <c s="104" r="M50"/>
      <c s="458" r="N50"/>
      <c t="str" s="589" r="O50">
        <f>IF((AH$28=2),IF(ISBLANK(N50),O49,N50),IF(ISNUMBER(N50),(MAX(O$44:O49)+N50),O49))</f>
        <v/>
      </c>
      <c s="228" r="P50"/>
      <c s="273" r="Q50">
        <f>IF(ISNUMBER(P50),((Q49+P50)-R49),Q49)</f>
        <v>100</v>
      </c>
      <c s="228" r="R50"/>
      <c s="610" r="S50"/>
      <c s="458" r="T50"/>
      <c s="458" r="U50"/>
      <c s="458" r="V50"/>
      <c s="458" r="W50"/>
      <c s="458" r="X50"/>
      <c s="458" r="Y50"/>
      <c t="str" s="620" r="Z50">
        <f>IF(ISNUMBER(S50),(Q50-S50),NA())</f>
        <v>#N/A:explicit</v>
      </c>
      <c t="str" s="620" r="AA50">
        <f>IF(ISNUMBER(T50),IF((AH$22=1),(Z50+T50),(Q50-T50)),NA())</f>
        <v>#N/A:explicit</v>
      </c>
      <c t="str" s="620" r="AB50">
        <f>IF(ISNUMBER(U50),(Q50-U50),NA())</f>
        <v>#N/A:explicit</v>
      </c>
      <c t="str" s="620" r="AC50">
        <f>IF(ISNUMBER(V50),(Q50-V50),NA())</f>
        <v>#N/A:explicit</v>
      </c>
      <c t="str" s="620" r="AD50">
        <f>IF(ISNUMBER(W50),(Q50-W50),NA())</f>
        <v>#N/A:explicit</v>
      </c>
      <c t="str" s="620" r="AE50">
        <f>IF(ISNUMBER(X50),(Q50-X50),NA())</f>
        <v>#N/A:explicit</v>
      </c>
      <c t="str" s="552" r="AF50">
        <f>IF(ISNUMBER(Z50),Z50,"---")</f>
        <v>---</v>
      </c>
      <c s="142" r="AG50"/>
      <c t="str" s="142" r="AH50">
        <f>IF(ISBLANK(L50),NA(),MIN(AF$44:AF$361))</f>
        <v>#N/A:explicit</v>
      </c>
      <c t="str" s="142" r="AI50">
        <f>IF(ISNA(AA50),Z50,AA50)</f>
        <v>#N/A:explicit</v>
      </c>
      <c s="142" r="AJ50">
        <f>MIN(AF$44:AF$361)</f>
        <v>0</v>
      </c>
      <c s="142" r="AK50"/>
      <c t="str" s="142" r="AL50">
        <f>IF(ISNUMBER(AB50),O50,"---")</f>
        <v>---</v>
      </c>
      <c t="str" s="80" r="AM50">
        <f>IF(ISNUMBER(AB50),AB50,"---")</f>
        <v>---</v>
      </c>
      <c s="80" r="AN50"/>
      <c t="str" s="142" r="AO50">
        <f>IF((M50="r"),Z50,NA())</f>
        <v>#N/A:explicit</v>
      </c>
      <c t="str" s="142" r="AP50">
        <f>IF((M50="p"),Z50,NA())</f>
        <v>#N/A:explicit</v>
      </c>
      <c t="str" s="142" r="AQ50">
        <f>IF((M50="n"),Z50,NA())</f>
        <v>#N/A:explicit</v>
      </c>
      <c t="str" s="142" r="AR50">
        <f>IF((M50="g"),Z50,NA())</f>
        <v>#N/A:explicit</v>
      </c>
      <c s="142" r="AS50"/>
      <c t="str" s="142" r="AT50">
        <f>IF((COUNTA($M50:$M$361)=0),"---",IF(AND(($M50="r"),(COUNTA($M51:$M$361)&gt;0)),(MAX(AT$44:AT49)+1),IF(OR(($M49="p"),($M49="n"),($M49="g")),"---",AT49)))</f>
        <v>---</v>
      </c>
      <c t="str" s="142" r="AU50">
        <f>IF((COUNTA($M50:$M$361)=0),"---",IF(AND(($M50="p"),(COUNTA($M51:$M$361)&gt;0)),(MAX(AU$44:AU49)+1),IF(OR(($M49="r"),($M49="n"),($M49="g")),"---",AU49)))</f>
        <v>---</v>
      </c>
      <c t="str" s="142" r="AV50">
        <f>IF((COUNTA($M50:$M$361)=0),"---",IF(AND(($M50="n"),(COUNTA($M51:$M$361)&gt;0)),(MAX(AV$44:AV49)+1),IF(OR(($M49="r"),($M49="p"),($M49="g")),"---",AV49)))</f>
        <v>---</v>
      </c>
      <c t="str" s="142" r="AW50">
        <f>IF((COUNTA($M50:$M$361)=0),"---",IF(AND(($M50="g"),(COUNTA($M51:$M$361)&gt;0)),(MAX(AW$44:AW49)+1),IF(OR(($M49="r"),($M49="p"),($M49="n")),"---",AW49)))</f>
        <v>---</v>
      </c>
      <c s="676" r="AX50">
        <f>IF((M50="p"),(1+MAX(AX$44:AX49)),0)</f>
        <v>0</v>
      </c>
      <c s="51" r="AY50"/>
      <c s="761" r="AZ50"/>
      <c s="591" r="BA50"/>
      <c t="s" s="166" r="BB50">
        <v>382</v>
      </c>
      <c s="458" r="BC50"/>
      <c s="458" r="BD50"/>
      <c t="str" s="681" r="BE50">
        <f>IF(OR(ISBLANK(BC49),ISBLANK(BD49),ISBLANK(BC50),ISBLANK(BD50)),"---",(ROUND(((((BD49-BD50)/(BC50-BC49))*100)/(10^TRUNC(LOG(ABS((((BD49-BD50)/(BC50-BC49))*100)))))),(2-IF(((((BD49-BD50)/(BC50-BC49))*100)&gt;1),1,0)))*(10^TRUNC(LOG(ABS((((BD49-BD50)/(BC50-BC49))*100)))))))</f>
        <v>---</v>
      </c>
      <c s="873" r="BF50"/>
      <c s="51" r="BG50"/>
      <c s="125" r="BH50"/>
      <c s="125" r="BI50"/>
    </row>
    <row r="51">
      <c s="822" r="A51"/>
      <c s="406" r="B51"/>
      <c t="s" s="836" r="C51">
        <v>24</v>
      </c>
      <c t="str" s="624" r="D51">
        <f>Summary!$N$11</f>
        <v>---</v>
      </c>
      <c s="551" r="E51"/>
      <c s="551" r="F51"/>
      <c s="551" r="G51"/>
      <c s="551" r="H51"/>
      <c s="671" r="I51"/>
      <c s="702" r="J51"/>
      <c s="848" r="K51"/>
      <c s="550" r="L51"/>
      <c s="104" r="M51"/>
      <c s="550" r="N51"/>
      <c t="str" s="589" r="O51">
        <f>IF((AH$28=2),IF(ISBLANK(N51),O50,N51),IF(ISNUMBER(N51),(MAX(O$44:O50)+N51),O50))</f>
        <v/>
      </c>
      <c s="694" r="P51"/>
      <c s="273" r="Q51">
        <f>IF(ISNUMBER(P51),((Q50+P51)-R50),Q50)</f>
        <v>100</v>
      </c>
      <c s="694" r="R51"/>
      <c s="821" r="S51"/>
      <c s="550" r="T51"/>
      <c s="550" r="U51"/>
      <c s="550" r="V51"/>
      <c s="550" r="W51"/>
      <c s="550" r="X51"/>
      <c s="550" r="Y51"/>
      <c t="str" s="470" r="Z51">
        <f>IF(ISNUMBER(S51),(Q51-S51),NA())</f>
        <v>#N/A:explicit</v>
      </c>
      <c t="str" s="470" r="AA51">
        <f>IF(ISNUMBER(T51),IF((AH$22=1),(Z51+T51),(Q51-T51)),NA())</f>
        <v>#N/A:explicit</v>
      </c>
      <c t="str" s="470" r="AB51">
        <f>IF(ISNUMBER(U51),(Q51-U51),NA())</f>
        <v>#N/A:explicit</v>
      </c>
      <c t="str" s="470" r="AC51">
        <f>IF(ISNUMBER(V51),(Q51-V51),NA())</f>
        <v>#N/A:explicit</v>
      </c>
      <c t="str" s="470" r="AD51">
        <f>IF(ISNUMBER(W51),(Q51-W51),NA())</f>
        <v>#N/A:explicit</v>
      </c>
      <c t="str" s="470" r="AE51">
        <f>IF(ISNUMBER(X51),(Q51-X51),NA())</f>
        <v>#N/A:explicit</v>
      </c>
      <c t="str" s="552" r="AF51">
        <f>IF(ISNUMBER(Z51),Z51,"---")</f>
        <v>---</v>
      </c>
      <c s="142" r="AG51"/>
      <c t="str" s="142" r="AH51">
        <f>IF(ISBLANK(L51),NA(),MIN(AF$44:AF$361))</f>
        <v>#N/A:explicit</v>
      </c>
      <c t="str" s="142" r="AI51">
        <f>IF(ISNA(AA51),Z51,AA51)</f>
        <v>#N/A:explicit</v>
      </c>
      <c s="142" r="AJ51">
        <f>MIN(AF$44:AF$361)</f>
        <v>0</v>
      </c>
      <c s="142" r="AK51"/>
      <c t="str" s="142" r="AL51">
        <f>IF(ISNUMBER(AB51),O51,"---")</f>
        <v>---</v>
      </c>
      <c t="str" s="80" r="AM51">
        <f>IF(ISNUMBER(AB51),AB51,"---")</f>
        <v>---</v>
      </c>
      <c s="80" r="AN51"/>
      <c t="str" s="142" r="AO51">
        <f>IF((M51="r"),Z51,NA())</f>
        <v>#N/A:explicit</v>
      </c>
      <c t="str" s="142" r="AP51">
        <f>IF((M51="p"),Z51,NA())</f>
        <v>#N/A:explicit</v>
      </c>
      <c t="str" s="142" r="AQ51">
        <f>IF((M51="n"),Z51,NA())</f>
        <v>#N/A:explicit</v>
      </c>
      <c t="str" s="142" r="AR51">
        <f>IF((M51="g"),Z51,NA())</f>
        <v>#N/A:explicit</v>
      </c>
      <c s="142" r="AS51"/>
      <c t="str" s="142" r="AT51">
        <f>IF((COUNTA($M51:$M$361)=0),"---",IF(AND(($M51="r"),(COUNTA($M52:$M$361)&gt;0)),(MAX(AT$44:AT50)+1),IF(OR(($M50="p"),($M50="n"),($M50="g")),"---",AT50)))</f>
        <v>---</v>
      </c>
      <c t="str" s="142" r="AU51">
        <f>IF((COUNTA($M51:$M$361)=0),"---",IF(AND(($M51="p"),(COUNTA($M52:$M$361)&gt;0)),(MAX(AU$44:AU50)+1),IF(OR(($M50="r"),($M50="n"),($M50="g")),"---",AU50)))</f>
        <v>---</v>
      </c>
      <c t="str" s="142" r="AV51">
        <f>IF((COUNTA($M51:$M$361)=0),"---",IF(AND(($M51="n"),(COUNTA($M52:$M$361)&gt;0)),(MAX(AV$44:AV50)+1),IF(OR(($M50="r"),($M50="p"),($M50="g")),"---",AV50)))</f>
        <v>---</v>
      </c>
      <c t="str" s="142" r="AW51">
        <f>IF((COUNTA($M51:$M$361)=0),"---",IF(AND(($M51="g"),(COUNTA($M52:$M$361)&gt;0)),(MAX(AW$44:AW50)+1),IF(OR(($M50="r"),($M50="p"),($M50="n")),"---",AW50)))</f>
        <v>---</v>
      </c>
      <c s="676" r="AX51">
        <f>IF((M51="p"),(1+MAX(AX$44:AX50)),0)</f>
        <v>0</v>
      </c>
      <c s="51" r="AY51"/>
      <c s="761" r="AZ51"/>
      <c s="591" r="BA51"/>
      <c s="579" r="BB51"/>
      <c s="399" r="BC51"/>
      <c s="399" r="BD51"/>
      <c s="283" r="BE51"/>
      <c s="847" r="BF51"/>
      <c s="51" r="BG51"/>
      <c s="125" r="BH51"/>
      <c s="125" r="BI51"/>
    </row>
    <row customHeight="1" r="52" ht="13.5">
      <c s="822" r="A52"/>
      <c s="406" r="B52"/>
      <c t="s" s="836" r="C52">
        <v>26</v>
      </c>
      <c t="str" s="624" r="D52">
        <f>Summary!$N$12</f>
        <v>---</v>
      </c>
      <c s="551" r="E52"/>
      <c s="551" r="F52"/>
      <c s="551" r="G52"/>
      <c s="551" r="H52"/>
      <c s="671" r="I52"/>
      <c s="702" r="J52"/>
      <c s="848" r="K52"/>
      <c s="550" r="L52"/>
      <c s="104" r="M52"/>
      <c s="550" r="N52"/>
      <c t="str" s="589" r="O52">
        <f>IF((AH$28=2),IF(ISBLANK(N52),O51,N52),IF(ISNUMBER(N52),(MAX(O$44:O51)+N52),O51))</f>
        <v/>
      </c>
      <c s="694" r="P52"/>
      <c s="273" r="Q52">
        <f>IF(ISNUMBER(P52),((Q51+P52)-R51),Q51)</f>
        <v>100</v>
      </c>
      <c s="694" r="R52"/>
      <c s="821" r="S52"/>
      <c s="550" r="T52"/>
      <c s="550" r="U52"/>
      <c s="550" r="V52"/>
      <c s="550" r="W52"/>
      <c s="550" r="X52"/>
      <c s="550" r="Y52"/>
      <c t="str" s="470" r="Z52">
        <f>IF(ISNUMBER(S52),(Q52-S52),NA())</f>
        <v>#N/A:explicit</v>
      </c>
      <c t="str" s="470" r="AA52">
        <f>IF(ISNUMBER(T52),IF((AH$22=1),(Z52+T52),(Q52-T52)),NA())</f>
        <v>#N/A:explicit</v>
      </c>
      <c t="str" s="470" r="AB52">
        <f>IF(ISNUMBER(U52),(Q52-U52),NA())</f>
        <v>#N/A:explicit</v>
      </c>
      <c t="str" s="470" r="AC52">
        <f>IF(ISNUMBER(V52),(Q52-V52),NA())</f>
        <v>#N/A:explicit</v>
      </c>
      <c t="str" s="470" r="AD52">
        <f>IF(ISNUMBER(W52),(Q52-W52),NA())</f>
        <v>#N/A:explicit</v>
      </c>
      <c t="str" s="470" r="AE52">
        <f>IF(ISNUMBER(X52),(Q52-X52),NA())</f>
        <v>#N/A:explicit</v>
      </c>
      <c t="str" s="552" r="AF52">
        <f>IF(ISNUMBER(Z52),Z52,"---")</f>
        <v>---</v>
      </c>
      <c s="142" r="AG52"/>
      <c t="str" s="142" r="AH52">
        <f>IF(ISBLANK(L52),NA(),MIN(AF$44:AF$361))</f>
        <v>#N/A:explicit</v>
      </c>
      <c t="str" s="142" r="AI52">
        <f>IF(ISNA(AA52),Z52,AA52)</f>
        <v>#N/A:explicit</v>
      </c>
      <c s="142" r="AJ52">
        <f>MIN(AF$44:AF$361)</f>
        <v>0</v>
      </c>
      <c s="142" r="AK52"/>
      <c t="str" s="142" r="AL52">
        <f>IF(ISNUMBER(AB52),O52,"---")</f>
        <v>---</v>
      </c>
      <c t="str" s="80" r="AM52">
        <f>IF(ISNUMBER(AB52),AB52,"---")</f>
        <v>---</v>
      </c>
      <c s="80" r="AN52"/>
      <c t="str" s="142" r="AO52">
        <f>IF((M52="r"),Z52,NA())</f>
        <v>#N/A:explicit</v>
      </c>
      <c t="str" s="142" r="AP52">
        <f>IF((M52="p"),Z52,NA())</f>
        <v>#N/A:explicit</v>
      </c>
      <c t="str" s="142" r="AQ52">
        <f>IF((M52="n"),Z52,NA())</f>
        <v>#N/A:explicit</v>
      </c>
      <c t="str" s="142" r="AR52">
        <f>IF((M52="g"),Z52,NA())</f>
        <v>#N/A:explicit</v>
      </c>
      <c s="142" r="AS52"/>
      <c t="str" s="142" r="AT52">
        <f>IF((COUNTA($M52:$M$361)=0),"---",IF(AND(($M52="r"),(COUNTA($M53:$M$361)&gt;0)),(MAX(AT$44:AT51)+1),IF(OR(($M51="p"),($M51="n"),($M51="g")),"---",AT51)))</f>
        <v>---</v>
      </c>
      <c t="str" s="142" r="AU52">
        <f>IF((COUNTA($M52:$M$361)=0),"---",IF(AND(($M52="p"),(COUNTA($M53:$M$361)&gt;0)),(MAX(AU$44:AU51)+1),IF(OR(($M51="r"),($M51="n"),($M51="g")),"---",AU51)))</f>
        <v>---</v>
      </c>
      <c t="str" s="142" r="AV52">
        <f>IF((COUNTA($M52:$M$361)=0),"---",IF(AND(($M52="n"),(COUNTA($M53:$M$361)&gt;0)),(MAX(AV$44:AV51)+1),IF(OR(($M51="r"),($M51="p"),($M51="g")),"---",AV51)))</f>
        <v>---</v>
      </c>
      <c t="str" s="142" r="AW52">
        <f>IF((COUNTA($M52:$M$361)=0),"---",IF(AND(($M52="g"),(COUNTA($M53:$M$361)&gt;0)),(MAX(AW$44:AW51)+1),IF(OR(($M51="r"),($M51="p"),($M51="n")),"---",AW51)))</f>
        <v>---</v>
      </c>
      <c s="676" r="AX52">
        <f>IF((M52="p"),(1+MAX(AX$44:AX51)),0)</f>
        <v>0</v>
      </c>
      <c s="51" r="AY52"/>
      <c s="761" r="AZ52"/>
      <c s="591" r="BA52"/>
      <c t="s" s="166" r="BB52">
        <v>374</v>
      </c>
      <c s="458" r="BC52"/>
      <c s="458" r="BD52"/>
      <c s="495" r="BE52"/>
      <c s="167" r="BF52"/>
      <c s="51" r="BG52"/>
      <c s="125" r="BH52"/>
      <c s="125" r="BI52"/>
    </row>
    <row customHeight="1" r="53" ht="13.5">
      <c s="822" r="A53"/>
      <c s="406" r="B53"/>
      <c t="s" s="836" r="C53">
        <v>32</v>
      </c>
      <c t="str" s="582" r="D53">
        <f>Summary!$N$14</f>
        <v>---</v>
      </c>
      <c s="551" r="E53"/>
      <c s="551" r="F53"/>
      <c s="551" r="G53"/>
      <c s="551" r="H53"/>
      <c s="671" r="I53"/>
      <c s="702" r="J53"/>
      <c s="848" r="K53"/>
      <c s="550" r="L53"/>
      <c s="104" r="M53"/>
      <c s="550" r="N53"/>
      <c t="str" s="589" r="O53">
        <f>IF((AH$28=2),IF(ISBLANK(N53),O52,N53),IF(ISNUMBER(N53),(MAX(O$44:O52)+N53),O52))</f>
        <v/>
      </c>
      <c s="694" r="P53"/>
      <c s="273" r="Q53">
        <f>IF(ISNUMBER(P53),((Q52+P53)-R52),Q52)</f>
        <v>100</v>
      </c>
      <c s="694" r="R53"/>
      <c s="821" r="S53"/>
      <c s="550" r="T53"/>
      <c s="550" r="U53"/>
      <c s="550" r="V53"/>
      <c s="550" r="W53"/>
      <c s="550" r="X53"/>
      <c s="550" r="Y53"/>
      <c t="str" s="470" r="Z53">
        <f>IF(ISNUMBER(S53),(Q53-S53),NA())</f>
        <v>#N/A:explicit</v>
      </c>
      <c t="str" s="470" r="AA53">
        <f>IF(ISNUMBER(T53),IF((AH$22=1),(Z53+T53),(Q53-T53)),NA())</f>
        <v>#N/A:explicit</v>
      </c>
      <c t="str" s="470" r="AB53">
        <f>IF(ISNUMBER(U53),(Q53-U53),NA())</f>
        <v>#N/A:explicit</v>
      </c>
      <c t="str" s="470" r="AC53">
        <f>IF(ISNUMBER(V53),(Q53-V53),NA())</f>
        <v>#N/A:explicit</v>
      </c>
      <c t="str" s="470" r="AD53">
        <f>IF(ISNUMBER(W53),(Q53-W53),NA())</f>
        <v>#N/A:explicit</v>
      </c>
      <c t="str" s="470" r="AE53">
        <f>IF(ISNUMBER(X53),(Q53-X53),NA())</f>
        <v>#N/A:explicit</v>
      </c>
      <c t="str" s="552" r="AF53">
        <f>IF(ISNUMBER(Z53),Z53,"---")</f>
        <v>---</v>
      </c>
      <c s="142" r="AG53"/>
      <c t="str" s="142" r="AH53">
        <f>IF(ISBLANK(L53),NA(),MIN(AF$44:AF$361))</f>
        <v>#N/A:explicit</v>
      </c>
      <c t="str" s="142" r="AI53">
        <f>IF(ISNA(AA53),Z53,AA53)</f>
        <v>#N/A:explicit</v>
      </c>
      <c s="142" r="AJ53">
        <f>MIN(AF$44:AF$361)</f>
        <v>0</v>
      </c>
      <c s="142" r="AK53"/>
      <c t="str" s="142" r="AL53">
        <f>IF(ISNUMBER(AB53),O53,"---")</f>
        <v>---</v>
      </c>
      <c t="str" s="80" r="AM53">
        <f>IF(ISNUMBER(AB53),AB53,"---")</f>
        <v>---</v>
      </c>
      <c s="80" r="AN53"/>
      <c t="str" s="142" r="AO53">
        <f>IF((M53="r"),Z53,NA())</f>
        <v>#N/A:explicit</v>
      </c>
      <c t="str" s="142" r="AP53">
        <f>IF((M53="p"),Z53,NA())</f>
        <v>#N/A:explicit</v>
      </c>
      <c t="str" s="142" r="AQ53">
        <f>IF((M53="n"),Z53,NA())</f>
        <v>#N/A:explicit</v>
      </c>
      <c t="str" s="142" r="AR53">
        <f>IF((M53="g"),Z53,NA())</f>
        <v>#N/A:explicit</v>
      </c>
      <c s="142" r="AS53"/>
      <c t="str" s="142" r="AT53">
        <f>IF((COUNTA($M53:$M$361)=0),"---",IF(AND(($M53="r"),(COUNTA($M54:$M$361)&gt;0)),(MAX(AT$44:AT52)+1),IF(OR(($M52="p"),($M52="n"),($M52="g")),"---",AT52)))</f>
        <v>---</v>
      </c>
      <c t="str" s="142" r="AU53">
        <f>IF((COUNTA($M53:$M$361)=0),"---",IF(AND(($M53="p"),(COUNTA($M54:$M$361)&gt;0)),(MAX(AU$44:AU52)+1),IF(OR(($M52="r"),($M52="n"),($M52="g")),"---",AU52)))</f>
        <v>---</v>
      </c>
      <c t="str" s="142" r="AV53">
        <f>IF((COUNTA($M53:$M$361)=0),"---",IF(AND(($M53="n"),(COUNTA($M54:$M$361)&gt;0)),(MAX(AV$44:AV52)+1),IF(OR(($M52="r"),($M52="p"),($M52="g")),"---",AV52)))</f>
        <v>---</v>
      </c>
      <c t="str" s="142" r="AW53">
        <f>IF((COUNTA($M53:$M$361)=0),"---",IF(AND(($M53="g"),(COUNTA($M54:$M$361)&gt;0)),(MAX(AW$44:AW52)+1),IF(OR(($M52="r"),($M52="p"),($M52="n")),"---",AW52)))</f>
        <v>---</v>
      </c>
      <c s="676" r="AX53">
        <f>IF((M53="p"),(1+MAX(AX$44:AX52)),0)</f>
        <v>0</v>
      </c>
      <c s="51" r="AY53"/>
      <c s="761" r="AZ53"/>
      <c s="591" r="BA53"/>
      <c t="s" s="166" r="BB53">
        <v>382</v>
      </c>
      <c s="458" r="BC53"/>
      <c s="867" r="BD53"/>
      <c t="str" s="249" r="BE53">
        <f>IF(OR(ISBLANK(BC52),ISBLANK(BD52),ISBLANK(BC53),ISBLANK(BD53)),"---",(ROUND(((((BD52-BD53)/(BC53-BC52))*100)/(10^TRUNC(LOG(ABS((((BD52-BD53)/(BC53-BC52))*100)))))),(2-IF(((((BD52-BD53)/(BC53-BC52))*100)&gt;1),1,0)))*(10^TRUNC(LOG(ABS((((BD52-BD53)/(BC53-BC52))*100)))))))</f>
        <v>---</v>
      </c>
      <c s="873" r="BF53"/>
      <c s="51" r="BG53"/>
      <c s="125" r="BH53"/>
      <c s="125" r="BI53"/>
    </row>
    <row r="54">
      <c s="822" r="A54"/>
      <c s="406" r="B54"/>
      <c t="s" s="836" r="C54">
        <v>34</v>
      </c>
      <c t="str" s="717" r="D54">
        <f>Summary!$N$15</f>
        <v>---</v>
      </c>
      <c s="335" r="E54"/>
      <c s="335" r="F54"/>
      <c s="335" r="G54"/>
      <c s="335" r="H54"/>
      <c s="326" r="I54"/>
      <c s="702" r="J54"/>
      <c s="429" r="K54"/>
      <c s="458" r="L54"/>
      <c s="104" r="M54"/>
      <c s="458" r="N54"/>
      <c t="str" s="589" r="O54">
        <f>IF((AH$28=2),IF(ISBLANK(N54),O53,N54),IF(ISNUMBER(N54),(MAX(O$44:O53)+N54),O53))</f>
        <v/>
      </c>
      <c s="228" r="P54"/>
      <c s="273" r="Q54">
        <f>IF(ISNUMBER(P54),((Q53+P54)-R53),Q53)</f>
        <v>100</v>
      </c>
      <c s="228" r="R54"/>
      <c s="610" r="S54"/>
      <c s="458" r="T54"/>
      <c s="458" r="U54"/>
      <c s="458" r="V54"/>
      <c s="458" r="W54"/>
      <c s="458" r="X54"/>
      <c s="458" r="Y54"/>
      <c t="str" s="620" r="Z54">
        <f>IF(ISNUMBER(S54),(Q54-S54),NA())</f>
        <v>#N/A:explicit</v>
      </c>
      <c t="str" s="620" r="AA54">
        <f>IF(ISNUMBER(T54),IF((AH$22=1),(Z54+T54),(Q54-T54)),NA())</f>
        <v>#N/A:explicit</v>
      </c>
      <c t="str" s="620" r="AB54">
        <f>IF(ISNUMBER(U54),(Q54-U54),NA())</f>
        <v>#N/A:explicit</v>
      </c>
      <c t="str" s="620" r="AC54">
        <f>IF(ISNUMBER(V54),(Q54-V54),NA())</f>
        <v>#N/A:explicit</v>
      </c>
      <c t="str" s="620" r="AD54">
        <f>IF(ISNUMBER(W54),(Q54-W54),NA())</f>
        <v>#N/A:explicit</v>
      </c>
      <c t="str" s="620" r="AE54">
        <f>IF(ISNUMBER(X54),(Q54-X54),NA())</f>
        <v>#N/A:explicit</v>
      </c>
      <c t="str" s="552" r="AF54">
        <f>IF(ISNUMBER(Z54),Z54,"---")</f>
        <v>---</v>
      </c>
      <c s="142" r="AG54"/>
      <c t="str" s="142" r="AH54">
        <f>IF(ISBLANK(L54),NA(),MIN(AF$44:AF$361))</f>
        <v>#N/A:explicit</v>
      </c>
      <c t="str" s="142" r="AI54">
        <f>IF(ISNA(AA54),Z54,AA54)</f>
        <v>#N/A:explicit</v>
      </c>
      <c s="142" r="AJ54">
        <f>MIN(AF$44:AF$361)</f>
        <v>0</v>
      </c>
      <c s="142" r="AK54"/>
      <c t="str" s="142" r="AL54">
        <f>IF(ISNUMBER(AB54),O54,"---")</f>
        <v>---</v>
      </c>
      <c t="str" s="80" r="AM54">
        <f>IF(ISNUMBER(AB54),AB54,"---")</f>
        <v>---</v>
      </c>
      <c s="80" r="AN54"/>
      <c t="str" s="142" r="AO54">
        <f>IF((M54="r"),Z54,NA())</f>
        <v>#N/A:explicit</v>
      </c>
      <c t="str" s="142" r="AP54">
        <f>IF((M54="p"),Z54,NA())</f>
        <v>#N/A:explicit</v>
      </c>
      <c t="str" s="142" r="AQ54">
        <f>IF((M54="n"),Z54,NA())</f>
        <v>#N/A:explicit</v>
      </c>
      <c t="str" s="142" r="AR54">
        <f>IF((M54="g"),Z54,NA())</f>
        <v>#N/A:explicit</v>
      </c>
      <c s="142" r="AS54"/>
      <c t="str" s="142" r="AT54">
        <f>IF((COUNTA($M54:$M$361)=0),"---",IF(AND(($M54="r"),(COUNTA($M55:$M$361)&gt;0)),(MAX(AT$44:AT53)+1),IF(OR(($M53="p"),($M53="n"),($M53="g")),"---",AT53)))</f>
        <v>---</v>
      </c>
      <c t="str" s="142" r="AU54">
        <f>IF((COUNTA($M54:$M$361)=0),"---",IF(AND(($M54="p"),(COUNTA($M55:$M$361)&gt;0)),(MAX(AU$44:AU53)+1),IF(OR(($M53="r"),($M53="n"),($M53="g")),"---",AU53)))</f>
        <v>---</v>
      </c>
      <c t="str" s="142" r="AV54">
        <f>IF((COUNTA($M54:$M$361)=0),"---",IF(AND(($M54="n"),(COUNTA($M55:$M$361)&gt;0)),(MAX(AV$44:AV53)+1),IF(OR(($M53="r"),($M53="p"),($M53="g")),"---",AV53)))</f>
        <v>---</v>
      </c>
      <c t="str" s="142" r="AW54">
        <f>IF((COUNTA($M54:$M$361)=0),"---",IF(AND(($M54="g"),(COUNTA($M55:$M$361)&gt;0)),(MAX(AW$44:AW53)+1),IF(OR(($M53="r"),($M53="p"),($M53="n")),"---",AW53)))</f>
        <v>---</v>
      </c>
      <c s="676" r="AX54">
        <f>IF((M54="p"),(1+MAX(AX$44:AX53)),0)</f>
        <v>0</v>
      </c>
      <c s="51" r="AY54"/>
      <c s="761" r="AZ54"/>
      <c s="591" r="BA54"/>
      <c s="579" r="BB54"/>
      <c s="399" r="BC54"/>
      <c s="399" r="BD54"/>
      <c s="283" r="BE54"/>
      <c s="847" r="BF54"/>
      <c s="51" r="BG54"/>
      <c s="125" r="BH54"/>
      <c s="125" r="BI54"/>
    </row>
    <row customHeight="1" r="55" ht="13.5">
      <c s="822" r="A55"/>
      <c s="406" r="B55"/>
      <c t="s" s="836" r="C55">
        <v>37</v>
      </c>
      <c t="str" s="207" r="D55">
        <f>Summary!$N$16</f>
        <v>---</v>
      </c>
      <c s="304" r="E55"/>
      <c s="304" r="F55"/>
      <c s="304" r="G55"/>
      <c s="304" r="H55"/>
      <c s="12" r="I55"/>
      <c s="702" r="J55"/>
      <c s="429" r="K55"/>
      <c s="458" r="L55"/>
      <c s="104" r="M55"/>
      <c s="458" r="N55"/>
      <c t="str" s="589" r="O55">
        <f>IF((AH$28=2),IF(ISBLANK(N55),O54,N55),IF(ISNUMBER(N55),(MAX(O$44:O54)+N55),O54))</f>
        <v/>
      </c>
      <c s="228" r="P55"/>
      <c s="273" r="Q55">
        <f>IF(ISNUMBER(P55),((Q54+P55)-R54),Q54)</f>
        <v>100</v>
      </c>
      <c s="228" r="R55"/>
      <c s="610" r="S55"/>
      <c s="458" r="T55"/>
      <c s="458" r="U55"/>
      <c s="458" r="V55"/>
      <c s="458" r="W55"/>
      <c s="458" r="X55"/>
      <c s="458" r="Y55"/>
      <c t="str" s="620" r="Z55">
        <f>IF(ISNUMBER(S55),(Q55-S55),NA())</f>
        <v>#N/A:explicit</v>
      </c>
      <c t="str" s="620" r="AA55">
        <f>IF(ISNUMBER(T55),IF((AH$22=1),(Z55+T55),(Q55-T55)),NA())</f>
        <v>#N/A:explicit</v>
      </c>
      <c t="str" s="620" r="AB55">
        <f>IF(ISNUMBER(U55),(Q55-U55),NA())</f>
        <v>#N/A:explicit</v>
      </c>
      <c t="str" s="620" r="AC55">
        <f>IF(ISNUMBER(V55),(Q55-V55),NA())</f>
        <v>#N/A:explicit</v>
      </c>
      <c t="str" s="620" r="AD55">
        <f>IF(ISNUMBER(W55),(Q55-W55),NA())</f>
        <v>#N/A:explicit</v>
      </c>
      <c t="str" s="620" r="AE55">
        <f>IF(ISNUMBER(X55),(Q55-X55),NA())</f>
        <v>#N/A:explicit</v>
      </c>
      <c t="str" s="552" r="AF55">
        <f>IF(ISNUMBER(Z55),Z55,"---")</f>
        <v>---</v>
      </c>
      <c s="142" r="AG55"/>
      <c t="str" s="142" r="AH55">
        <f>IF(ISBLANK(L55),NA(),MIN(AF$44:AF$361))</f>
        <v>#N/A:explicit</v>
      </c>
      <c t="str" s="142" r="AI55">
        <f>IF(ISNA(AA55),Z55,AA55)</f>
        <v>#N/A:explicit</v>
      </c>
      <c s="142" r="AJ55">
        <f>MIN(AF$44:AF$361)</f>
        <v>0</v>
      </c>
      <c s="142" r="AK55"/>
      <c t="str" s="142" r="AL55">
        <f>IF(ISNUMBER(AB55),O55,"---")</f>
        <v>---</v>
      </c>
      <c t="str" s="80" r="AM55">
        <f>IF(ISNUMBER(AB55),AB55,"---")</f>
        <v>---</v>
      </c>
      <c s="80" r="AN55"/>
      <c t="str" s="142" r="AO55">
        <f>IF((M55="r"),Z55,NA())</f>
        <v>#N/A:explicit</v>
      </c>
      <c t="str" s="142" r="AP55">
        <f>IF((M55="p"),Z55,NA())</f>
        <v>#N/A:explicit</v>
      </c>
      <c t="str" s="142" r="AQ55">
        <f>IF((M55="n"),Z55,NA())</f>
        <v>#N/A:explicit</v>
      </c>
      <c t="str" s="142" r="AR55">
        <f>IF((M55="g"),Z55,NA())</f>
        <v>#N/A:explicit</v>
      </c>
      <c s="142" r="AS55"/>
      <c t="str" s="142" r="AT55">
        <f>IF((COUNTA($M55:$M$361)=0),"---",IF(AND(($M55="r"),(COUNTA($M56:$M$361)&gt;0)),(MAX(AT$44:AT54)+1),IF(OR(($M54="p"),($M54="n"),($M54="g")),"---",AT54)))</f>
        <v>---</v>
      </c>
      <c t="str" s="142" r="AU55">
        <f>IF((COUNTA($M55:$M$361)=0),"---",IF(AND(($M55="p"),(COUNTA($M56:$M$361)&gt;0)),(MAX(AU$44:AU54)+1),IF(OR(($M54="r"),($M54="n"),($M54="g")),"---",AU54)))</f>
        <v>---</v>
      </c>
      <c t="str" s="142" r="AV55">
        <f>IF((COUNTA($M55:$M$361)=0),"---",IF(AND(($M55="n"),(COUNTA($M56:$M$361)&gt;0)),(MAX(AV$44:AV54)+1),IF(OR(($M54="r"),($M54="p"),($M54="g")),"---",AV54)))</f>
        <v>---</v>
      </c>
      <c t="str" s="142" r="AW55">
        <f>IF((COUNTA($M55:$M$361)=0),"---",IF(AND(($M55="g"),(COUNTA($M56:$M$361)&gt;0)),(MAX(AW$44:AW54)+1),IF(OR(($M54="r"),($M54="p"),($M54="n")),"---",AW54)))</f>
        <v>---</v>
      </c>
      <c s="676" r="AX55">
        <f>IF((M55="p"),(1+MAX(AX$44:AX54)),0)</f>
        <v>0</v>
      </c>
      <c s="51" r="AY55"/>
      <c s="761" r="AZ55"/>
      <c s="591" r="BA55"/>
      <c t="s" s="166" r="BB55">
        <v>374</v>
      </c>
      <c s="458" r="BC55"/>
      <c s="458" r="BD55"/>
      <c s="495" r="BE55"/>
      <c s="167" r="BF55"/>
      <c s="51" r="BG55"/>
      <c s="125" r="BH55"/>
      <c s="125" r="BI55"/>
    </row>
    <row customHeight="1" r="56" ht="13.5">
      <c s="822" r="A56"/>
      <c s="406" r="B56"/>
      <c s="836" r="C56"/>
      <c s="207" r="D56"/>
      <c s="304" r="E56"/>
      <c s="304" r="F56"/>
      <c s="304" r="G56"/>
      <c s="304" r="H56"/>
      <c s="12" r="I56"/>
      <c s="702" r="J56"/>
      <c s="429" r="K56"/>
      <c s="458" r="L56"/>
      <c s="104" r="M56"/>
      <c s="458" r="N56"/>
      <c t="str" s="589" r="O56">
        <f>IF((AH$28=2),IF(ISBLANK(N56),O55,N56),IF(ISNUMBER(N56),(MAX(O$44:O55)+N56),O55))</f>
        <v/>
      </c>
      <c s="228" r="P56"/>
      <c s="273" r="Q56">
        <f>IF(ISNUMBER(P56),((Q55+P56)-R55),Q55)</f>
        <v>100</v>
      </c>
      <c s="228" r="R56"/>
      <c s="610" r="S56"/>
      <c s="458" r="T56"/>
      <c s="458" r="U56"/>
      <c s="458" r="V56"/>
      <c s="458" r="W56"/>
      <c s="458" r="X56"/>
      <c s="458" r="Y56"/>
      <c t="str" s="620" r="Z56">
        <f>IF(ISNUMBER(S56),(Q56-S56),NA())</f>
        <v>#N/A:explicit</v>
      </c>
      <c t="str" s="620" r="AA56">
        <f>IF(ISNUMBER(T56),IF((AH$22=1),(Z56+T56),(Q56-T56)),NA())</f>
        <v>#N/A:explicit</v>
      </c>
      <c t="str" s="620" r="AB56">
        <f>IF(ISNUMBER(U56),(Q56-U56),NA())</f>
        <v>#N/A:explicit</v>
      </c>
      <c t="str" s="620" r="AC56">
        <f>IF(ISNUMBER(V56),(Q56-V56),NA())</f>
        <v>#N/A:explicit</v>
      </c>
      <c t="str" s="620" r="AD56">
        <f>IF(ISNUMBER(W56),(Q56-W56),NA())</f>
        <v>#N/A:explicit</v>
      </c>
      <c t="str" s="620" r="AE56">
        <f>IF(ISNUMBER(X56),(Q56-X56),NA())</f>
        <v>#N/A:explicit</v>
      </c>
      <c t="str" s="552" r="AF56">
        <f>IF(ISNUMBER(Z56),Z56,"---")</f>
        <v>---</v>
      </c>
      <c s="142" r="AG56"/>
      <c t="str" s="142" r="AH56">
        <f>IF(ISBLANK(L56),NA(),MIN(AF$44:AF$361))</f>
        <v>#N/A:explicit</v>
      </c>
      <c t="str" s="142" r="AI56">
        <f>IF(ISNA(AA56),Z56,AA56)</f>
        <v>#N/A:explicit</v>
      </c>
      <c s="142" r="AJ56">
        <f>MIN(AF$44:AF$361)</f>
        <v>0</v>
      </c>
      <c s="142" r="AK56"/>
      <c t="str" s="142" r="AL56">
        <f>IF(ISNUMBER(AB56),O56,"---")</f>
        <v>---</v>
      </c>
      <c t="str" s="80" r="AM56">
        <f>IF(ISNUMBER(AB56),AB56,"---")</f>
        <v>---</v>
      </c>
      <c s="80" r="AN56"/>
      <c t="str" s="142" r="AO56">
        <f>IF((M56="r"),Z56,NA())</f>
        <v>#N/A:explicit</v>
      </c>
      <c t="str" s="142" r="AP56">
        <f>IF((M56="p"),Z56,NA())</f>
        <v>#N/A:explicit</v>
      </c>
      <c t="str" s="142" r="AQ56">
        <f>IF((M56="n"),Z56,NA())</f>
        <v>#N/A:explicit</v>
      </c>
      <c t="str" s="142" r="AR56">
        <f>IF((M56="g"),Z56,NA())</f>
        <v>#N/A:explicit</v>
      </c>
      <c s="142" r="AS56"/>
      <c t="str" s="142" r="AT56">
        <f>IF((COUNTA($M56:$M$361)=0),"---",IF(AND(($M56="r"),(COUNTA($M57:$M$361)&gt;0)),(MAX(AT$44:AT55)+1),IF(OR(($M55="p"),($M55="n"),($M55="g")),"---",AT55)))</f>
        <v>---</v>
      </c>
      <c t="str" s="142" r="AU56">
        <f>IF((COUNTA($M56:$M$361)=0),"---",IF(AND(($M56="p"),(COUNTA($M57:$M$361)&gt;0)),(MAX(AU$44:AU55)+1),IF(OR(($M55="r"),($M55="n"),($M55="g")),"---",AU55)))</f>
        <v>---</v>
      </c>
      <c t="str" s="142" r="AV56">
        <f>IF((COUNTA($M56:$M$361)=0),"---",IF(AND(($M56="n"),(COUNTA($M57:$M$361)&gt;0)),(MAX(AV$44:AV55)+1),IF(OR(($M55="r"),($M55="p"),($M55="g")),"---",AV55)))</f>
        <v>---</v>
      </c>
      <c t="str" s="142" r="AW56">
        <f>IF((COUNTA($M56:$M$361)=0),"---",IF(AND(($M56="g"),(COUNTA($M57:$M$361)&gt;0)),(MAX(AW$44:AW55)+1),IF(OR(($M55="r"),($M55="p"),($M55="n")),"---",AW55)))</f>
        <v>---</v>
      </c>
      <c s="676" r="AX56">
        <f>IF((M56="p"),(1+MAX(AX$44:AX55)),0)</f>
        <v>0</v>
      </c>
      <c s="51" r="AY56"/>
      <c s="761" r="AZ56"/>
      <c s="591" r="BA56"/>
      <c t="s" s="166" r="BB56">
        <v>382</v>
      </c>
      <c s="458" r="BC56"/>
      <c s="867" r="BD56"/>
      <c t="str" s="249" r="BE56">
        <f>IF(OR(ISBLANK(BC55),ISBLANK(BD55),ISBLANK(BC56),ISBLANK(BD56)),"---",(ROUND(((((BD55-BD56)/(BC56-BC55))*100)/(10^TRUNC(LOG(ABS((((BD55-BD56)/(BC56-BC55))*100)))))),(2-IF(((((BD55-BD56)/(BC56-BC55))*100)&gt;1),1,0)))*(10^TRUNC(LOG(ABS((((BD55-BD56)/(BC56-BC55))*100)))))))</f>
        <v>---</v>
      </c>
      <c s="873" r="BF56"/>
      <c s="51" r="BG56"/>
      <c s="125" r="BH56"/>
      <c s="125" r="BI56"/>
    </row>
    <row r="57">
      <c s="822" r="A57"/>
      <c s="406" r="B57"/>
      <c t="s" s="836" r="C57">
        <v>403</v>
      </c>
      <c t="str" s="582" r="D57">
        <f>Summary!$N$20</f>
        <v>---</v>
      </c>
      <c s="551" r="E57"/>
      <c s="551" r="F57"/>
      <c s="551" r="G57"/>
      <c s="551" r="H57"/>
      <c s="671" r="I57"/>
      <c s="702" r="J57"/>
      <c s="848" r="K57"/>
      <c s="550" r="L57"/>
      <c s="104" r="M57"/>
      <c s="550" r="N57"/>
      <c t="str" s="589" r="O57">
        <f>IF((AH$28=2),IF(ISBLANK(N57),O56,N57),IF(ISNUMBER(N57),(MAX(O$44:O56)+N57),O56))</f>
        <v/>
      </c>
      <c s="694" r="P57"/>
      <c s="273" r="Q57">
        <f>IF(ISNUMBER(P57),((Q56+P57)-R56),Q56)</f>
        <v>100</v>
      </c>
      <c s="694" r="R57"/>
      <c s="821" r="S57"/>
      <c s="550" r="T57"/>
      <c s="550" r="U57"/>
      <c s="550" r="V57"/>
      <c s="550" r="W57"/>
      <c s="550" r="X57"/>
      <c s="550" r="Y57"/>
      <c t="str" s="470" r="Z57">
        <f>IF(ISNUMBER(S57),(Q57-S57),NA())</f>
        <v>#N/A:explicit</v>
      </c>
      <c t="str" s="470" r="AA57">
        <f>IF(ISNUMBER(T57),IF((AH$22=1),(Z57+T57),(Q57-T57)),NA())</f>
        <v>#N/A:explicit</v>
      </c>
      <c t="str" s="470" r="AB57">
        <f>IF(ISNUMBER(U57),(Q57-U57),NA())</f>
        <v>#N/A:explicit</v>
      </c>
      <c t="str" s="470" r="AC57">
        <f>IF(ISNUMBER(V57),(Q57-V57),NA())</f>
        <v>#N/A:explicit</v>
      </c>
      <c t="str" s="470" r="AD57">
        <f>IF(ISNUMBER(W57),(Q57-W57),NA())</f>
        <v>#N/A:explicit</v>
      </c>
      <c t="str" s="470" r="AE57">
        <f>IF(ISNUMBER(X57),(Q57-X57),NA())</f>
        <v>#N/A:explicit</v>
      </c>
      <c t="str" s="552" r="AF57">
        <f>IF(ISNUMBER(Z57),Z57,"---")</f>
        <v>---</v>
      </c>
      <c s="142" r="AG57"/>
      <c t="str" s="142" r="AH57">
        <f>IF(ISBLANK(L57),NA(),MIN(AF$44:AF$361))</f>
        <v>#N/A:explicit</v>
      </c>
      <c t="str" s="142" r="AI57">
        <f>IF(ISNA(AA57),Z57,AA57)</f>
        <v>#N/A:explicit</v>
      </c>
      <c s="142" r="AJ57">
        <f>MIN(AF$44:AF$361)</f>
        <v>0</v>
      </c>
      <c s="142" r="AK57"/>
      <c t="str" s="142" r="AL57">
        <f>IF(ISNUMBER(AB57),O57,"---")</f>
        <v>---</v>
      </c>
      <c t="str" s="80" r="AM57">
        <f>IF(ISNUMBER(AB57),AB57,"---")</f>
        <v>---</v>
      </c>
      <c s="80" r="AN57"/>
      <c t="str" s="142" r="AO57">
        <f>IF((M57="r"),Z57,NA())</f>
        <v>#N/A:explicit</v>
      </c>
      <c t="str" s="142" r="AP57">
        <f>IF((M57="p"),Z57,NA())</f>
        <v>#N/A:explicit</v>
      </c>
      <c t="str" s="142" r="AQ57">
        <f>IF((M57="n"),Z57,NA())</f>
        <v>#N/A:explicit</v>
      </c>
      <c t="str" s="142" r="AR57">
        <f>IF((M57="g"),Z57,NA())</f>
        <v>#N/A:explicit</v>
      </c>
      <c s="142" r="AS57"/>
      <c t="str" s="142" r="AT57">
        <f>IF((COUNTA($M57:$M$361)=0),"---",IF(AND(($M57="r"),(COUNTA($M58:$M$361)&gt;0)),(MAX(AT$44:AT56)+1),IF(OR(($M56="p"),($M56="n"),($M56="g")),"---",AT56)))</f>
        <v>---</v>
      </c>
      <c t="str" s="142" r="AU57">
        <f>IF((COUNTA($M57:$M$361)=0),"---",IF(AND(($M57="p"),(COUNTA($M58:$M$361)&gt;0)),(MAX(AU$44:AU56)+1),IF(OR(($M56="r"),($M56="n"),($M56="g")),"---",AU56)))</f>
        <v>---</v>
      </c>
      <c t="str" s="142" r="AV57">
        <f>IF((COUNTA($M57:$M$361)=0),"---",IF(AND(($M57="n"),(COUNTA($M58:$M$361)&gt;0)),(MAX(AV$44:AV56)+1),IF(OR(($M56="r"),($M56="p"),($M56="g")),"---",AV56)))</f>
        <v>---</v>
      </c>
      <c t="str" s="142" r="AW57">
        <f>IF((COUNTA($M57:$M$361)=0),"---",IF(AND(($M57="g"),(COUNTA($M58:$M$361)&gt;0)),(MAX(AW$44:AW56)+1),IF(OR(($M56="r"),($M56="p"),($M56="n")),"---",AW56)))</f>
        <v>---</v>
      </c>
      <c s="676" r="AX57">
        <f>IF((M57="p"),(1+MAX(AX$44:AX56)),0)</f>
        <v>0</v>
      </c>
      <c s="51" r="AY57"/>
      <c s="761" r="AZ57"/>
      <c s="591" r="BA57"/>
      <c s="579" r="BB57"/>
      <c s="399" r="BC57"/>
      <c s="399" r="BD57"/>
      <c s="283" r="BE57"/>
      <c s="847" r="BF57"/>
      <c s="51" r="BG57"/>
      <c s="125" r="BH57"/>
      <c s="125" r="BI57"/>
    </row>
    <row customHeight="1" r="58" ht="13.5">
      <c s="822" r="A58"/>
      <c s="695" r="B58"/>
      <c t="str" s="137" r="C58">
        <f>"Drainage Area"&amp;IF((AH31=2)," (sq.km)"," (sq.mi)")</f>
        <v>Drainage Area (sq.mi)</v>
      </c>
      <c t="str" s="662" r="D58">
        <f>Summary!$N$21</f>
        <v>---</v>
      </c>
      <c s="414" r="E58"/>
      <c s="414" r="F58"/>
      <c s="414" r="G58"/>
      <c s="414" r="H58"/>
      <c s="397" r="I58"/>
      <c s="702" r="J58"/>
      <c s="848" r="K58"/>
      <c s="550" r="L58"/>
      <c s="104" r="M58"/>
      <c s="550" r="N58"/>
      <c t="str" s="589" r="O58">
        <f>IF((AH$28=2),IF(ISBLANK(N58),O57,N58),IF(ISNUMBER(N58),(MAX(O$44:O57)+N58),O57))</f>
        <v/>
      </c>
      <c s="694" r="P58"/>
      <c s="273" r="Q58">
        <f>IF(ISNUMBER(P58),((Q57+P58)-R57),Q57)</f>
        <v>100</v>
      </c>
      <c s="694" r="R58"/>
      <c s="821" r="S58"/>
      <c s="550" r="T58"/>
      <c s="550" r="U58"/>
      <c s="550" r="V58"/>
      <c s="550" r="W58"/>
      <c s="550" r="X58"/>
      <c s="550" r="Y58"/>
      <c t="str" s="470" r="Z58">
        <f>IF(ISNUMBER(S58),(Q58-S58),NA())</f>
        <v>#N/A:explicit</v>
      </c>
      <c t="str" s="470" r="AA58">
        <f>IF(ISNUMBER(T58),IF((AH$22=1),(Z58+T58),(Q58-T58)),NA())</f>
        <v>#N/A:explicit</v>
      </c>
      <c t="str" s="470" r="AB58">
        <f>IF(ISNUMBER(U58),(Q58-U58),NA())</f>
        <v>#N/A:explicit</v>
      </c>
      <c t="str" s="470" r="AC58">
        <f>IF(ISNUMBER(V58),(Q58-V58),NA())</f>
        <v>#N/A:explicit</v>
      </c>
      <c t="str" s="470" r="AD58">
        <f>IF(ISNUMBER(W58),(Q58-W58),NA())</f>
        <v>#N/A:explicit</v>
      </c>
      <c t="str" s="470" r="AE58">
        <f>IF(ISNUMBER(X58),(Q58-X58),NA())</f>
        <v>#N/A:explicit</v>
      </c>
      <c t="str" s="552" r="AF58">
        <f>IF(ISNUMBER(Z58),Z58,"---")</f>
        <v>---</v>
      </c>
      <c s="142" r="AG58"/>
      <c t="str" s="142" r="AH58">
        <f>IF(ISBLANK(L58),NA(),MIN(AF$44:AF$361))</f>
        <v>#N/A:explicit</v>
      </c>
      <c t="str" s="142" r="AI58">
        <f>IF(ISNA(AA58),Z58,AA58)</f>
        <v>#N/A:explicit</v>
      </c>
      <c s="142" r="AJ58">
        <f>MIN(AF$44:AF$361)</f>
        <v>0</v>
      </c>
      <c s="142" r="AK58"/>
      <c t="str" s="142" r="AL58">
        <f>IF(ISNUMBER(AB58),O58,"---")</f>
        <v>---</v>
      </c>
      <c t="str" s="80" r="AM58">
        <f>IF(ISNUMBER(AB58),AB58,"---")</f>
        <v>---</v>
      </c>
      <c s="80" r="AN58"/>
      <c t="str" s="142" r="AO58">
        <f>IF((M58="r"),Z58,NA())</f>
        <v>#N/A:explicit</v>
      </c>
      <c t="str" s="142" r="AP58">
        <f>IF((M58="p"),Z58,NA())</f>
        <v>#N/A:explicit</v>
      </c>
      <c t="str" s="142" r="AQ58">
        <f>IF((M58="n"),Z58,NA())</f>
        <v>#N/A:explicit</v>
      </c>
      <c t="str" s="142" r="AR58">
        <f>IF((M58="g"),Z58,NA())</f>
        <v>#N/A:explicit</v>
      </c>
      <c s="142" r="AS58"/>
      <c t="str" s="142" r="AT58">
        <f>IF((COUNTA($M58:$M$361)=0),"---",IF(AND(($M58="r"),(COUNTA($M59:$M$361)&gt;0)),(MAX(AT$44:AT57)+1),IF(OR(($M57="p"),($M57="n"),($M57="g")),"---",AT57)))</f>
        <v>---</v>
      </c>
      <c t="str" s="142" r="AU58">
        <f>IF((COUNTA($M58:$M$361)=0),"---",IF(AND(($M58="p"),(COUNTA($M59:$M$361)&gt;0)),(MAX(AU$44:AU57)+1),IF(OR(($M57="r"),($M57="n"),($M57="g")),"---",AU57)))</f>
        <v>---</v>
      </c>
      <c t="str" s="142" r="AV58">
        <f>IF((COUNTA($M58:$M$361)=0),"---",IF(AND(($M58="n"),(COUNTA($M59:$M$361)&gt;0)),(MAX(AV$44:AV57)+1),IF(OR(($M57="r"),($M57="p"),($M57="g")),"---",AV57)))</f>
        <v>---</v>
      </c>
      <c t="str" s="142" r="AW58">
        <f>IF((COUNTA($M58:$M$361)=0),"---",IF(AND(($M58="g"),(COUNTA($M59:$M$361)&gt;0)),(MAX(AW$44:AW57)+1),IF(OR(($M57="r"),($M57="p"),($M57="n")),"---",AW57)))</f>
        <v>---</v>
      </c>
      <c s="676" r="AX58">
        <f>IF((M58="p"),(1+MAX(AX$44:AX57)),0)</f>
        <v>0</v>
      </c>
      <c s="51" r="AY58"/>
      <c s="761" r="AZ58"/>
      <c s="591" r="BA58"/>
      <c t="s" s="166" r="BB58">
        <v>374</v>
      </c>
      <c s="458" r="BC58"/>
      <c s="458" r="BD58"/>
      <c s="495" r="BE58"/>
      <c s="167" r="BF58"/>
      <c s="51" r="BG58"/>
      <c s="125" r="BH58"/>
      <c s="125" r="BI58"/>
    </row>
    <row customHeight="1" r="59" ht="13.5">
      <c s="822" r="A59"/>
      <c t="s" s="720" r="B59">
        <v>404</v>
      </c>
      <c s="493" r="C59"/>
      <c s="493" r="D59"/>
      <c s="467" r="E59"/>
      <c s="401" r="F59"/>
      <c s="401" r="G59"/>
      <c s="401" r="H59"/>
      <c s="743" r="I59"/>
      <c s="702" r="J59"/>
      <c s="848" r="K59"/>
      <c s="550" r="L59"/>
      <c s="104" r="M59"/>
      <c s="550" r="N59"/>
      <c t="str" s="589" r="O59">
        <f>IF((AH$28=2),IF(ISBLANK(N59),O58,N59),IF(ISNUMBER(N59),(MAX(O$44:O58)+N59),O58))</f>
        <v/>
      </c>
      <c s="694" r="P59"/>
      <c s="273" r="Q59">
        <f>IF(ISNUMBER(P59),((Q58+P59)-R58),Q58)</f>
        <v>100</v>
      </c>
      <c s="694" r="R59"/>
      <c s="821" r="S59"/>
      <c s="550" r="T59"/>
      <c s="550" r="U59"/>
      <c s="550" r="V59"/>
      <c s="550" r="W59"/>
      <c s="550" r="X59"/>
      <c s="550" r="Y59"/>
      <c t="str" s="470" r="Z59">
        <f>IF(ISNUMBER(S59),(Q59-S59),NA())</f>
        <v>#N/A:explicit</v>
      </c>
      <c t="str" s="470" r="AA59">
        <f>IF(ISNUMBER(T59),IF((AH$22=1),(Z59+T59),(Q59-T59)),NA())</f>
        <v>#N/A:explicit</v>
      </c>
      <c t="str" s="470" r="AB59">
        <f>IF(ISNUMBER(U59),(Q59-U59),NA())</f>
        <v>#N/A:explicit</v>
      </c>
      <c t="str" s="470" r="AC59">
        <f>IF(ISNUMBER(V59),(Q59-V59),NA())</f>
        <v>#N/A:explicit</v>
      </c>
      <c t="str" s="470" r="AD59">
        <f>IF(ISNUMBER(W59),(Q59-W59),NA())</f>
        <v>#N/A:explicit</v>
      </c>
      <c t="str" s="470" r="AE59">
        <f>IF(ISNUMBER(X59),(Q59-X59),NA())</f>
        <v>#N/A:explicit</v>
      </c>
      <c t="str" s="552" r="AF59">
        <f>IF(ISNUMBER(Z59),Z59,"---")</f>
        <v>---</v>
      </c>
      <c s="142" r="AG59"/>
      <c t="str" s="142" r="AH59">
        <f>IF(ISBLANK(L59),NA(),MIN(AF$44:AF$361))</f>
        <v>#N/A:explicit</v>
      </c>
      <c t="str" s="142" r="AI59">
        <f>IF(ISNA(AA59),Z59,AA59)</f>
        <v>#N/A:explicit</v>
      </c>
      <c s="142" r="AJ59">
        <f>MIN(AF$44:AF$361)</f>
        <v>0</v>
      </c>
      <c s="142" r="AK59"/>
      <c t="str" s="142" r="AL59">
        <f>IF(ISNUMBER(AB59),O59,"---")</f>
        <v>---</v>
      </c>
      <c t="str" s="80" r="AM59">
        <f>IF(ISNUMBER(AB59),AB59,"---")</f>
        <v>---</v>
      </c>
      <c s="80" r="AN59"/>
      <c t="str" s="142" r="AO59">
        <f>IF((M59="r"),Z59,NA())</f>
        <v>#N/A:explicit</v>
      </c>
      <c t="str" s="142" r="AP59">
        <f>IF((M59="p"),Z59,NA())</f>
        <v>#N/A:explicit</v>
      </c>
      <c t="str" s="142" r="AQ59">
        <f>IF((M59="n"),Z59,NA())</f>
        <v>#N/A:explicit</v>
      </c>
      <c t="str" s="142" r="AR59">
        <f>IF((M59="g"),Z59,NA())</f>
        <v>#N/A:explicit</v>
      </c>
      <c s="142" r="AS59"/>
      <c t="str" s="142" r="AT59">
        <f>IF((COUNTA($M59:$M$361)=0),"---",IF(AND(($M59="r"),(COUNTA($M60:$M$361)&gt;0)),(MAX(AT$44:AT58)+1),IF(OR(($M58="p"),($M58="n"),($M58="g")),"---",AT58)))</f>
        <v>---</v>
      </c>
      <c t="str" s="142" r="AU59">
        <f>IF((COUNTA($M59:$M$361)=0),"---",IF(AND(($M59="p"),(COUNTA($M60:$M$361)&gt;0)),(MAX(AU$44:AU58)+1),IF(OR(($M58="r"),($M58="n"),($M58="g")),"---",AU58)))</f>
        <v>---</v>
      </c>
      <c t="str" s="142" r="AV59">
        <f>IF((COUNTA($M59:$M$361)=0),"---",IF(AND(($M59="n"),(COUNTA($M60:$M$361)&gt;0)),(MAX(AV$44:AV58)+1),IF(OR(($M58="r"),($M58="p"),($M58="g")),"---",AV58)))</f>
        <v>---</v>
      </c>
      <c t="str" s="142" r="AW59">
        <f>IF((COUNTA($M59:$M$361)=0),"---",IF(AND(($M59="g"),(COUNTA($M60:$M$361)&gt;0)),(MAX(AW$44:AW58)+1),IF(OR(($M58="r"),($M58="p"),($M58="n")),"---",AW58)))</f>
        <v>---</v>
      </c>
      <c s="676" r="AX59">
        <f>IF((M59="p"),(1+MAX(AX$44:AX58)),0)</f>
        <v>0</v>
      </c>
      <c s="51" r="AY59"/>
      <c s="761" r="AZ59"/>
      <c s="591" r="BA59"/>
      <c t="s" s="166" r="BB59">
        <v>382</v>
      </c>
      <c s="458" r="BC59"/>
      <c s="867" r="BD59"/>
      <c t="str" s="5" r="BE59">
        <f>IF(OR(ISBLANK(BC58),ISBLANK(BD58),ISBLANK(BC59),ISBLANK(BD59)),"---",(ROUND(((((BD58-BD59)/(BC59-BC58))*100)/(10^TRUNC(LOG(ABS((((BD58-BD59)/(BC59-BC58))*100)))))),(2-IF(((((BD58-BD59)/(BC59-BC58))*100)&gt;1),1,0)))*(10^TRUNC(LOG(ABS((((BD58-BD59)/(BC59-BC58))*100)))))))</f>
        <v>---</v>
      </c>
      <c s="873" r="BF59"/>
      <c s="51" r="BG59"/>
      <c s="125" r="BH59"/>
      <c s="125" r="BI59"/>
    </row>
    <row customHeight="1" r="60" ht="14.25">
      <c s="822" r="A60"/>
      <c s="875" r="B60"/>
      <c s="480" r="C60"/>
      <c s="480" r="D60"/>
      <c s="480" r="E60"/>
      <c t="s" s="209" r="F60">
        <v>75</v>
      </c>
      <c s="209" r="G60"/>
      <c t="s" s="209" r="H60">
        <v>76</v>
      </c>
      <c t="s" s="14" r="I60">
        <v>77</v>
      </c>
      <c s="702" r="J60"/>
      <c s="429" r="K60"/>
      <c s="458" r="L60"/>
      <c s="104" r="M60"/>
      <c s="458" r="N60"/>
      <c t="str" s="589" r="O60">
        <f>IF((AH$28=2),IF(ISBLANK(N60),O59,N60),IF(ISNUMBER(N60),(MAX(O$44:O59)+N60),O59))</f>
        <v/>
      </c>
      <c s="228" r="P60"/>
      <c s="273" r="Q60">
        <f>IF(ISNUMBER(P60),((Q59+P60)-R59),Q59)</f>
        <v>100</v>
      </c>
      <c s="228" r="R60"/>
      <c s="610" r="S60"/>
      <c s="458" r="T60"/>
      <c s="458" r="U60"/>
      <c s="458" r="V60"/>
      <c s="458" r="W60"/>
      <c s="458" r="X60"/>
      <c s="458" r="Y60"/>
      <c t="str" s="620" r="Z60">
        <f>IF(ISNUMBER(S60),(Q60-S60),NA())</f>
        <v>#N/A:explicit</v>
      </c>
      <c t="str" s="620" r="AA60">
        <f>IF(ISNUMBER(T60),IF((AH$22=1),(Z60+T60),(Q60-T60)),NA())</f>
        <v>#N/A:explicit</v>
      </c>
      <c t="str" s="620" r="AB60">
        <f>IF(ISNUMBER(U60),(Q60-U60),NA())</f>
        <v>#N/A:explicit</v>
      </c>
      <c t="str" s="620" r="AC60">
        <f>IF(ISNUMBER(V60),(Q60-V60),NA())</f>
        <v>#N/A:explicit</v>
      </c>
      <c t="str" s="620" r="AD60">
        <f>IF(ISNUMBER(W60),(Q60-W60),NA())</f>
        <v>#N/A:explicit</v>
      </c>
      <c t="str" s="620" r="AE60">
        <f>IF(ISNUMBER(X60),(Q60-X60),NA())</f>
        <v>#N/A:explicit</v>
      </c>
      <c t="str" s="552" r="AF60">
        <f>IF(ISNUMBER(Z60),Z60,"---")</f>
        <v>---</v>
      </c>
      <c s="142" r="AG60"/>
      <c t="str" s="142" r="AH60">
        <f>IF(ISBLANK(L60),NA(),MIN(AF$44:AF$361))</f>
        <v>#N/A:explicit</v>
      </c>
      <c t="str" s="142" r="AI60">
        <f>IF(ISNA(AA60),Z60,AA60)</f>
        <v>#N/A:explicit</v>
      </c>
      <c s="142" r="AJ60">
        <f>MIN(AF$44:AF$361)</f>
        <v>0</v>
      </c>
      <c s="142" r="AK60"/>
      <c t="str" s="142" r="AL60">
        <f>IF(ISNUMBER(AB60),O60,"---")</f>
        <v>---</v>
      </c>
      <c t="str" s="80" r="AM60">
        <f>IF(ISNUMBER(AB60),AB60,"---")</f>
        <v>---</v>
      </c>
      <c s="80" r="AN60"/>
      <c t="str" s="142" r="AO60">
        <f>IF((M60="r"),Z60,NA())</f>
        <v>#N/A:explicit</v>
      </c>
      <c t="str" s="142" r="AP60">
        <f>IF((M60="p"),Z60,NA())</f>
        <v>#N/A:explicit</v>
      </c>
      <c t="str" s="142" r="AQ60">
        <f>IF((M60="n"),Z60,NA())</f>
        <v>#N/A:explicit</v>
      </c>
      <c t="str" s="142" r="AR60">
        <f>IF((M60="g"),Z60,NA())</f>
        <v>#N/A:explicit</v>
      </c>
      <c s="142" r="AS60"/>
      <c t="str" s="142" r="AT60">
        <f>IF((COUNTA($M60:$M$361)=0),"---",IF(AND(($M60="r"),(COUNTA($M61:$M$361)&gt;0)),(MAX(AT$44:AT59)+1),IF(OR(($M59="p"),($M59="n"),($M59="g")),"---",AT59)))</f>
        <v>---</v>
      </c>
      <c t="str" s="142" r="AU60">
        <f>IF((COUNTA($M60:$M$361)=0),"---",IF(AND(($M60="p"),(COUNTA($M61:$M$361)&gt;0)),(MAX(AU$44:AU59)+1),IF(OR(($M59="r"),($M59="n"),($M59="g")),"---",AU59)))</f>
        <v>---</v>
      </c>
      <c t="str" s="142" r="AV60">
        <f>IF((COUNTA($M60:$M$361)=0),"---",IF(AND(($M60="n"),(COUNTA($M61:$M$361)&gt;0)),(MAX(AV$44:AV59)+1),IF(OR(($M59="r"),($M59="p"),($M59="g")),"---",AV59)))</f>
        <v>---</v>
      </c>
      <c t="str" s="142" r="AW60">
        <f>IF((COUNTA($M60:$M$361)=0),"---",IF(AND(($M60="g"),(COUNTA($M61:$M$361)&gt;0)),(MAX(AW$44:AW59)+1),IF(OR(($M59="r"),($M59="p"),($M59="n")),"---",AW59)))</f>
        <v>---</v>
      </c>
      <c s="676" r="AX60">
        <f>IF((M60="p"),(1+MAX(AX$44:AX59)),0)</f>
        <v>0</v>
      </c>
      <c s="51" r="AY60"/>
      <c s="761" r="AZ60"/>
      <c s="761" r="BA60"/>
      <c s="442" r="BB60"/>
      <c s="442" r="BC60"/>
      <c s="442" r="BD60"/>
      <c s="442" r="BE60"/>
      <c s="442" r="BF60"/>
      <c s="125" r="BG60"/>
      <c s="125" r="BH60"/>
      <c s="125" r="BI60"/>
    </row>
    <row r="61">
      <c s="822" r="A61"/>
      <c s="332" r="B61"/>
      <c s="149" r="C61"/>
      <c s="149" r="D61"/>
      <c t="str" s="737" r="E61">
        <f>"bankfull width"&amp;IF((AH31=2)," (m)"," (ft)")</f>
        <v>bankfull width (ft)</v>
      </c>
      <c t="str" s="527" r="F61">
        <f>IF(ISBLANK(E27),Dimension!$F$91,E27)</f>
        <v>---</v>
      </c>
      <c s="544" r="G61"/>
      <c s="283" r="H61"/>
      <c s="281" r="I61"/>
      <c s="702" r="J61"/>
      <c s="429" r="K61"/>
      <c s="458" r="L61"/>
      <c s="104" r="M61"/>
      <c s="458" r="N61"/>
      <c t="str" s="589" r="O61">
        <f>IF((AH$28=2),IF(ISBLANK(N61),O60,N61),IF(ISNUMBER(N61),(MAX(O$44:O60)+N61),O60))</f>
        <v/>
      </c>
      <c s="228" r="P61"/>
      <c s="273" r="Q61">
        <f>IF(ISNUMBER(P61),((Q60+P61)-R60),Q60)</f>
        <v>100</v>
      </c>
      <c s="228" r="R61"/>
      <c s="610" r="S61"/>
      <c s="458" r="T61"/>
      <c s="458" r="U61"/>
      <c s="458" r="V61"/>
      <c s="458" r="W61"/>
      <c s="458" r="X61"/>
      <c s="458" r="Y61"/>
      <c t="str" s="620" r="Z61">
        <f>IF(ISNUMBER(S61),(Q61-S61),NA())</f>
        <v>#N/A:explicit</v>
      </c>
      <c t="str" s="620" r="AA61">
        <f>IF(ISNUMBER(T61),IF((AH$22=1),(Z61+T61),(Q61-T61)),NA())</f>
        <v>#N/A:explicit</v>
      </c>
      <c t="str" s="620" r="AB61">
        <f>IF(ISNUMBER(U61),(Q61-U61),NA())</f>
        <v>#N/A:explicit</v>
      </c>
      <c t="str" s="620" r="AC61">
        <f>IF(ISNUMBER(V61),(Q61-V61),NA())</f>
        <v>#N/A:explicit</v>
      </c>
      <c t="str" s="620" r="AD61">
        <f>IF(ISNUMBER(W61),(Q61-W61),NA())</f>
        <v>#N/A:explicit</v>
      </c>
      <c t="str" s="620" r="AE61">
        <f>IF(ISNUMBER(X61),(Q61-X61),NA())</f>
        <v>#N/A:explicit</v>
      </c>
      <c t="str" s="552" r="AF61">
        <f>IF(ISNUMBER(Z61),Z61,"---")</f>
        <v>---</v>
      </c>
      <c s="142" r="AG61"/>
      <c t="str" s="142" r="AH61">
        <f>IF(ISBLANK(L61),NA(),MIN(AF$44:AF$361))</f>
        <v>#N/A:explicit</v>
      </c>
      <c t="str" s="142" r="AI61">
        <f>IF(ISNA(AA61),Z61,AA61)</f>
        <v>#N/A:explicit</v>
      </c>
      <c s="142" r="AJ61">
        <f>MIN(AF$44:AF$361)</f>
        <v>0</v>
      </c>
      <c s="142" r="AK61"/>
      <c t="str" s="142" r="AL61">
        <f>IF(ISNUMBER(AB61),O61,"---")</f>
        <v>---</v>
      </c>
      <c t="str" s="80" r="AM61">
        <f>IF(ISNUMBER(AB61),AB61,"---")</f>
        <v>---</v>
      </c>
      <c s="80" r="AN61"/>
      <c t="str" s="142" r="AO61">
        <f>IF((M61="r"),Z61,NA())</f>
        <v>#N/A:explicit</v>
      </c>
      <c t="str" s="142" r="AP61">
        <f>IF((M61="p"),Z61,NA())</f>
        <v>#N/A:explicit</v>
      </c>
      <c t="str" s="142" r="AQ61">
        <f>IF((M61="n"),Z61,NA())</f>
        <v>#N/A:explicit</v>
      </c>
      <c t="str" s="142" r="AR61">
        <f>IF((M61="g"),Z61,NA())</f>
        <v>#N/A:explicit</v>
      </c>
      <c s="142" r="AS61"/>
      <c t="str" s="142" r="AT61">
        <f>IF((COUNTA($M61:$M$361)=0),"---",IF(AND(($M61="r"),(COUNTA($M62:$M$361)&gt;0)),(MAX(AT$44:AT60)+1),IF(OR(($M60="p"),($M60="n"),($M60="g")),"---",AT60)))</f>
        <v>---</v>
      </c>
      <c t="str" s="142" r="AU61">
        <f>IF((COUNTA($M61:$M$361)=0),"---",IF(AND(($M61="p"),(COUNTA($M62:$M$361)&gt;0)),(MAX(AU$44:AU60)+1),IF(OR(($M60="r"),($M60="n"),($M60="g")),"---",AU60)))</f>
        <v>---</v>
      </c>
      <c t="str" s="142" r="AV61">
        <f>IF((COUNTA($M61:$M$361)=0),"---",IF(AND(($M61="n"),(COUNTA($M62:$M$361)&gt;0)),(MAX(AV$44:AV60)+1),IF(OR(($M60="r"),($M60="p"),($M60="g")),"---",AV60)))</f>
        <v>---</v>
      </c>
      <c t="str" s="142" r="AW61">
        <f>IF((COUNTA($M61:$M$361)=0),"---",IF(AND(($M61="g"),(COUNTA($M62:$M$361)&gt;0)),(MAX(AW$44:AW60)+1),IF(OR(($M60="r"),($M60="p"),($M60="n")),"---",AW60)))</f>
        <v>---</v>
      </c>
      <c s="676" r="AX61">
        <f>IF((M61="p"),(1+MAX(AX$44:AX60)),0)</f>
        <v>0</v>
      </c>
      <c s="51" r="AY61"/>
      <c s="761" r="AZ61"/>
      <c s="761" r="BA61"/>
      <c s="125" r="BB61"/>
      <c s="125" r="BC61"/>
      <c s="125" r="BD61"/>
      <c s="125" r="BE61"/>
      <c s="125" r="BF61"/>
      <c s="125" r="BG61"/>
      <c s="125" r="BH61"/>
      <c s="125" r="BI61"/>
    </row>
    <row r="62">
      <c s="822" r="A62"/>
      <c s="908" r="B62"/>
      <c s="44" r="C62"/>
      <c s="551" r="D62"/>
      <c t="str" s="812" r="E62">
        <f>"pool-pool spacing"&amp;IF((AH31=2)," (m)"," (ft)")</f>
        <v>pool-pool spacing (ft)</v>
      </c>
      <c t="str" s="719" r="F62">
        <f>IF(ISBLANK(E30),F30,E30)</f>
        <v>---</v>
      </c>
      <c s="551" r="G62"/>
      <c t="str" s="286" r="H62">
        <f>IF(ISBLANK(G30),AX8,G30)</f>
        <v>---</v>
      </c>
      <c t="str" s="224" r="I62">
        <f>IF(ISBLANK(H30),AX9,H30)</f>
        <v>---</v>
      </c>
      <c s="702" r="J62"/>
      <c s="429" r="K62"/>
      <c s="458" r="L62"/>
      <c s="104" r="M62"/>
      <c s="458" r="N62"/>
      <c t="str" s="589" r="O62">
        <f>IF((AH$28=2),IF(ISBLANK(N62),O61,N62),IF(ISNUMBER(N62),(MAX(O$44:O61)+N62),O61))</f>
        <v/>
      </c>
      <c s="228" r="P62"/>
      <c s="273" r="Q62">
        <f>IF(ISNUMBER(P62),((Q61+P62)-R61),Q61)</f>
        <v>100</v>
      </c>
      <c s="228" r="R62"/>
      <c s="610" r="S62"/>
      <c s="458" r="T62"/>
      <c s="458" r="U62"/>
      <c s="458" r="V62"/>
      <c s="458" r="W62"/>
      <c s="458" r="X62"/>
      <c s="458" r="Y62"/>
      <c t="str" s="620" r="Z62">
        <f>IF(ISNUMBER(S62),(Q62-S62),NA())</f>
        <v>#N/A:explicit</v>
      </c>
      <c t="str" s="620" r="AA62">
        <f>IF(ISNUMBER(T62),IF((AH$22=1),(Z62+T62),(Q62-T62)),NA())</f>
        <v>#N/A:explicit</v>
      </c>
      <c t="str" s="620" r="AB62">
        <f>IF(ISNUMBER(U62),(Q62-U62),NA())</f>
        <v>#N/A:explicit</v>
      </c>
      <c t="str" s="620" r="AC62">
        <f>IF(ISNUMBER(V62),(Q62-V62),NA())</f>
        <v>#N/A:explicit</v>
      </c>
      <c t="str" s="620" r="AD62">
        <f>IF(ISNUMBER(W62),(Q62-W62),NA())</f>
        <v>#N/A:explicit</v>
      </c>
      <c t="str" s="620" r="AE62">
        <f>IF(ISNUMBER(X62),(Q62-X62),NA())</f>
        <v>#N/A:explicit</v>
      </c>
      <c t="str" s="552" r="AF62">
        <f>IF(ISNUMBER(Z62),Z62,"---")</f>
        <v>---</v>
      </c>
      <c s="142" r="AG62"/>
      <c t="str" s="142" r="AH62">
        <f>IF(ISBLANK(L62),NA(),MIN(AF$44:AF$361))</f>
        <v>#N/A:explicit</v>
      </c>
      <c t="str" s="142" r="AI62">
        <f>IF(ISNA(AA62),Z62,AA62)</f>
        <v>#N/A:explicit</v>
      </c>
      <c s="142" r="AJ62">
        <f>MIN(AF$44:AF$361)</f>
        <v>0</v>
      </c>
      <c s="142" r="AK62"/>
      <c t="str" s="142" r="AL62">
        <f>IF(ISNUMBER(AB62),O62,"---")</f>
        <v>---</v>
      </c>
      <c t="str" s="80" r="AM62">
        <f>IF(ISNUMBER(AB62),AB62,"---")</f>
        <v>---</v>
      </c>
      <c s="80" r="AN62"/>
      <c t="str" s="142" r="AO62">
        <f>IF((M62="r"),Z62,NA())</f>
        <v>#N/A:explicit</v>
      </c>
      <c t="str" s="142" r="AP62">
        <f>IF((M62="p"),Z62,NA())</f>
        <v>#N/A:explicit</v>
      </c>
      <c t="str" s="142" r="AQ62">
        <f>IF((M62="n"),Z62,NA())</f>
        <v>#N/A:explicit</v>
      </c>
      <c t="str" s="142" r="AR62">
        <f>IF((M62="g"),Z62,NA())</f>
        <v>#N/A:explicit</v>
      </c>
      <c s="142" r="AS62"/>
      <c t="str" s="142" r="AT62">
        <f>IF((COUNTA($M62:$M$361)=0),"---",IF(AND(($M62="r"),(COUNTA($M63:$M$361)&gt;0)),(MAX(AT$44:AT61)+1),IF(OR(($M61="p"),($M61="n"),($M61="g")),"---",AT61)))</f>
        <v>---</v>
      </c>
      <c t="str" s="142" r="AU62">
        <f>IF((COUNTA($M62:$M$361)=0),"---",IF(AND(($M62="p"),(COUNTA($M63:$M$361)&gt;0)),(MAX(AU$44:AU61)+1),IF(OR(($M61="r"),($M61="n"),($M61="g")),"---",AU61)))</f>
        <v>---</v>
      </c>
      <c t="str" s="142" r="AV62">
        <f>IF((COUNTA($M62:$M$361)=0),"---",IF(AND(($M62="n"),(COUNTA($M63:$M$361)&gt;0)),(MAX(AV$44:AV61)+1),IF(OR(($M61="r"),($M61="p"),($M61="g")),"---",AV61)))</f>
        <v>---</v>
      </c>
      <c t="str" s="142" r="AW62">
        <f>IF((COUNTA($M62:$M$361)=0),"---",IF(AND(($M62="g"),(COUNTA($M63:$M$361)&gt;0)),(MAX(AW$44:AW61)+1),IF(OR(($M61="r"),($M61="p"),($M61="n")),"---",AW61)))</f>
        <v>---</v>
      </c>
      <c s="676" r="AX62">
        <f>IF((M62="p"),(1+MAX(AX$44:AX61)),0)</f>
        <v>0</v>
      </c>
      <c s="51" r="AY62"/>
      <c s="761" r="AZ62"/>
      <c s="761" r="BA62"/>
      <c s="125" r="BB62"/>
      <c s="125" r="BC62"/>
      <c s="125" r="BD62"/>
      <c s="125" r="BE62"/>
      <c s="125" r="BF62"/>
      <c s="125" r="BG62"/>
      <c s="125" r="BH62"/>
      <c s="125" r="BI62"/>
    </row>
    <row r="63">
      <c s="822" r="A63"/>
      <c s="406" r="B63"/>
      <c s="806" r="C63"/>
      <c s="886" r="D63"/>
      <c t="str" s="836" r="E63">
        <f>"riffle length"&amp;IF((AH31=2)," (m)"," (ft)")</f>
        <v>riffle length (ft)</v>
      </c>
      <c t="str" s="719" r="F63">
        <f>IF(ISBLANK(E31),F31,E31)</f>
        <v>---</v>
      </c>
      <c s="551" r="G63"/>
      <c t="str" s="286" r="H63">
        <f>IF(ISBLANK(G31),AO8,G31)</f>
        <v>---</v>
      </c>
      <c t="str" s="224" r="I63">
        <f>IF(ISBLANK(H31),AO9,H31)</f>
        <v>---</v>
      </c>
      <c s="702" r="J63"/>
      <c s="848" r="K63"/>
      <c s="550" r="L63"/>
      <c s="104" r="M63"/>
      <c s="550" r="N63"/>
      <c t="str" s="589" r="O63">
        <f>IF((AH$28=2),IF(ISBLANK(N63),O62,N63),IF(ISNUMBER(N63),(MAX(O$44:O62)+N63),O62))</f>
        <v/>
      </c>
      <c s="694" r="P63"/>
      <c s="273" r="Q63">
        <f>IF(ISNUMBER(P63),((Q62+P63)-R62),Q62)</f>
        <v>100</v>
      </c>
      <c s="694" r="R63"/>
      <c s="821" r="S63"/>
      <c s="550" r="T63"/>
      <c s="550" r="U63"/>
      <c s="550" r="V63"/>
      <c s="550" r="W63"/>
      <c s="550" r="X63"/>
      <c s="550" r="Y63"/>
      <c t="str" s="470" r="Z63">
        <f>IF(ISNUMBER(S63),(Q63-S63),NA())</f>
        <v>#N/A:explicit</v>
      </c>
      <c t="str" s="470" r="AA63">
        <f>IF(ISNUMBER(T63),IF((AH$22=1),(Z63+T63),(Q63-T63)),NA())</f>
        <v>#N/A:explicit</v>
      </c>
      <c t="str" s="470" r="AB63">
        <f>IF(ISNUMBER(U63),(Q63-U63),NA())</f>
        <v>#N/A:explicit</v>
      </c>
      <c t="str" s="470" r="AC63">
        <f>IF(ISNUMBER(V63),(Q63-V63),NA())</f>
        <v>#N/A:explicit</v>
      </c>
      <c t="str" s="470" r="AD63">
        <f>IF(ISNUMBER(W63),(Q63-W63),NA())</f>
        <v>#N/A:explicit</v>
      </c>
      <c t="str" s="470" r="AE63">
        <f>IF(ISNUMBER(X63),(Q63-X63),NA())</f>
        <v>#N/A:explicit</v>
      </c>
      <c t="str" s="552" r="AF63">
        <f>IF(ISNUMBER(Z63),Z63,"---")</f>
        <v>---</v>
      </c>
      <c s="142" r="AG63"/>
      <c t="str" s="142" r="AH63">
        <f>IF(ISBLANK(L63),NA(),MIN(AF$44:AF$361))</f>
        <v>#N/A:explicit</v>
      </c>
      <c t="str" s="142" r="AI63">
        <f>IF(ISNA(AA63),Z63,AA63)</f>
        <v>#N/A:explicit</v>
      </c>
      <c s="142" r="AJ63">
        <f>MIN(AF$44:AF$361)</f>
        <v>0</v>
      </c>
      <c s="142" r="AK63"/>
      <c t="str" s="142" r="AL63">
        <f>IF(ISNUMBER(AB63),O63,"---")</f>
        <v>---</v>
      </c>
      <c t="str" s="80" r="AM63">
        <f>IF(ISNUMBER(AB63),AB63,"---")</f>
        <v>---</v>
      </c>
      <c s="80" r="AN63"/>
      <c t="str" s="142" r="AO63">
        <f>IF((M63="r"),Z63,NA())</f>
        <v>#N/A:explicit</v>
      </c>
      <c t="str" s="142" r="AP63">
        <f>IF((M63="p"),Z63,NA())</f>
        <v>#N/A:explicit</v>
      </c>
      <c t="str" s="142" r="AQ63">
        <f>IF((M63="n"),Z63,NA())</f>
        <v>#N/A:explicit</v>
      </c>
      <c t="str" s="142" r="AR63">
        <f>IF((M63="g"),Z63,NA())</f>
        <v>#N/A:explicit</v>
      </c>
      <c s="142" r="AS63"/>
      <c t="str" s="142" r="AT63">
        <f>IF((COUNTA($M63:$M$361)=0),"---",IF(AND(($M63="r"),(COUNTA($M64:$M$361)&gt;0)),(MAX(AT$44:AT62)+1),IF(OR(($M62="p"),($M62="n"),($M62="g")),"---",AT62)))</f>
        <v>---</v>
      </c>
      <c t="str" s="142" r="AU63">
        <f>IF((COUNTA($M63:$M$361)=0),"---",IF(AND(($M63="p"),(COUNTA($M64:$M$361)&gt;0)),(MAX(AU$44:AU62)+1),IF(OR(($M62="r"),($M62="n"),($M62="g")),"---",AU62)))</f>
        <v>---</v>
      </c>
      <c t="str" s="142" r="AV63">
        <f>IF((COUNTA($M63:$M$361)=0),"---",IF(AND(($M63="n"),(COUNTA($M64:$M$361)&gt;0)),(MAX(AV$44:AV62)+1),IF(OR(($M62="r"),($M62="p"),($M62="g")),"---",AV62)))</f>
        <v>---</v>
      </c>
      <c t="str" s="142" r="AW63">
        <f>IF((COUNTA($M63:$M$361)=0),"---",IF(AND(($M63="g"),(COUNTA($M64:$M$361)&gt;0)),(MAX(AW$44:AW62)+1),IF(OR(($M62="r"),($M62="p"),($M62="n")),"---",AW62)))</f>
        <v>---</v>
      </c>
      <c s="676" r="AX63">
        <f>IF((M63="p"),(1+MAX(AX$44:AX62)),0)</f>
        <v>0</v>
      </c>
      <c s="51" r="AY63"/>
      <c s="761" r="AZ63"/>
      <c s="761" r="BA63"/>
      <c s="125" r="BB63"/>
      <c s="125" r="BC63"/>
      <c s="125" r="BD63"/>
      <c s="125" r="BE63"/>
      <c s="125" r="BF63"/>
      <c s="125" r="BG63"/>
      <c s="125" r="BH63"/>
      <c s="125" r="BI63"/>
    </row>
    <row r="64">
      <c s="822" r="A64"/>
      <c s="908" r="B64"/>
      <c s="44" r="C64"/>
      <c s="551" r="D64"/>
      <c t="str" s="812" r="E64">
        <f>"pool length"&amp;IF((AH31=2)," (m)"," (ft)")</f>
        <v>pool length (ft)</v>
      </c>
      <c t="str" s="719" r="F64">
        <f>IF(ISBLANK(E32),F32,E32)</f>
        <v>---</v>
      </c>
      <c s="391" r="G64"/>
      <c t="str" s="286" r="H64">
        <f>IF(ISBLANK(G32),AP8,G32)</f>
        <v>---</v>
      </c>
      <c t="str" s="224" r="I64">
        <f>IF(ISBLANK(H32),AP9,H32)</f>
        <v>---</v>
      </c>
      <c s="702" r="J64"/>
      <c s="848" r="K64"/>
      <c s="550" r="L64"/>
      <c s="104" r="M64"/>
      <c s="550" r="N64"/>
      <c t="str" s="589" r="O64">
        <f>IF((AH$28=2),IF(ISBLANK(N64),O63,N64),IF(ISNUMBER(N64),(MAX(O$44:O63)+N64),O63))</f>
        <v/>
      </c>
      <c s="694" r="P64"/>
      <c s="273" r="Q64">
        <f>IF(ISNUMBER(P64),((Q63+P64)-R63),Q63)</f>
        <v>100</v>
      </c>
      <c s="694" r="R64"/>
      <c s="821" r="S64"/>
      <c s="550" r="T64"/>
      <c s="550" r="U64"/>
      <c s="550" r="V64"/>
      <c s="550" r="W64"/>
      <c s="550" r="X64"/>
      <c s="550" r="Y64"/>
      <c t="str" s="470" r="Z64">
        <f>IF(ISNUMBER(S64),(Q64-S64),NA())</f>
        <v>#N/A:explicit</v>
      </c>
      <c t="str" s="470" r="AA64">
        <f>IF(ISNUMBER(T64),IF((AH$22=1),(Z64+T64),(Q64-T64)),NA())</f>
        <v>#N/A:explicit</v>
      </c>
      <c t="str" s="470" r="AB64">
        <f>IF(ISNUMBER(U64),(Q64-U64),NA())</f>
        <v>#N/A:explicit</v>
      </c>
      <c t="str" s="470" r="AC64">
        <f>IF(ISNUMBER(V64),(Q64-V64),NA())</f>
        <v>#N/A:explicit</v>
      </c>
      <c t="str" s="470" r="AD64">
        <f>IF(ISNUMBER(W64),(Q64-W64),NA())</f>
        <v>#N/A:explicit</v>
      </c>
      <c t="str" s="470" r="AE64">
        <f>IF(ISNUMBER(X64),(Q64-X64),NA())</f>
        <v>#N/A:explicit</v>
      </c>
      <c t="str" s="552" r="AF64">
        <f>IF(ISNUMBER(Z64),Z64,"---")</f>
        <v>---</v>
      </c>
      <c s="142" r="AG64"/>
      <c t="str" s="142" r="AH64">
        <f>IF(ISBLANK(L64),NA(),MIN(AF$44:AF$361))</f>
        <v>#N/A:explicit</v>
      </c>
      <c t="str" s="142" r="AI64">
        <f>IF(ISNA(AA64),Z64,AA64)</f>
        <v>#N/A:explicit</v>
      </c>
      <c s="142" r="AJ64">
        <f>MIN(AF$44:AF$361)</f>
        <v>0</v>
      </c>
      <c s="142" r="AK64"/>
      <c t="str" s="142" r="AL64">
        <f>IF(ISNUMBER(AB64),O64,"---")</f>
        <v>---</v>
      </c>
      <c t="str" s="80" r="AM64">
        <f>IF(ISNUMBER(AB64),AB64,"---")</f>
        <v>---</v>
      </c>
      <c s="80" r="AN64"/>
      <c t="str" s="142" r="AO64">
        <f>IF((M64="r"),Z64,NA())</f>
        <v>#N/A:explicit</v>
      </c>
      <c t="str" s="142" r="AP64">
        <f>IF((M64="p"),Z64,NA())</f>
        <v>#N/A:explicit</v>
      </c>
      <c t="str" s="142" r="AQ64">
        <f>IF((M64="n"),Z64,NA())</f>
        <v>#N/A:explicit</v>
      </c>
      <c t="str" s="142" r="AR64">
        <f>IF((M64="g"),Z64,NA())</f>
        <v>#N/A:explicit</v>
      </c>
      <c s="142" r="AS64"/>
      <c t="str" s="142" r="AT64">
        <f>IF((COUNTA($M64:$M$361)=0),"---",IF(AND(($M64="r"),(COUNTA($M65:$M$361)&gt;0)),(MAX(AT$44:AT63)+1),IF(OR(($M63="p"),($M63="n"),($M63="g")),"---",AT63)))</f>
        <v>---</v>
      </c>
      <c t="str" s="142" r="AU64">
        <f>IF((COUNTA($M64:$M$361)=0),"---",IF(AND(($M64="p"),(COUNTA($M65:$M$361)&gt;0)),(MAX(AU$44:AU63)+1),IF(OR(($M63="r"),($M63="n"),($M63="g")),"---",AU63)))</f>
        <v>---</v>
      </c>
      <c t="str" s="142" r="AV64">
        <f>IF((COUNTA($M64:$M$361)=0),"---",IF(AND(($M64="n"),(COUNTA($M65:$M$361)&gt;0)),(MAX(AV$44:AV63)+1),IF(OR(($M63="r"),($M63="p"),($M63="g")),"---",AV63)))</f>
        <v>---</v>
      </c>
      <c t="str" s="142" r="AW64">
        <f>IF((COUNTA($M64:$M$361)=0),"---",IF(AND(($M64="g"),(COUNTA($M65:$M$361)&gt;0)),(MAX(AW$44:AW63)+1),IF(OR(($M63="r"),($M63="p"),($M63="n")),"---",AW63)))</f>
        <v>---</v>
      </c>
      <c s="676" r="AX64">
        <f>IF((M64="p"),(1+MAX(AX$44:AX63)),0)</f>
        <v>0</v>
      </c>
      <c s="51" r="AY64"/>
      <c s="761" r="AZ64"/>
      <c s="761" r="BA64"/>
      <c s="125" r="BB64"/>
      <c s="125" r="BC64"/>
      <c s="125" r="BD64"/>
      <c s="125" r="BE64"/>
      <c s="125" r="BF64"/>
      <c s="125" r="BG64"/>
      <c s="125" r="BH64"/>
      <c s="125" r="BI64"/>
    </row>
    <row r="65">
      <c s="822" r="A65"/>
      <c s="406" r="B65"/>
      <c s="806" r="C65"/>
      <c s="886" r="D65"/>
      <c t="str" s="836" r="E65">
        <f>"run length"&amp;IF((AH31=2)," (m)"," (ft)")</f>
        <v>run length (ft)</v>
      </c>
      <c t="str" s="719" r="F65">
        <f>IF(ISBLANK(E33),F33,E33)</f>
        <v>---</v>
      </c>
      <c s="52" r="G65"/>
      <c t="str" s="286" r="H65">
        <f>IF(ISBLANK(G33),AQ8,G33)</f>
        <v>---</v>
      </c>
      <c t="str" s="224" r="I65">
        <f>IF(ISBLANK(H33),AQ9,H33)</f>
        <v>---</v>
      </c>
      <c s="702" r="J65"/>
      <c s="848" r="K65"/>
      <c s="550" r="L65"/>
      <c s="104" r="M65"/>
      <c s="550" r="N65"/>
      <c t="str" s="589" r="O65">
        <f>IF((AH$28=2),IF(ISBLANK(N65),O64,N65),IF(ISNUMBER(N65),(MAX(O$44:O64)+N65),O64))</f>
        <v/>
      </c>
      <c s="694" r="P65"/>
      <c s="273" r="Q65">
        <f>IF(ISNUMBER(P65),((Q64+P65)-R64),Q64)</f>
        <v>100</v>
      </c>
      <c s="694" r="R65"/>
      <c s="821" r="S65"/>
      <c s="550" r="T65"/>
      <c s="550" r="U65"/>
      <c s="550" r="V65"/>
      <c s="550" r="W65"/>
      <c s="550" r="X65"/>
      <c s="550" r="Y65"/>
      <c t="str" s="470" r="Z65">
        <f>IF(ISNUMBER(S65),(Q65-S65),NA())</f>
        <v>#N/A:explicit</v>
      </c>
      <c t="str" s="470" r="AA65">
        <f>IF(ISNUMBER(T65),IF((AH$22=1),(Z65+T65),(Q65-T65)),NA())</f>
        <v>#N/A:explicit</v>
      </c>
      <c t="str" s="470" r="AB65">
        <f>IF(ISNUMBER(U65),(Q65-U65),NA())</f>
        <v>#N/A:explicit</v>
      </c>
      <c t="str" s="470" r="AC65">
        <f>IF(ISNUMBER(V65),(Q65-V65),NA())</f>
        <v>#N/A:explicit</v>
      </c>
      <c t="str" s="470" r="AD65">
        <f>IF(ISNUMBER(W65),(Q65-W65),NA())</f>
        <v>#N/A:explicit</v>
      </c>
      <c t="str" s="470" r="AE65">
        <f>IF(ISNUMBER(X65),(Q65-X65),NA())</f>
        <v>#N/A:explicit</v>
      </c>
      <c t="str" s="552" r="AF65">
        <f>IF(ISNUMBER(Z65),Z65,"---")</f>
        <v>---</v>
      </c>
      <c s="142" r="AG65"/>
      <c t="str" s="142" r="AH65">
        <f>IF(ISBLANK(L65),NA(),MIN(AF$44:AF$361))</f>
        <v>#N/A:explicit</v>
      </c>
      <c t="str" s="142" r="AI65">
        <f>IF(ISNA(AA65),Z65,AA65)</f>
        <v>#N/A:explicit</v>
      </c>
      <c s="142" r="AJ65">
        <f>MIN(AF$44:AF$361)</f>
        <v>0</v>
      </c>
      <c s="142" r="AK65"/>
      <c t="str" s="142" r="AL65">
        <f>IF(ISNUMBER(AB65),O65,"---")</f>
        <v>---</v>
      </c>
      <c t="str" s="80" r="AM65">
        <f>IF(ISNUMBER(AB65),AB65,"---")</f>
        <v>---</v>
      </c>
      <c s="80" r="AN65"/>
      <c t="str" s="142" r="AO65">
        <f>IF((M65="r"),Z65,NA())</f>
        <v>#N/A:explicit</v>
      </c>
      <c t="str" s="142" r="AP65">
        <f>IF((M65="p"),Z65,NA())</f>
        <v>#N/A:explicit</v>
      </c>
      <c t="str" s="142" r="AQ65">
        <f>IF((M65="n"),Z65,NA())</f>
        <v>#N/A:explicit</v>
      </c>
      <c t="str" s="142" r="AR65">
        <f>IF((M65="g"),Z65,NA())</f>
        <v>#N/A:explicit</v>
      </c>
      <c s="142" r="AS65"/>
      <c t="str" s="142" r="AT65">
        <f>IF((COUNTA($M65:$M$361)=0),"---",IF(AND(($M65="r"),(COUNTA($M66:$M$361)&gt;0)),(MAX(AT$44:AT64)+1),IF(OR(($M64="p"),($M64="n"),($M64="g")),"---",AT64)))</f>
        <v>---</v>
      </c>
      <c t="str" s="142" r="AU65">
        <f>IF((COUNTA($M65:$M$361)=0),"---",IF(AND(($M65="p"),(COUNTA($M66:$M$361)&gt;0)),(MAX(AU$44:AU64)+1),IF(OR(($M64="r"),($M64="n"),($M64="g")),"---",AU64)))</f>
        <v>---</v>
      </c>
      <c t="str" s="142" r="AV65">
        <f>IF((COUNTA($M65:$M$361)=0),"---",IF(AND(($M65="n"),(COUNTA($M66:$M$361)&gt;0)),(MAX(AV$44:AV64)+1),IF(OR(($M64="r"),($M64="p"),($M64="g")),"---",AV64)))</f>
        <v>---</v>
      </c>
      <c t="str" s="142" r="AW65">
        <f>IF((COUNTA($M65:$M$361)=0),"---",IF(AND(($M65="g"),(COUNTA($M66:$M$361)&gt;0)),(MAX(AW$44:AW64)+1),IF(OR(($M64="r"),($M64="p"),($M64="n")),"---",AW64)))</f>
        <v>---</v>
      </c>
      <c s="676" r="AX65">
        <f>IF((M65="p"),(1+MAX(AX$44:AX64)),0)</f>
        <v>0</v>
      </c>
      <c s="51" r="AY65"/>
      <c s="761" r="AZ65"/>
      <c s="761" r="BA65"/>
      <c s="125" r="BB65"/>
      <c s="125" r="BC65"/>
      <c s="125" r="BD65"/>
      <c s="125" r="BE65"/>
      <c s="125" r="BF65"/>
      <c s="125" r="BG65"/>
      <c s="125" r="BH65"/>
      <c s="125" r="BI65"/>
    </row>
    <row r="66">
      <c s="822" r="A66"/>
      <c s="908" r="B66"/>
      <c s="44" r="C66"/>
      <c s="551" r="D66"/>
      <c t="str" s="812" r="E66">
        <f>"glide length"&amp;IF((AH31=2)," (m)"," (ft)")</f>
        <v>glide length (ft)</v>
      </c>
      <c t="str" s="719" r="F66">
        <f>IF(ISBLANK(E34),F34,E34)</f>
        <v>---</v>
      </c>
      <c s="551" r="G66"/>
      <c t="str" s="286" r="H66">
        <f>IF(ISBLANK(G34),AR8,G34)</f>
        <v>---</v>
      </c>
      <c t="str" s="224" r="I66">
        <f>IF(ISBLANK(H34),AR9,H34)</f>
        <v>---</v>
      </c>
      <c s="702" r="J66"/>
      <c s="429" r="K66"/>
      <c s="458" r="L66"/>
      <c s="104" r="M66"/>
      <c s="458" r="N66"/>
      <c t="str" s="589" r="O66">
        <f>IF((AH$28=2),IF(ISBLANK(N66),O65,N66),IF(ISNUMBER(N66),(MAX(O$44:O65)+N66),O65))</f>
        <v/>
      </c>
      <c s="228" r="P66"/>
      <c s="273" r="Q66">
        <f>IF(ISNUMBER(P66),((Q65+P66)-R65),Q65)</f>
        <v>100</v>
      </c>
      <c s="228" r="R66"/>
      <c s="610" r="S66"/>
      <c s="458" r="T66"/>
      <c s="458" r="U66"/>
      <c s="458" r="V66"/>
      <c s="458" r="W66"/>
      <c s="458" r="X66"/>
      <c s="458" r="Y66"/>
      <c t="str" s="620" r="Z66">
        <f>IF(ISNUMBER(S66),(Q66-S66),NA())</f>
        <v>#N/A:explicit</v>
      </c>
      <c t="str" s="620" r="AA66">
        <f>IF(ISNUMBER(T66),IF((AH$22=1),(Z66+T66),(Q66-T66)),NA())</f>
        <v>#N/A:explicit</v>
      </c>
      <c t="str" s="620" r="AB66">
        <f>IF(ISNUMBER(U66),(Q66-U66),NA())</f>
        <v>#N/A:explicit</v>
      </c>
      <c t="str" s="620" r="AC66">
        <f>IF(ISNUMBER(V66),(Q66-V66),NA())</f>
        <v>#N/A:explicit</v>
      </c>
      <c t="str" s="620" r="AD66">
        <f>IF(ISNUMBER(W66),(Q66-W66),NA())</f>
        <v>#N/A:explicit</v>
      </c>
      <c t="str" s="620" r="AE66">
        <f>IF(ISNUMBER(X66),(Q66-X66),NA())</f>
        <v>#N/A:explicit</v>
      </c>
      <c t="str" s="552" r="AF66">
        <f>IF(ISNUMBER(Z66),Z66,"---")</f>
        <v>---</v>
      </c>
      <c s="142" r="AG66"/>
      <c t="str" s="142" r="AH66">
        <f>IF(ISBLANK(L66),NA(),MIN(AF$44:AF$361))</f>
        <v>#N/A:explicit</v>
      </c>
      <c t="str" s="142" r="AI66">
        <f>IF(ISNA(AA66),Z66,AA66)</f>
        <v>#N/A:explicit</v>
      </c>
      <c s="142" r="AJ66">
        <f>MIN(AF$44:AF$361)</f>
        <v>0</v>
      </c>
      <c s="142" r="AK66"/>
      <c t="str" s="142" r="AL66">
        <f>IF(ISNUMBER(AB66),O66,"---")</f>
        <v>---</v>
      </c>
      <c t="str" s="80" r="AM66">
        <f>IF(ISNUMBER(AB66),AB66,"---")</f>
        <v>---</v>
      </c>
      <c s="80" r="AN66"/>
      <c t="str" s="142" r="AO66">
        <f>IF((M66="r"),Z66,NA())</f>
        <v>#N/A:explicit</v>
      </c>
      <c t="str" s="142" r="AP66">
        <f>IF((M66="p"),Z66,NA())</f>
        <v>#N/A:explicit</v>
      </c>
      <c t="str" s="142" r="AQ66">
        <f>IF((M66="n"),Z66,NA())</f>
        <v>#N/A:explicit</v>
      </c>
      <c t="str" s="142" r="AR66">
        <f>IF((M66="g"),Z66,NA())</f>
        <v>#N/A:explicit</v>
      </c>
      <c s="142" r="AS66"/>
      <c t="str" s="142" r="AT66">
        <f>IF((COUNTA($M66:$M$361)=0),"---",IF(AND(($M66="r"),(COUNTA($M67:$M$361)&gt;0)),(MAX(AT$44:AT65)+1),IF(OR(($M65="p"),($M65="n"),($M65="g")),"---",AT65)))</f>
        <v>---</v>
      </c>
      <c t="str" s="142" r="AU66">
        <f>IF((COUNTA($M66:$M$361)=0),"---",IF(AND(($M66="p"),(COUNTA($M67:$M$361)&gt;0)),(MAX(AU$44:AU65)+1),IF(OR(($M65="r"),($M65="n"),($M65="g")),"---",AU65)))</f>
        <v>---</v>
      </c>
      <c t="str" s="142" r="AV66">
        <f>IF((COUNTA($M66:$M$361)=0),"---",IF(AND(($M66="n"),(COUNTA($M67:$M$361)&gt;0)),(MAX(AV$44:AV65)+1),IF(OR(($M65="r"),($M65="p"),($M65="g")),"---",AV65)))</f>
        <v>---</v>
      </c>
      <c t="str" s="142" r="AW66">
        <f>IF((COUNTA($M66:$M$361)=0),"---",IF(AND(($M66="g"),(COUNTA($M67:$M$361)&gt;0)),(MAX(AW$44:AW65)+1),IF(OR(($M65="r"),($M65="p"),($M65="n")),"---",AW65)))</f>
        <v>---</v>
      </c>
      <c s="676" r="AX66">
        <f>IF((M66="p"),(1+MAX(AX$44:AX65)),0)</f>
        <v>0</v>
      </c>
      <c s="51" r="AY66"/>
      <c s="761" r="AZ66"/>
      <c s="761" r="BA66"/>
      <c s="125" r="BB66"/>
      <c s="125" r="BC66"/>
      <c s="125" r="BD66"/>
      <c s="125" r="BE66"/>
      <c s="125" r="BF66"/>
      <c s="125" r="BG66"/>
      <c s="125" r="BH66"/>
      <c s="125" r="BI66"/>
    </row>
    <row r="67">
      <c s="822" r="A67"/>
      <c s="406" r="B67"/>
      <c s="806" r="C67"/>
      <c s="886" r="D67"/>
      <c t="s" s="836" r="E67">
        <v>96</v>
      </c>
      <c t="str" s="289" r="F67">
        <f>IF(ISBLANK(E37),F37,E37)</f>
        <v>---</v>
      </c>
      <c s="551" r="G67"/>
      <c s="819" r="H67"/>
      <c s="293" r="I67"/>
      <c s="702" r="J67"/>
      <c s="429" r="K67"/>
      <c s="458" r="L67"/>
      <c s="104" r="M67"/>
      <c s="458" r="N67"/>
      <c t="str" s="589" r="O67">
        <f>IF((AH$28=2),IF(ISBLANK(N67),O66,N67),IF(ISNUMBER(N67),(MAX(O$44:O66)+N67),O66))</f>
        <v/>
      </c>
      <c s="228" r="P67"/>
      <c s="273" r="Q67">
        <f>IF(ISNUMBER(P67),((Q66+P67)-R66),Q66)</f>
        <v>100</v>
      </c>
      <c s="228" r="R67"/>
      <c s="610" r="S67"/>
      <c s="458" r="T67"/>
      <c s="458" r="U67"/>
      <c s="458" r="V67"/>
      <c s="458" r="W67"/>
      <c s="458" r="X67"/>
      <c s="458" r="Y67"/>
      <c t="str" s="620" r="Z67">
        <f>IF(ISNUMBER(S67),(Q67-S67),NA())</f>
        <v>#N/A:explicit</v>
      </c>
      <c t="str" s="620" r="AA67">
        <f>IF(ISNUMBER(T67),IF((AH$22=1),(Z67+T67),(Q67-T67)),NA())</f>
        <v>#N/A:explicit</v>
      </c>
      <c t="str" s="620" r="AB67">
        <f>IF(ISNUMBER(U67),(Q67-U67),NA())</f>
        <v>#N/A:explicit</v>
      </c>
      <c t="str" s="620" r="AC67">
        <f>IF(ISNUMBER(V67),(Q67-V67),NA())</f>
        <v>#N/A:explicit</v>
      </c>
      <c t="str" s="620" r="AD67">
        <f>IF(ISNUMBER(W67),(Q67-W67),NA())</f>
        <v>#N/A:explicit</v>
      </c>
      <c t="str" s="620" r="AE67">
        <f>IF(ISNUMBER(X67),(Q67-X67),NA())</f>
        <v>#N/A:explicit</v>
      </c>
      <c t="str" s="552" r="AF67">
        <f>IF(ISNUMBER(Z67),Z67,"---")</f>
        <v>---</v>
      </c>
      <c s="142" r="AG67"/>
      <c t="str" s="142" r="AH67">
        <f>IF(ISBLANK(L67),NA(),MIN(AF$44:AF$361))</f>
        <v>#N/A:explicit</v>
      </c>
      <c t="str" s="142" r="AI67">
        <f>IF(ISNA(AA67),Z67,AA67)</f>
        <v>#N/A:explicit</v>
      </c>
      <c s="142" r="AJ67">
        <f>MIN(AF$44:AF$361)</f>
        <v>0</v>
      </c>
      <c s="142" r="AK67"/>
      <c t="str" s="142" r="AL67">
        <f>IF(ISNUMBER(AB67),O67,"---")</f>
        <v>---</v>
      </c>
      <c t="str" s="80" r="AM67">
        <f>IF(ISNUMBER(AB67),AB67,"---")</f>
        <v>---</v>
      </c>
      <c s="80" r="AN67"/>
      <c t="str" s="142" r="AO67">
        <f>IF((M67="r"),Z67,NA())</f>
        <v>#N/A:explicit</v>
      </c>
      <c t="str" s="142" r="AP67">
        <f>IF((M67="p"),Z67,NA())</f>
        <v>#N/A:explicit</v>
      </c>
      <c t="str" s="142" r="AQ67">
        <f>IF((M67="n"),Z67,NA())</f>
        <v>#N/A:explicit</v>
      </c>
      <c t="str" s="142" r="AR67">
        <f>IF((M67="g"),Z67,NA())</f>
        <v>#N/A:explicit</v>
      </c>
      <c s="142" r="AS67"/>
      <c t="str" s="142" r="AT67">
        <f>IF((COUNTA($M67:$M$361)=0),"---",IF(AND(($M67="r"),(COUNTA($M68:$M$361)&gt;0)),(MAX(AT$44:AT66)+1),IF(OR(($M66="p"),($M66="n"),($M66="g")),"---",AT66)))</f>
        <v>---</v>
      </c>
      <c t="str" s="142" r="AU67">
        <f>IF((COUNTA($M67:$M$361)=0),"---",IF(AND(($M67="p"),(COUNTA($M68:$M$361)&gt;0)),(MAX(AU$44:AU66)+1),IF(OR(($M66="r"),($M66="n"),($M66="g")),"---",AU66)))</f>
        <v>---</v>
      </c>
      <c t="str" s="142" r="AV67">
        <f>IF((COUNTA($M67:$M$361)=0),"---",IF(AND(($M67="n"),(COUNTA($M68:$M$361)&gt;0)),(MAX(AV$44:AV66)+1),IF(OR(($M66="r"),($M66="p"),($M66="g")),"---",AV66)))</f>
        <v>---</v>
      </c>
      <c t="str" s="142" r="AW67">
        <f>IF((COUNTA($M67:$M$361)=0),"---",IF(AND(($M67="g"),(COUNTA($M68:$M$361)&gt;0)),(MAX(AW$44:AW66)+1),IF(OR(($M66="r"),($M66="p"),($M66="n")),"---",AW66)))</f>
        <v>---</v>
      </c>
      <c s="676" r="AX67">
        <f>IF((M67="p"),(1+MAX(AX$44:AX66)),0)</f>
        <v>0</v>
      </c>
      <c s="51" r="AY67"/>
      <c s="761" r="AZ67"/>
      <c s="761" r="BA67"/>
      <c s="125" r="BB67"/>
      <c s="125" r="BC67"/>
      <c s="125" r="BD67"/>
      <c s="125" r="BE67"/>
      <c s="125" r="BF67"/>
      <c s="125" r="BG67"/>
      <c s="125" r="BH67"/>
      <c s="125" r="BI67"/>
    </row>
    <row r="68">
      <c s="822" r="A68"/>
      <c s="908" r="B68"/>
      <c s="44" r="C68"/>
      <c s="551" r="D68"/>
      <c t="s" s="812" r="E68">
        <v>141</v>
      </c>
      <c t="str" s="289" r="F68">
        <f>IF(ISBLANK(E38),F38,E38)</f>
        <v>---</v>
      </c>
      <c s="551" r="G68"/>
      <c t="str" s="52" r="H68">
        <f>IF(ISBLANK(G38),IF(ISNUMBER(AS8),AS8,"---"),G38)</f>
        <v>---</v>
      </c>
      <c t="str" s="328" r="I68">
        <f>IF(ISBLANK(H38),IF(ISNUMBER(AS9),AS9,"---"),H38)</f>
        <v>---</v>
      </c>
      <c s="702" r="J68"/>
      <c s="429" r="K68"/>
      <c s="458" r="L68"/>
      <c s="104" r="M68"/>
      <c s="458" r="N68"/>
      <c t="str" s="589" r="O68">
        <f>IF((AH$28=2),IF(ISBLANK(N68),O67,N68),IF(ISNUMBER(N68),(MAX(O$44:O67)+N68),O67))</f>
        <v/>
      </c>
      <c s="228" r="P68"/>
      <c s="273" r="Q68">
        <f>IF(ISNUMBER(P68),((Q67+P68)-R67),Q67)</f>
        <v>100</v>
      </c>
      <c s="228" r="R68"/>
      <c s="610" r="S68"/>
      <c s="458" r="T68"/>
      <c s="458" r="U68"/>
      <c s="458" r="V68"/>
      <c s="458" r="W68"/>
      <c s="458" r="X68"/>
      <c s="458" r="Y68"/>
      <c t="str" s="620" r="Z68">
        <f>IF(ISNUMBER(S68),(Q68-S68),NA())</f>
        <v>#N/A:explicit</v>
      </c>
      <c t="str" s="620" r="AA68">
        <f>IF(ISNUMBER(T68),IF((AH$22=1),(Z68+T68),(Q68-T68)),NA())</f>
        <v>#N/A:explicit</v>
      </c>
      <c t="str" s="620" r="AB68">
        <f>IF(ISNUMBER(U68),(Q68-U68),NA())</f>
        <v>#N/A:explicit</v>
      </c>
      <c t="str" s="620" r="AC68">
        <f>IF(ISNUMBER(V68),(Q68-V68),NA())</f>
        <v>#N/A:explicit</v>
      </c>
      <c t="str" s="620" r="AD68">
        <f>IF(ISNUMBER(W68),(Q68-W68),NA())</f>
        <v>#N/A:explicit</v>
      </c>
      <c t="str" s="620" r="AE68">
        <f>IF(ISNUMBER(X68),(Q68-X68),NA())</f>
        <v>#N/A:explicit</v>
      </c>
      <c t="str" s="552" r="AF68">
        <f>IF(ISNUMBER(Z68),Z68,"---")</f>
        <v>---</v>
      </c>
      <c s="142" r="AG68"/>
      <c t="str" s="142" r="AH68">
        <f>IF(ISBLANK(L68),NA(),MIN(AF$44:AF$361))</f>
        <v>#N/A:explicit</v>
      </c>
      <c t="str" s="142" r="AI68">
        <f>IF(ISNA(AA68),Z68,AA68)</f>
        <v>#N/A:explicit</v>
      </c>
      <c s="142" r="AJ68">
        <f>MIN(AF$44:AF$361)</f>
        <v>0</v>
      </c>
      <c s="142" r="AK68"/>
      <c t="str" s="142" r="AL68">
        <f>IF(ISNUMBER(AB68),O68,"---")</f>
        <v>---</v>
      </c>
      <c t="str" s="80" r="AM68">
        <f>IF(ISNUMBER(AB68),AB68,"---")</f>
        <v>---</v>
      </c>
      <c s="80" r="AN68"/>
      <c t="str" s="142" r="AO68">
        <f>IF((M68="r"),Z68,NA())</f>
        <v>#N/A:explicit</v>
      </c>
      <c t="str" s="142" r="AP68">
        <f>IF((M68="p"),Z68,NA())</f>
        <v>#N/A:explicit</v>
      </c>
      <c t="str" s="142" r="AQ68">
        <f>IF((M68="n"),Z68,NA())</f>
        <v>#N/A:explicit</v>
      </c>
      <c t="str" s="142" r="AR68">
        <f>IF((M68="g"),Z68,NA())</f>
        <v>#N/A:explicit</v>
      </c>
      <c s="142" r="AS68"/>
      <c t="str" s="142" r="AT68">
        <f>IF((COUNTA($M68:$M$361)=0),"---",IF(AND(($M68="r"),(COUNTA($M69:$M$361)&gt;0)),(MAX(AT$44:AT67)+1),IF(OR(($M67="p"),($M67="n"),($M67="g")),"---",AT67)))</f>
        <v>---</v>
      </c>
      <c t="str" s="142" r="AU68">
        <f>IF((COUNTA($M68:$M$361)=0),"---",IF(AND(($M68="p"),(COUNTA($M69:$M$361)&gt;0)),(MAX(AU$44:AU67)+1),IF(OR(($M67="r"),($M67="n"),($M67="g")),"---",AU67)))</f>
        <v>---</v>
      </c>
      <c t="str" s="142" r="AV68">
        <f>IF((COUNTA($M68:$M$361)=0),"---",IF(AND(($M68="n"),(COUNTA($M69:$M$361)&gt;0)),(MAX(AV$44:AV67)+1),IF(OR(($M67="r"),($M67="p"),($M67="g")),"---",AV67)))</f>
        <v>---</v>
      </c>
      <c t="str" s="142" r="AW68">
        <f>IF((COUNTA($M68:$M$361)=0),"---",IF(AND(($M68="g"),(COUNTA($M69:$M$361)&gt;0)),(MAX(AW$44:AW67)+1),IF(OR(($M67="r"),($M67="p"),($M67="n")),"---",AW67)))</f>
        <v>---</v>
      </c>
      <c s="676" r="AX68">
        <f>IF((M68="p"),(1+MAX(AX$44:AX67)),0)</f>
        <v>0</v>
      </c>
      <c s="51" r="AY68"/>
      <c s="761" r="AZ68"/>
      <c s="761" r="BA68"/>
      <c s="125" r="BB68"/>
      <c s="125" r="BC68"/>
      <c s="125" r="BD68"/>
      <c s="125" r="BE68"/>
      <c s="125" r="BF68"/>
      <c s="125" r="BG68"/>
      <c s="125" r="BH68"/>
      <c s="125" r="BI68"/>
    </row>
    <row r="69">
      <c s="822" r="A69"/>
      <c s="406" r="B69"/>
      <c s="806" r="C69"/>
      <c s="886" r="D69"/>
      <c t="s" s="836" r="E69">
        <v>143</v>
      </c>
      <c t="str" s="289" r="F69">
        <f>IF(ISBLANK(E39),F39,E39)</f>
        <v>---</v>
      </c>
      <c s="551" r="G69"/>
      <c t="str" s="52" r="H69">
        <f>IF(ISBLANK(G39),IF(ISNUMBER(AT8),AT8,"---"),G39)</f>
        <v>---</v>
      </c>
      <c t="str" s="328" r="I69">
        <f>IF(ISBLANK(H39),IF(ISNUMBER(AT9),AT9,"---"),H39)</f>
        <v>---</v>
      </c>
      <c s="702" r="J69"/>
      <c s="848" r="K69"/>
      <c s="550" r="L69"/>
      <c s="104" r="M69"/>
      <c s="550" r="N69"/>
      <c t="str" s="589" r="O69">
        <f>IF((AH$28=2),IF(ISBLANK(N69),O68,N69),IF(ISNUMBER(N69),(MAX(O$44:O68)+N69),O68))</f>
        <v/>
      </c>
      <c s="694" r="P69"/>
      <c s="273" r="Q69">
        <f>IF(ISNUMBER(P69),((Q68+P69)-R68),Q68)</f>
        <v>100</v>
      </c>
      <c s="694" r="R69"/>
      <c s="821" r="S69"/>
      <c s="550" r="T69"/>
      <c s="550" r="U69"/>
      <c s="550" r="V69"/>
      <c s="550" r="W69"/>
      <c s="550" r="X69"/>
      <c s="550" r="Y69"/>
      <c t="str" s="470" r="Z69">
        <f>IF(ISNUMBER(S69),(Q69-S69),NA())</f>
        <v>#N/A:explicit</v>
      </c>
      <c t="str" s="470" r="AA69">
        <f>IF(ISNUMBER(T69),IF((AH$22=1),(Z69+T69),(Q69-T69)),NA())</f>
        <v>#N/A:explicit</v>
      </c>
      <c t="str" s="470" r="AB69">
        <f>IF(ISNUMBER(U69),(Q69-U69),NA())</f>
        <v>#N/A:explicit</v>
      </c>
      <c t="str" s="470" r="AC69">
        <f>IF(ISNUMBER(V69),(Q69-V69),NA())</f>
        <v>#N/A:explicit</v>
      </c>
      <c t="str" s="470" r="AD69">
        <f>IF(ISNUMBER(W69),(Q69-W69),NA())</f>
        <v>#N/A:explicit</v>
      </c>
      <c t="str" s="470" r="AE69">
        <f>IF(ISNUMBER(X69),(Q69-X69),NA())</f>
        <v>#N/A:explicit</v>
      </c>
      <c t="str" s="552" r="AF69">
        <f>IF(ISNUMBER(Z69),Z69,"---")</f>
        <v>---</v>
      </c>
      <c s="142" r="AG69"/>
      <c t="str" s="142" r="AH69">
        <f>IF(ISBLANK(L69),NA(),MIN(AF$44:AF$361))</f>
        <v>#N/A:explicit</v>
      </c>
      <c t="str" s="142" r="AI69">
        <f>IF(ISNA(AA69),Z69,AA69)</f>
        <v>#N/A:explicit</v>
      </c>
      <c s="142" r="AJ69">
        <f>MIN(AF$44:AF$361)</f>
        <v>0</v>
      </c>
      <c s="142" r="AK69"/>
      <c t="str" s="142" r="AL69">
        <f>IF(ISNUMBER(AB69),O69,"---")</f>
        <v>---</v>
      </c>
      <c t="str" s="80" r="AM69">
        <f>IF(ISNUMBER(AB69),AB69,"---")</f>
        <v>---</v>
      </c>
      <c s="80" r="AN69"/>
      <c t="str" s="142" r="AO69">
        <f>IF((M69="r"),Z69,NA())</f>
        <v>#N/A:explicit</v>
      </c>
      <c t="str" s="142" r="AP69">
        <f>IF((M69="p"),Z69,NA())</f>
        <v>#N/A:explicit</v>
      </c>
      <c t="str" s="142" r="AQ69">
        <f>IF((M69="n"),Z69,NA())</f>
        <v>#N/A:explicit</v>
      </c>
      <c t="str" s="142" r="AR69">
        <f>IF((M69="g"),Z69,NA())</f>
        <v>#N/A:explicit</v>
      </c>
      <c s="142" r="AS69"/>
      <c t="str" s="142" r="AT69">
        <f>IF((COUNTA($M69:$M$361)=0),"---",IF(AND(($M69="r"),(COUNTA($M70:$M$361)&gt;0)),(MAX(AT$44:AT68)+1),IF(OR(($M68="p"),($M68="n"),($M68="g")),"---",AT68)))</f>
        <v>---</v>
      </c>
      <c t="str" s="142" r="AU69">
        <f>IF((COUNTA($M69:$M$361)=0),"---",IF(AND(($M69="p"),(COUNTA($M70:$M$361)&gt;0)),(MAX(AU$44:AU68)+1),IF(OR(($M68="r"),($M68="n"),($M68="g")),"---",AU68)))</f>
        <v>---</v>
      </c>
      <c t="str" s="142" r="AV69">
        <f>IF((COUNTA($M69:$M$361)=0),"---",IF(AND(($M69="n"),(COUNTA($M70:$M$361)&gt;0)),(MAX(AV$44:AV68)+1),IF(OR(($M68="r"),($M68="p"),($M68="g")),"---",AV68)))</f>
        <v>---</v>
      </c>
      <c t="str" s="142" r="AW69">
        <f>IF((COUNTA($M69:$M$361)=0),"---",IF(AND(($M69="g"),(COUNTA($M70:$M$361)&gt;0)),(MAX(AW$44:AW68)+1),IF(OR(($M68="r"),($M68="p"),($M68="n")),"---",AW68)))</f>
        <v>---</v>
      </c>
      <c s="676" r="AX69">
        <f>IF((M69="p"),(1+MAX(AX$44:AX68)),0)</f>
        <v>0</v>
      </c>
      <c s="51" r="AY69"/>
      <c s="761" r="AZ69"/>
      <c s="761" r="BA69"/>
      <c s="125" r="BB69"/>
      <c s="125" r="BC69"/>
      <c s="125" r="BD69"/>
      <c s="125" r="BE69"/>
      <c s="125" r="BF69"/>
      <c s="125" r="BG69"/>
      <c s="125" r="BH69"/>
      <c s="125" r="BI69"/>
    </row>
    <row r="70">
      <c s="822" r="A70"/>
      <c s="36" r="B70"/>
      <c s="44" r="C70"/>
      <c s="391" r="D70"/>
      <c t="s" s="812" r="E70">
        <v>145</v>
      </c>
      <c t="str" s="289" r="F70">
        <f>IF(ISBLANK(E40),F40,E40)</f>
        <v>---</v>
      </c>
      <c s="551" r="G70"/>
      <c t="str" s="52" r="H70">
        <f>IF(ISBLANK(G40),IF(ISNUMBER(AU8),AU8,"---"),G40)</f>
        <v>---</v>
      </c>
      <c t="str" s="328" r="I70">
        <f>IF(ISBLANK(H40),IF(ISNUMBER(AU9),AU9,"---"),H40)</f>
        <v>---</v>
      </c>
      <c s="702" r="J70"/>
      <c s="848" r="K70"/>
      <c s="550" r="L70"/>
      <c s="104" r="M70"/>
      <c s="550" r="N70"/>
      <c t="str" s="589" r="O70">
        <f>IF((AH$28=2),IF(ISBLANK(N70),O69,N70),IF(ISNUMBER(N70),(MAX(O$44:O69)+N70),O69))</f>
        <v/>
      </c>
      <c s="694" r="P70"/>
      <c s="273" r="Q70">
        <f>IF(ISNUMBER(P70),((Q69+P70)-R69),Q69)</f>
        <v>100</v>
      </c>
      <c s="694" r="R70"/>
      <c s="821" r="S70"/>
      <c s="550" r="T70"/>
      <c s="550" r="U70"/>
      <c s="550" r="V70"/>
      <c s="550" r="W70"/>
      <c s="550" r="X70"/>
      <c s="550" r="Y70"/>
      <c t="str" s="470" r="Z70">
        <f>IF(ISNUMBER(S70),(Q70-S70),NA())</f>
        <v>#N/A:explicit</v>
      </c>
      <c t="str" s="470" r="AA70">
        <f>IF(ISNUMBER(T70),IF((AH$22=1),(Z70+T70),(Q70-T70)),NA())</f>
        <v>#N/A:explicit</v>
      </c>
      <c t="str" s="470" r="AB70">
        <f>IF(ISNUMBER(U70),(Q70-U70),NA())</f>
        <v>#N/A:explicit</v>
      </c>
      <c t="str" s="470" r="AC70">
        <f>IF(ISNUMBER(V70),(Q70-V70),NA())</f>
        <v>#N/A:explicit</v>
      </c>
      <c t="str" s="470" r="AD70">
        <f>IF(ISNUMBER(W70),(Q70-W70),NA())</f>
        <v>#N/A:explicit</v>
      </c>
      <c t="str" s="470" r="AE70">
        <f>IF(ISNUMBER(X70),(Q70-X70),NA())</f>
        <v>#N/A:explicit</v>
      </c>
      <c t="str" s="552" r="AF70">
        <f>IF(ISNUMBER(Z70),Z70,"---")</f>
        <v>---</v>
      </c>
      <c s="142" r="AG70"/>
      <c t="str" s="142" r="AH70">
        <f>IF(ISBLANK(L70),NA(),MIN(AF$44:AF$361))</f>
        <v>#N/A:explicit</v>
      </c>
      <c t="str" s="142" r="AI70">
        <f>IF(ISNA(AA70),Z70,AA70)</f>
        <v>#N/A:explicit</v>
      </c>
      <c s="142" r="AJ70">
        <f>MIN(AF$44:AF$361)</f>
        <v>0</v>
      </c>
      <c s="142" r="AK70"/>
      <c t="str" s="142" r="AL70">
        <f>IF(ISNUMBER(AB70),O70,"---")</f>
        <v>---</v>
      </c>
      <c t="str" s="80" r="AM70">
        <f>IF(ISNUMBER(AB70),AB70,"---")</f>
        <v>---</v>
      </c>
      <c s="80" r="AN70"/>
      <c t="str" s="142" r="AO70">
        <f>IF((M70="r"),Z70,NA())</f>
        <v>#N/A:explicit</v>
      </c>
      <c t="str" s="142" r="AP70">
        <f>IF((M70="p"),Z70,NA())</f>
        <v>#N/A:explicit</v>
      </c>
      <c t="str" s="142" r="AQ70">
        <f>IF((M70="n"),Z70,NA())</f>
        <v>#N/A:explicit</v>
      </c>
      <c t="str" s="142" r="AR70">
        <f>IF((M70="g"),Z70,NA())</f>
        <v>#N/A:explicit</v>
      </c>
      <c s="142" r="AS70"/>
      <c t="str" s="142" r="AT70">
        <f>IF((COUNTA($M70:$M$361)=0),"---",IF(AND(($M70="r"),(COUNTA($M71:$M$361)&gt;0)),(MAX(AT$44:AT69)+1),IF(OR(($M69="p"),($M69="n"),($M69="g")),"---",AT69)))</f>
        <v>---</v>
      </c>
      <c t="str" s="142" r="AU70">
        <f>IF((COUNTA($M70:$M$361)=0),"---",IF(AND(($M70="p"),(COUNTA($M71:$M$361)&gt;0)),(MAX(AU$44:AU69)+1),IF(OR(($M69="r"),($M69="n"),($M69="g")),"---",AU69)))</f>
        <v>---</v>
      </c>
      <c t="str" s="142" r="AV70">
        <f>IF((COUNTA($M70:$M$361)=0),"---",IF(AND(($M70="n"),(COUNTA($M71:$M$361)&gt;0)),(MAX(AV$44:AV69)+1),IF(OR(($M69="r"),($M69="p"),($M69="g")),"---",AV69)))</f>
        <v>---</v>
      </c>
      <c t="str" s="142" r="AW70">
        <f>IF((COUNTA($M70:$M$361)=0),"---",IF(AND(($M70="g"),(COUNTA($M71:$M$361)&gt;0)),(MAX(AW$44:AW69)+1),IF(OR(($M69="r"),($M69="p"),($M69="n")),"---",AW69)))</f>
        <v>---</v>
      </c>
      <c s="676" r="AX70">
        <f>IF((M70="p"),(1+MAX(AX$44:AX69)),0)</f>
        <v>0</v>
      </c>
      <c s="51" r="AY70"/>
      <c s="761" r="AZ70"/>
      <c s="761" r="BA70"/>
      <c s="125" r="BB70"/>
      <c s="125" r="BC70"/>
      <c s="125" r="BD70"/>
      <c s="125" r="BE70"/>
      <c s="125" r="BF70"/>
      <c s="125" r="BG70"/>
      <c s="125" r="BH70"/>
      <c s="125" r="BI70"/>
    </row>
    <row r="71">
      <c s="822" r="A71"/>
      <c s="309" r="B71"/>
      <c s="806" r="C71"/>
      <c s="861" r="D71"/>
      <c t="s" s="836" r="E71">
        <v>147</v>
      </c>
      <c t="str" s="289" r="F71">
        <f>IF(ISBLANK(E41),F41,E41)</f>
        <v>---</v>
      </c>
      <c s="551" r="G71"/>
      <c t="str" s="52" r="H71">
        <f>IF(ISBLANK(G41),IF(ISNUMBER(AV8),AV8,"---"),G41)</f>
        <v>---</v>
      </c>
      <c t="str" s="328" r="I71">
        <f>IF(ISBLANK(H41),IF(ISNUMBER(AV9),AV9,"---"),H41)</f>
        <v>---</v>
      </c>
      <c s="702" r="J71"/>
      <c s="848" r="K71"/>
      <c s="550" r="L71"/>
      <c s="104" r="M71"/>
      <c s="550" r="N71"/>
      <c t="str" s="589" r="O71">
        <f>IF((AH$28=2),IF(ISBLANK(N71),O70,N71),IF(ISNUMBER(N71),(MAX(O$44:O70)+N71),O70))</f>
        <v/>
      </c>
      <c s="694" r="P71"/>
      <c s="273" r="Q71">
        <f>IF(ISNUMBER(P71),((Q70+P71)-R70),Q70)</f>
        <v>100</v>
      </c>
      <c s="694" r="R71"/>
      <c s="821" r="S71"/>
      <c s="550" r="T71"/>
      <c s="550" r="U71"/>
      <c s="550" r="V71"/>
      <c s="550" r="W71"/>
      <c s="550" r="X71"/>
      <c s="550" r="Y71"/>
      <c t="str" s="470" r="Z71">
        <f>IF(ISNUMBER(S71),(Q71-S71),NA())</f>
        <v>#N/A:explicit</v>
      </c>
      <c t="str" s="470" r="AA71">
        <f>IF(ISNUMBER(T71),IF((AH$22=1),(Z71+T71),(Q71-T71)),NA())</f>
        <v>#N/A:explicit</v>
      </c>
      <c t="str" s="470" r="AB71">
        <f>IF(ISNUMBER(U71),(Q71-U71),NA())</f>
        <v>#N/A:explicit</v>
      </c>
      <c t="str" s="470" r="AC71">
        <f>IF(ISNUMBER(V71),(Q71-V71),NA())</f>
        <v>#N/A:explicit</v>
      </c>
      <c t="str" s="470" r="AD71">
        <f>IF(ISNUMBER(W71),(Q71-W71),NA())</f>
        <v>#N/A:explicit</v>
      </c>
      <c t="str" s="470" r="AE71">
        <f>IF(ISNUMBER(X71),(Q71-X71),NA())</f>
        <v>#N/A:explicit</v>
      </c>
      <c t="str" s="552" r="AF71">
        <f>IF(ISNUMBER(Z71),Z71,"---")</f>
        <v>---</v>
      </c>
      <c s="142" r="AG71"/>
      <c t="str" s="142" r="AH71">
        <f>IF(ISBLANK(L71),NA(),MIN(AF$44:AF$361))</f>
        <v>#N/A:explicit</v>
      </c>
      <c t="str" s="142" r="AI71">
        <f>IF(ISNA(AA71),Z71,AA71)</f>
        <v>#N/A:explicit</v>
      </c>
      <c s="142" r="AJ71">
        <f>MIN(AF$44:AF$361)</f>
        <v>0</v>
      </c>
      <c s="142" r="AK71"/>
      <c t="str" s="142" r="AL71">
        <f>IF(ISNUMBER(AB71),O71,"---")</f>
        <v>---</v>
      </c>
      <c t="str" s="80" r="AM71">
        <f>IF(ISNUMBER(AB71),AB71,"---")</f>
        <v>---</v>
      </c>
      <c s="80" r="AN71"/>
      <c t="str" s="142" r="AO71">
        <f>IF((M71="r"),Z71,NA())</f>
        <v>#N/A:explicit</v>
      </c>
      <c t="str" s="142" r="AP71">
        <f>IF((M71="p"),Z71,NA())</f>
        <v>#N/A:explicit</v>
      </c>
      <c t="str" s="142" r="AQ71">
        <f>IF((M71="n"),Z71,NA())</f>
        <v>#N/A:explicit</v>
      </c>
      <c t="str" s="142" r="AR71">
        <f>IF((M71="g"),Z71,NA())</f>
        <v>#N/A:explicit</v>
      </c>
      <c s="142" r="AS71"/>
      <c t="str" s="142" r="AT71">
        <f>IF((COUNTA($M71:$M$361)=0),"---",IF(AND(($M71="r"),(COUNTA($M72:$M$361)&gt;0)),(MAX(AT$44:AT70)+1),IF(OR(($M70="p"),($M70="n"),($M70="g")),"---",AT70)))</f>
        <v>---</v>
      </c>
      <c t="str" s="142" r="AU71">
        <f>IF((COUNTA($M71:$M$361)=0),"---",IF(AND(($M71="p"),(COUNTA($M72:$M$361)&gt;0)),(MAX(AU$44:AU70)+1),IF(OR(($M70="r"),($M70="n"),($M70="g")),"---",AU70)))</f>
        <v>---</v>
      </c>
      <c t="str" s="142" r="AV71">
        <f>IF((COUNTA($M71:$M$361)=0),"---",IF(AND(($M71="n"),(COUNTA($M72:$M$361)&gt;0)),(MAX(AV$44:AV70)+1),IF(OR(($M70="r"),($M70="p"),($M70="g")),"---",AV70)))</f>
        <v>---</v>
      </c>
      <c t="str" s="142" r="AW71">
        <f>IF((COUNTA($M71:$M$361)=0),"---",IF(AND(($M71="g"),(COUNTA($M72:$M$361)&gt;0)),(MAX(AW$44:AW70)+1),IF(OR(($M70="r"),($M70="p"),($M70="n")),"---",AW70)))</f>
        <v>---</v>
      </c>
      <c s="676" r="AX71">
        <f>IF((M71="p"),(1+MAX(AX$44:AX70)),0)</f>
        <v>0</v>
      </c>
      <c s="51" r="AY71"/>
      <c s="761" r="AZ71"/>
      <c s="761" r="BA71"/>
      <c s="125" r="BB71"/>
      <c s="125" r="BC71"/>
      <c s="125" r="BD71"/>
      <c s="125" r="BE71"/>
      <c s="125" r="BF71"/>
      <c s="125" r="BG71"/>
      <c s="125" r="BH71"/>
      <c s="125" r="BI71"/>
    </row>
    <row r="72">
      <c s="822" r="A72"/>
      <c s="496" r="B72"/>
      <c s="886" r="C72"/>
      <c s="886" r="D72"/>
      <c t="s" s="836" r="E72">
        <v>149</v>
      </c>
      <c t="str" s="289" r="F72">
        <f>IF(ISBLANK(E42),"---",E42)</f>
        <v>---</v>
      </c>
      <c s="472" r="G72"/>
      <c s="819" r="H72"/>
      <c s="293" r="I72"/>
      <c s="702" r="J72"/>
      <c s="429" r="K72"/>
      <c s="458" r="L72"/>
      <c s="104" r="M72"/>
      <c s="458" r="N72"/>
      <c t="str" s="589" r="O72">
        <f>IF((AH$28=2),IF(ISBLANK(N72),O71,N72),IF(ISNUMBER(N72),(MAX(O$44:O71)+N72),O71))</f>
        <v/>
      </c>
      <c s="228" r="P72"/>
      <c s="273" r="Q72">
        <f>IF(ISNUMBER(P72),((Q71+P72)-R71),Q71)</f>
        <v>100</v>
      </c>
      <c s="228" r="R72"/>
      <c s="610" r="S72"/>
      <c s="458" r="T72"/>
      <c s="458" r="U72"/>
      <c s="458" r="V72"/>
      <c s="458" r="W72"/>
      <c s="458" r="X72"/>
      <c s="458" r="Y72"/>
      <c t="str" s="620" r="Z72">
        <f>IF(ISNUMBER(S72),(Q72-S72),NA())</f>
        <v>#N/A:explicit</v>
      </c>
      <c t="str" s="620" r="AA72">
        <f>IF(ISNUMBER(T72),IF((AH$22=1),(Z72+T72),(Q72-T72)),NA())</f>
        <v>#N/A:explicit</v>
      </c>
      <c t="str" s="620" r="AB72">
        <f>IF(ISNUMBER(U72),(Q72-U72),NA())</f>
        <v>#N/A:explicit</v>
      </c>
      <c t="str" s="620" r="AC72">
        <f>IF(ISNUMBER(V72),(Q72-V72),NA())</f>
        <v>#N/A:explicit</v>
      </c>
      <c t="str" s="620" r="AD72">
        <f>IF(ISNUMBER(W72),(Q72-W72),NA())</f>
        <v>#N/A:explicit</v>
      </c>
      <c t="str" s="620" r="AE72">
        <f>IF(ISNUMBER(X72),(Q72-X72),NA())</f>
        <v>#N/A:explicit</v>
      </c>
      <c t="str" s="552" r="AF72">
        <f>IF(ISNUMBER(Z72),Z72,"---")</f>
        <v>---</v>
      </c>
      <c s="142" r="AG72"/>
      <c t="str" s="142" r="AH72">
        <f>IF(ISBLANK(L72),NA(),MIN(AF$44:AF$361))</f>
        <v>#N/A:explicit</v>
      </c>
      <c t="str" s="142" r="AI72">
        <f>IF(ISNA(AA72),Z72,AA72)</f>
        <v>#N/A:explicit</v>
      </c>
      <c s="142" r="AJ72">
        <f>MIN(AF$44:AF$361)</f>
        <v>0</v>
      </c>
      <c s="142" r="AK72"/>
      <c t="str" s="142" r="AL72">
        <f>IF(ISNUMBER(AB72),O72,"---")</f>
        <v>---</v>
      </c>
      <c t="str" s="80" r="AM72">
        <f>IF(ISNUMBER(AB72),AB72,"---")</f>
        <v>---</v>
      </c>
      <c s="80" r="AN72"/>
      <c t="str" s="142" r="AO72">
        <f>IF((M72="r"),Z72,NA())</f>
        <v>#N/A:explicit</v>
      </c>
      <c t="str" s="142" r="AP72">
        <f>IF((M72="p"),Z72,NA())</f>
        <v>#N/A:explicit</v>
      </c>
      <c t="str" s="142" r="AQ72">
        <f>IF((M72="n"),Z72,NA())</f>
        <v>#N/A:explicit</v>
      </c>
      <c t="str" s="142" r="AR72">
        <f>IF((M72="g"),Z72,NA())</f>
        <v>#N/A:explicit</v>
      </c>
      <c s="142" r="AS72"/>
      <c t="str" s="142" r="AT72">
        <f>IF((COUNTA($M72:$M$361)=0),"---",IF(AND(($M72="r"),(COUNTA($M73:$M$361)&gt;0)),(MAX(AT$44:AT71)+1),IF(OR(($M71="p"),($M71="n"),($M71="g")),"---",AT71)))</f>
        <v>---</v>
      </c>
      <c t="str" s="142" r="AU72">
        <f>IF((COUNTA($M72:$M$361)=0),"---",IF(AND(($M72="p"),(COUNTA($M73:$M$361)&gt;0)),(MAX(AU$44:AU71)+1),IF(OR(($M71="r"),($M71="n"),($M71="g")),"---",AU71)))</f>
        <v>---</v>
      </c>
      <c t="str" s="142" r="AV72">
        <f>IF((COUNTA($M72:$M$361)=0),"---",IF(AND(($M72="n"),(COUNTA($M73:$M$361)&gt;0)),(MAX(AV$44:AV71)+1),IF(OR(($M71="r"),($M71="p"),($M71="g")),"---",AV71)))</f>
        <v>---</v>
      </c>
      <c t="str" s="142" r="AW72">
        <f>IF((COUNTA($M72:$M$361)=0),"---",IF(AND(($M72="g"),(COUNTA($M73:$M$361)&gt;0)),(MAX(AW$44:AW71)+1),IF(OR(($M71="r"),($M71="p"),($M71="n")),"---",AW71)))</f>
        <v>---</v>
      </c>
      <c s="676" r="AX72">
        <f>IF((M72="p"),(1+MAX(AX$44:AX71)),0)</f>
        <v>0</v>
      </c>
      <c s="51" r="AY72"/>
      <c s="761" r="AZ72"/>
      <c s="761" r="BA72"/>
      <c s="125" r="BB72"/>
      <c s="125" r="BC72"/>
      <c s="125" r="BD72"/>
      <c s="125" r="BE72"/>
      <c s="125" r="BF72"/>
      <c s="125" r="BG72"/>
      <c s="125" r="BH72"/>
      <c s="125" r="BI72"/>
    </row>
    <row customHeight="1" r="73" ht="13.5">
      <c s="822" r="A73"/>
      <c s="421" r="B73"/>
      <c s="628" r="C73"/>
      <c s="628" r="D73"/>
      <c t="s" s="404" r="E73">
        <v>151</v>
      </c>
      <c t="str" s="495" r="F73">
        <f>IF(ISNUMBER((F67*Pattern!F71)),(ROUND(((F67*Pattern!F71)/(10^TRUNC(LOG(ABS((F67*Pattern!F71)))))),(2-IF(((F67*Pattern!F71)&gt;1),1,0)))*(10^TRUNC(LOG(ABS((F67*Pattern!F71)))))),"---")</f>
        <v>---</v>
      </c>
      <c s="440" r="G73"/>
      <c s="912" r="H73"/>
      <c s="66" r="I73"/>
      <c s="702" r="J73"/>
      <c s="429" r="K73"/>
      <c s="458" r="L73"/>
      <c s="104" r="M73"/>
      <c s="458" r="N73"/>
      <c t="str" s="589" r="O73">
        <f>IF((AH$28=2),IF(ISBLANK(N73),O72,N73),IF(ISNUMBER(N73),(MAX(O$44:O72)+N73),O72))</f>
        <v/>
      </c>
      <c s="228" r="P73"/>
      <c s="273" r="Q73">
        <f>IF(ISNUMBER(P73),((Q72+P73)-R72),Q72)</f>
        <v>100</v>
      </c>
      <c s="228" r="R73"/>
      <c s="610" r="S73"/>
      <c s="458" r="T73"/>
      <c s="458" r="U73"/>
      <c s="458" r="V73"/>
      <c s="458" r="W73"/>
      <c s="458" r="X73"/>
      <c s="458" r="Y73"/>
      <c t="str" s="620" r="Z73">
        <f>IF(ISNUMBER(S73),(Q73-S73),NA())</f>
        <v>#N/A:explicit</v>
      </c>
      <c t="str" s="620" r="AA73">
        <f>IF(ISNUMBER(T73),IF((AH$22=1),(Z73+T73),(Q73-T73)),NA())</f>
        <v>#N/A:explicit</v>
      </c>
      <c t="str" s="620" r="AB73">
        <f>IF(ISNUMBER(U73),(Q73-U73),NA())</f>
        <v>#N/A:explicit</v>
      </c>
      <c t="str" s="620" r="AC73">
        <f>IF(ISNUMBER(V73),(Q73-V73),NA())</f>
        <v>#N/A:explicit</v>
      </c>
      <c t="str" s="620" r="AD73">
        <f>IF(ISNUMBER(W73),(Q73-W73),NA())</f>
        <v>#N/A:explicit</v>
      </c>
      <c t="str" s="620" r="AE73">
        <f>IF(ISNUMBER(X73),(Q73-X73),NA())</f>
        <v>#N/A:explicit</v>
      </c>
      <c t="str" s="552" r="AF73">
        <f>IF(ISNUMBER(Z73),Z73,"---")</f>
        <v>---</v>
      </c>
      <c s="142" r="AG73"/>
      <c t="str" s="142" r="AH73">
        <f>IF(ISBLANK(L73),NA(),MIN(AF$44:AF$361))</f>
        <v>#N/A:explicit</v>
      </c>
      <c t="str" s="142" r="AI73">
        <f>IF(ISNA(AA73),Z73,AA73)</f>
        <v>#N/A:explicit</v>
      </c>
      <c s="142" r="AJ73">
        <f>MIN(AF$44:AF$361)</f>
        <v>0</v>
      </c>
      <c s="142" r="AK73"/>
      <c t="str" s="142" r="AL73">
        <f>IF(ISNUMBER(AB73),O73,"---")</f>
        <v>---</v>
      </c>
      <c t="str" s="80" r="AM73">
        <f>IF(ISNUMBER(AB73),AB73,"---")</f>
        <v>---</v>
      </c>
      <c s="80" r="AN73"/>
      <c t="str" s="142" r="AO73">
        <f>IF((M73="r"),Z73,NA())</f>
        <v>#N/A:explicit</v>
      </c>
      <c t="str" s="142" r="AP73">
        <f>IF((M73="p"),Z73,NA())</f>
        <v>#N/A:explicit</v>
      </c>
      <c t="str" s="142" r="AQ73">
        <f>IF((M73="n"),Z73,NA())</f>
        <v>#N/A:explicit</v>
      </c>
      <c t="str" s="142" r="AR73">
        <f>IF((M73="g"),Z73,NA())</f>
        <v>#N/A:explicit</v>
      </c>
      <c s="142" r="AS73"/>
      <c t="str" s="142" r="AT73">
        <f>IF((COUNTA($M73:$M$361)=0),"---",IF(AND(($M73="r"),(COUNTA($M74:$M$361)&gt;0)),(MAX(AT$44:AT72)+1),IF(OR(($M72="p"),($M72="n"),($M72="g")),"---",AT72)))</f>
        <v>---</v>
      </c>
      <c t="str" s="142" r="AU73">
        <f>IF((COUNTA($M73:$M$361)=0),"---",IF(AND(($M73="p"),(COUNTA($M74:$M$361)&gt;0)),(MAX(AU$44:AU72)+1),IF(OR(($M72="r"),($M72="n"),($M72="g")),"---",AU72)))</f>
        <v>---</v>
      </c>
      <c t="str" s="142" r="AV73">
        <f>IF((COUNTA($M73:$M$361)=0),"---",IF(AND(($M73="n"),(COUNTA($M74:$M$361)&gt;0)),(MAX(AV$44:AV72)+1),IF(OR(($M72="r"),($M72="p"),($M72="g")),"---",AV72)))</f>
        <v>---</v>
      </c>
      <c t="str" s="142" r="AW73">
        <f>IF((COUNTA($M73:$M$361)=0),"---",IF(AND(($M73="g"),(COUNTA($M74:$M$361)&gt;0)),(MAX(AW$44:AW72)+1),IF(OR(($M72="r"),($M72="p"),($M72="n")),"---",AW72)))</f>
        <v>---</v>
      </c>
      <c s="676" r="AX73">
        <f>IF((M73="p"),(1+MAX(AX$44:AX72)),0)</f>
        <v>0</v>
      </c>
      <c s="51" r="AY73"/>
      <c s="761" r="AZ73"/>
      <c s="761" r="BA73"/>
      <c s="125" r="BB73"/>
      <c s="125" r="BC73"/>
      <c s="125" r="BD73"/>
      <c s="125" r="BE73"/>
      <c s="125" r="BF73"/>
      <c s="125" r="BG73"/>
      <c s="125" r="BH73"/>
      <c s="125" r="BI73"/>
    </row>
    <row r="74">
      <c s="822" r="A74"/>
      <c s="332" r="B74"/>
      <c s="149" r="C74"/>
      <c s="149" r="D74"/>
      <c t="s" s="196" r="E74">
        <v>153</v>
      </c>
      <c t="str" s="722" r="F74">
        <f>IF(ISNUMBER((F63*$F$61)),IF(((F63*F$61)&gt;0),ROUND((F63/$F$61),1),"---"),"---")</f>
        <v>---</v>
      </c>
      <c s="283" r="G74"/>
      <c t="str" s="283" r="H74">
        <f>IF(ISNUMBER((H63*$F$61)),IF(((H63*F$61)&gt;0),ROUND((H63/$F$61),1),"---"),"---")</f>
        <v>---</v>
      </c>
      <c t="str" s="281" r="I74">
        <f>IF(ISNUMBER((I63*$F$61)),IF(((I63*F$61)&gt;0),ROUND((I63/$F$61),1),"---"),"---")</f>
        <v>---</v>
      </c>
      <c s="702" r="J74"/>
      <c s="429" r="K74"/>
      <c s="458" r="L74"/>
      <c s="104" r="M74"/>
      <c s="458" r="N74"/>
      <c t="str" s="589" r="O74">
        <f>IF((AH$28=2),IF(ISBLANK(N74),O73,N74),IF(ISNUMBER(N74),(MAX(O$44:O73)+N74),O73))</f>
        <v/>
      </c>
      <c s="228" r="P74"/>
      <c s="273" r="Q74">
        <f>IF(ISNUMBER(P74),((Q73+P74)-R73),Q73)</f>
        <v>100</v>
      </c>
      <c s="228" r="R74"/>
      <c s="610" r="S74"/>
      <c s="458" r="T74"/>
      <c s="458" r="U74"/>
      <c s="458" r="V74"/>
      <c s="458" r="W74"/>
      <c s="458" r="X74"/>
      <c s="458" r="Y74"/>
      <c t="str" s="620" r="Z74">
        <f>IF(ISNUMBER(S74),(Q74-S74),NA())</f>
        <v>#N/A:explicit</v>
      </c>
      <c t="str" s="620" r="AA74">
        <f>IF(ISNUMBER(T74),IF((AH$22=1),(Z74+T74),(Q74-T74)),NA())</f>
        <v>#N/A:explicit</v>
      </c>
      <c t="str" s="620" r="AB74">
        <f>IF(ISNUMBER(U74),(Q74-U74),NA())</f>
        <v>#N/A:explicit</v>
      </c>
      <c t="str" s="620" r="AC74">
        <f>IF(ISNUMBER(V74),(Q74-V74),NA())</f>
        <v>#N/A:explicit</v>
      </c>
      <c t="str" s="620" r="AD74">
        <f>IF(ISNUMBER(W74),(Q74-W74),NA())</f>
        <v>#N/A:explicit</v>
      </c>
      <c t="str" s="620" r="AE74">
        <f>IF(ISNUMBER(X74),(Q74-X74),NA())</f>
        <v>#N/A:explicit</v>
      </c>
      <c t="str" s="552" r="AF74">
        <f>IF(ISNUMBER(Z74),Z74,"---")</f>
        <v>---</v>
      </c>
      <c s="142" r="AG74"/>
      <c t="str" s="142" r="AH74">
        <f>IF(ISBLANK(L74),NA(),MIN(AF$44:AF$361))</f>
        <v>#N/A:explicit</v>
      </c>
      <c t="str" s="142" r="AI74">
        <f>IF(ISNA(AA74),Z74,AA74)</f>
        <v>#N/A:explicit</v>
      </c>
      <c s="142" r="AJ74">
        <f>MIN(AF$44:AF$361)</f>
        <v>0</v>
      </c>
      <c s="142" r="AK74"/>
      <c t="str" s="142" r="AL74">
        <f>IF(ISNUMBER(AB74),O74,"---")</f>
        <v>---</v>
      </c>
      <c t="str" s="80" r="AM74">
        <f>IF(ISNUMBER(AB74),AB74,"---")</f>
        <v>---</v>
      </c>
      <c s="80" r="AN74"/>
      <c t="str" s="142" r="AO74">
        <f>IF((M74="r"),Z74,NA())</f>
        <v>#N/A:explicit</v>
      </c>
      <c t="str" s="142" r="AP74">
        <f>IF((M74="p"),Z74,NA())</f>
        <v>#N/A:explicit</v>
      </c>
      <c t="str" s="142" r="AQ74">
        <f>IF((M74="n"),Z74,NA())</f>
        <v>#N/A:explicit</v>
      </c>
      <c t="str" s="142" r="AR74">
        <f>IF((M74="g"),Z74,NA())</f>
        <v>#N/A:explicit</v>
      </c>
      <c s="142" r="AS74"/>
      <c t="str" s="142" r="AT74">
        <f>IF((COUNTA($M74:$M$361)=0),"---",IF(AND(($M74="r"),(COUNTA($M75:$M$361)&gt;0)),(MAX(AT$44:AT73)+1),IF(OR(($M73="p"),($M73="n"),($M73="g")),"---",AT73)))</f>
        <v>---</v>
      </c>
      <c t="str" s="142" r="AU74">
        <f>IF((COUNTA($M74:$M$361)=0),"---",IF(AND(($M74="p"),(COUNTA($M75:$M$361)&gt;0)),(MAX(AU$44:AU73)+1),IF(OR(($M73="r"),($M73="n"),($M73="g")),"---",AU73)))</f>
        <v>---</v>
      </c>
      <c t="str" s="142" r="AV74">
        <f>IF((COUNTA($M74:$M$361)=0),"---",IF(AND(($M74="n"),(COUNTA($M75:$M$361)&gt;0)),(MAX(AV$44:AV73)+1),IF(OR(($M73="r"),($M73="p"),($M73="g")),"---",AV73)))</f>
        <v>---</v>
      </c>
      <c t="str" s="142" r="AW74">
        <f>IF((COUNTA($M74:$M$361)=0),"---",IF(AND(($M74="g"),(COUNTA($M75:$M$361)&gt;0)),(MAX(AW$44:AW73)+1),IF(OR(($M73="r"),($M73="p"),($M73="n")),"---",AW73)))</f>
        <v>---</v>
      </c>
      <c s="676" r="AX74">
        <f>IF((M74="p"),(1+MAX(AX$44:AX73)),0)</f>
        <v>0</v>
      </c>
      <c s="51" r="AY74"/>
      <c s="761" r="AZ74"/>
      <c s="761" r="BA74"/>
      <c s="125" r="BB74"/>
      <c s="125" r="BC74"/>
      <c s="125" r="BD74"/>
      <c s="125" r="BE74"/>
      <c s="125" r="BF74"/>
      <c s="125" r="BG74"/>
      <c s="125" r="BH74"/>
      <c s="125" r="BI74"/>
    </row>
    <row r="75">
      <c s="822" r="A75"/>
      <c s="406" r="B75"/>
      <c s="886" r="C75"/>
      <c s="886" r="D75"/>
      <c t="s" s="599" r="E75">
        <v>155</v>
      </c>
      <c t="str" s="289" r="F75">
        <f>IF(ISNUMBER((F64*$F$61)),IF(((F64*F$61)&gt;0),ROUND((F64/$F$61),1),"---"),"---")</f>
        <v>---</v>
      </c>
      <c s="52" r="G75"/>
      <c t="str" s="52" r="H75">
        <f>IF(ISNUMBER((H64*$F$61)),IF(((H64*F$61)&gt;0),ROUND((H64/$F$61),1),"---"),"---")</f>
        <v>---</v>
      </c>
      <c t="str" s="328" r="I75">
        <f>IF(ISNUMBER((I64*$F$61)),IF(((I64*F$61)&gt;0),ROUND((I64/$F$61),1),"---"),"---")</f>
        <v>---</v>
      </c>
      <c s="702" r="J75"/>
      <c s="848" r="K75"/>
      <c s="550" r="L75"/>
      <c s="104" r="M75"/>
      <c s="550" r="N75"/>
      <c t="str" s="589" r="O75">
        <f>IF((AH$28=2),IF(ISBLANK(N75),O74,N75),IF(ISNUMBER(N75),(MAX(O$44:O74)+N75),O74))</f>
        <v/>
      </c>
      <c s="694" r="P75"/>
      <c s="273" r="Q75">
        <f>IF(ISNUMBER(P75),((Q74+P75)-R74),Q74)</f>
        <v>100</v>
      </c>
      <c s="694" r="R75"/>
      <c s="821" r="S75"/>
      <c s="550" r="T75"/>
      <c s="550" r="U75"/>
      <c s="550" r="V75"/>
      <c s="550" r="W75"/>
      <c s="550" r="X75"/>
      <c s="550" r="Y75"/>
      <c t="str" s="470" r="Z75">
        <f>IF(ISNUMBER(S75),(Q75-S75),NA())</f>
        <v>#N/A:explicit</v>
      </c>
      <c t="str" s="470" r="AA75">
        <f>IF(ISNUMBER(T75),IF((AH$22=1),(Z75+T75),(Q75-T75)),NA())</f>
        <v>#N/A:explicit</v>
      </c>
      <c t="str" s="470" r="AB75">
        <f>IF(ISNUMBER(U75),(Q75-U75),NA())</f>
        <v>#N/A:explicit</v>
      </c>
      <c t="str" s="470" r="AC75">
        <f>IF(ISNUMBER(V75),(Q75-V75),NA())</f>
        <v>#N/A:explicit</v>
      </c>
      <c t="str" s="470" r="AD75">
        <f>IF(ISNUMBER(W75),(Q75-W75),NA())</f>
        <v>#N/A:explicit</v>
      </c>
      <c t="str" s="470" r="AE75">
        <f>IF(ISNUMBER(X75),(Q75-X75),NA())</f>
        <v>#N/A:explicit</v>
      </c>
      <c t="str" s="552" r="AF75">
        <f>IF(ISNUMBER(Z75),Z75,"---")</f>
        <v>---</v>
      </c>
      <c s="142" r="AG75"/>
      <c t="str" s="142" r="AH75">
        <f>IF(ISBLANK(L75),NA(),MIN(AF$44:AF$361))</f>
        <v>#N/A:explicit</v>
      </c>
      <c t="str" s="142" r="AI75">
        <f>IF(ISNA(AA75),Z75,AA75)</f>
        <v>#N/A:explicit</v>
      </c>
      <c s="142" r="AJ75">
        <f>MIN(AF$44:AF$361)</f>
        <v>0</v>
      </c>
      <c s="142" r="AK75"/>
      <c t="str" s="142" r="AL75">
        <f>IF(ISNUMBER(AB75),O75,"---")</f>
        <v>---</v>
      </c>
      <c t="str" s="80" r="AM75">
        <f>IF(ISNUMBER(AB75),AB75,"---")</f>
        <v>---</v>
      </c>
      <c s="80" r="AN75"/>
      <c t="str" s="142" r="AO75">
        <f>IF((M75="r"),Z75,NA())</f>
        <v>#N/A:explicit</v>
      </c>
      <c t="str" s="142" r="AP75">
        <f>IF((M75="p"),Z75,NA())</f>
        <v>#N/A:explicit</v>
      </c>
      <c t="str" s="142" r="AQ75">
        <f>IF((M75="n"),Z75,NA())</f>
        <v>#N/A:explicit</v>
      </c>
      <c t="str" s="142" r="AR75">
        <f>IF((M75="g"),Z75,NA())</f>
        <v>#N/A:explicit</v>
      </c>
      <c s="142" r="AS75"/>
      <c t="str" s="142" r="AT75">
        <f>IF((COUNTA($M75:$M$361)=0),"---",IF(AND(($M75="r"),(COUNTA($M76:$M$361)&gt;0)),(MAX(AT$44:AT74)+1),IF(OR(($M74="p"),($M74="n"),($M74="g")),"---",AT74)))</f>
        <v>---</v>
      </c>
      <c t="str" s="142" r="AU75">
        <f>IF((COUNTA($M75:$M$361)=0),"---",IF(AND(($M75="p"),(COUNTA($M76:$M$361)&gt;0)),(MAX(AU$44:AU74)+1),IF(OR(($M74="r"),($M74="n"),($M74="g")),"---",AU74)))</f>
        <v>---</v>
      </c>
      <c t="str" s="142" r="AV75">
        <f>IF((COUNTA($M75:$M$361)=0),"---",IF(AND(($M75="n"),(COUNTA($M76:$M$361)&gt;0)),(MAX(AV$44:AV74)+1),IF(OR(($M74="r"),($M74="p"),($M74="g")),"---",AV74)))</f>
        <v>---</v>
      </c>
      <c t="str" s="142" r="AW75">
        <f>IF((COUNTA($M75:$M$361)=0),"---",IF(AND(($M75="g"),(COUNTA($M76:$M$361)&gt;0)),(MAX(AW$44:AW74)+1),IF(OR(($M74="r"),($M74="p"),($M74="n")),"---",AW74)))</f>
        <v>---</v>
      </c>
      <c s="676" r="AX75">
        <f>IF((M75="p"),(1+MAX(AX$44:AX74)),0)</f>
        <v>0</v>
      </c>
      <c s="51" r="AY75"/>
      <c s="761" r="AZ75"/>
      <c s="761" r="BA75"/>
      <c s="125" r="BB75"/>
      <c s="125" r="BC75"/>
      <c s="125" r="BD75"/>
      <c s="125" r="BE75"/>
      <c s="125" r="BF75"/>
      <c s="125" r="BG75"/>
      <c s="125" r="BH75"/>
      <c s="125" r="BI75"/>
    </row>
    <row r="76">
      <c s="822" r="A76"/>
      <c s="406" r="B76"/>
      <c s="886" r="C76"/>
      <c s="886" r="D76"/>
      <c t="s" s="599" r="E76">
        <v>157</v>
      </c>
      <c t="str" s="289" r="F76">
        <f>IF(ISNUMBER((F65*$F$61)),IF(((F65*F$61)&gt;0),ROUND((F65/$F$61),1),"---"),"---")</f>
        <v>---</v>
      </c>
      <c s="52" r="G76"/>
      <c t="str" s="52" r="H76">
        <f>IF(ISNUMBER((H65*$F$61)),IF(((H65*F$61)&gt;0),ROUND((H65/$F$61),1),"---"),"---")</f>
        <v>---</v>
      </c>
      <c t="str" s="328" r="I76">
        <f>IF(ISNUMBER((I65*$F$61)),IF(((I65*F$61)&gt;0),ROUND((I65/$F$61),1),"---"),"---")</f>
        <v>---</v>
      </c>
      <c s="702" r="J76"/>
      <c s="848" r="K76"/>
      <c s="550" r="L76"/>
      <c s="104" r="M76"/>
      <c s="550" r="N76"/>
      <c t="str" s="589" r="O76">
        <f>IF((AH$28=2),IF(ISBLANK(N76),O75,N76),IF(ISNUMBER(N76),(MAX(O$44:O75)+N76),O75))</f>
        <v/>
      </c>
      <c s="694" r="P76"/>
      <c s="273" r="Q76">
        <f>IF(ISNUMBER(P76),((Q75+P76)-R75),Q75)</f>
        <v>100</v>
      </c>
      <c s="694" r="R76"/>
      <c s="821" r="S76"/>
      <c s="550" r="T76"/>
      <c s="550" r="U76"/>
      <c s="550" r="V76"/>
      <c s="550" r="W76"/>
      <c s="550" r="X76"/>
      <c s="550" r="Y76"/>
      <c t="str" s="470" r="Z76">
        <f>IF(ISNUMBER(S76),(Q76-S76),NA())</f>
        <v>#N/A:explicit</v>
      </c>
      <c t="str" s="470" r="AA76">
        <f>IF(ISNUMBER(T76),IF((AH$22=1),(Z76+T76),(Q76-T76)),NA())</f>
        <v>#N/A:explicit</v>
      </c>
      <c t="str" s="470" r="AB76">
        <f>IF(ISNUMBER(U76),(Q76-U76),NA())</f>
        <v>#N/A:explicit</v>
      </c>
      <c t="str" s="470" r="AC76">
        <f>IF(ISNUMBER(V76),(Q76-V76),NA())</f>
        <v>#N/A:explicit</v>
      </c>
      <c t="str" s="470" r="AD76">
        <f>IF(ISNUMBER(W76),(Q76-W76),NA())</f>
        <v>#N/A:explicit</v>
      </c>
      <c t="str" s="470" r="AE76">
        <f>IF(ISNUMBER(X76),(Q76-X76),NA())</f>
        <v>#N/A:explicit</v>
      </c>
      <c t="str" s="552" r="AF76">
        <f>IF(ISNUMBER(Z76),Z76,"---")</f>
        <v>---</v>
      </c>
      <c s="142" r="AG76"/>
      <c t="str" s="142" r="AH76">
        <f>IF(ISBLANK(L76),NA(),MIN(AF$44:AF$361))</f>
        <v>#N/A:explicit</v>
      </c>
      <c t="str" s="142" r="AI76">
        <f>IF(ISNA(AA76),Z76,AA76)</f>
        <v>#N/A:explicit</v>
      </c>
      <c s="142" r="AJ76">
        <f>MIN(AF$44:AF$361)</f>
        <v>0</v>
      </c>
      <c s="142" r="AK76"/>
      <c t="str" s="142" r="AL76">
        <f>IF(ISNUMBER(AB76),O76,"---")</f>
        <v>---</v>
      </c>
      <c t="str" s="80" r="AM76">
        <f>IF(ISNUMBER(AB76),AB76,"---")</f>
        <v>---</v>
      </c>
      <c s="80" r="AN76"/>
      <c t="str" s="142" r="AO76">
        <f>IF((M76="r"),Z76,NA())</f>
        <v>#N/A:explicit</v>
      </c>
      <c t="str" s="142" r="AP76">
        <f>IF((M76="p"),Z76,NA())</f>
        <v>#N/A:explicit</v>
      </c>
      <c t="str" s="142" r="AQ76">
        <f>IF((M76="n"),Z76,NA())</f>
        <v>#N/A:explicit</v>
      </c>
      <c t="str" s="142" r="AR76">
        <f>IF((M76="g"),Z76,NA())</f>
        <v>#N/A:explicit</v>
      </c>
      <c s="142" r="AS76"/>
      <c t="str" s="142" r="AT76">
        <f>IF((COUNTA($M76:$M$361)=0),"---",IF(AND(($M76="r"),(COUNTA($M77:$M$361)&gt;0)),(MAX(AT$44:AT75)+1),IF(OR(($M75="p"),($M75="n"),($M75="g")),"---",AT75)))</f>
        <v>---</v>
      </c>
      <c t="str" s="142" r="AU76">
        <f>IF((COUNTA($M76:$M$361)=0),"---",IF(AND(($M76="p"),(COUNTA($M77:$M$361)&gt;0)),(MAX(AU$44:AU75)+1),IF(OR(($M75="r"),($M75="n"),($M75="g")),"---",AU75)))</f>
        <v>---</v>
      </c>
      <c t="str" s="142" r="AV76">
        <f>IF((COUNTA($M76:$M$361)=0),"---",IF(AND(($M76="n"),(COUNTA($M77:$M$361)&gt;0)),(MAX(AV$44:AV75)+1),IF(OR(($M75="r"),($M75="p"),($M75="g")),"---",AV75)))</f>
        <v>---</v>
      </c>
      <c t="str" s="142" r="AW76">
        <f>IF((COUNTA($M76:$M$361)=0),"---",IF(AND(($M76="g"),(COUNTA($M77:$M$361)&gt;0)),(MAX(AW$44:AW75)+1),IF(OR(($M75="r"),($M75="p"),($M75="n")),"---",AW75)))</f>
        <v>---</v>
      </c>
      <c s="676" r="AX76">
        <f>IF((M76="p"),(1+MAX(AX$44:AX75)),0)</f>
        <v>0</v>
      </c>
      <c s="51" r="AY76"/>
      <c s="761" r="AZ76"/>
      <c s="761" r="BA76"/>
      <c s="125" r="BB76"/>
      <c s="125" r="BC76"/>
      <c s="125" r="BD76"/>
      <c s="125" r="BE76"/>
      <c s="125" r="BF76"/>
      <c s="125" r="BG76"/>
      <c s="125" r="BH76"/>
      <c s="125" r="BI76"/>
    </row>
    <row r="77">
      <c s="822" r="A77"/>
      <c s="406" r="B77"/>
      <c s="886" r="C77"/>
      <c s="886" r="D77"/>
      <c t="s" s="599" r="E77">
        <v>159</v>
      </c>
      <c t="str" s="289" r="F77">
        <f>IF(ISNUMBER((F66*$F$61)),IF(((F66*F$61)&gt;0),ROUND((F66/$F$61),1),"---"),"---")</f>
        <v>---</v>
      </c>
      <c s="52" r="G77"/>
      <c t="str" s="52" r="H77">
        <f>IF(ISNUMBER((H66*$F$61)),IF(((H66*F$61)&gt;0),ROUND((H66/$F$61),1),"---"),"---")</f>
        <v>---</v>
      </c>
      <c t="str" s="328" r="I77">
        <f>IF(ISNUMBER((I66*$F$61)),IF(((I66*F$61)&gt;0),ROUND((I66/$F$61),1),"---"),"---")</f>
        <v>---</v>
      </c>
      <c s="702" r="J77"/>
      <c s="848" r="K77"/>
      <c s="550" r="L77"/>
      <c s="104" r="M77"/>
      <c s="550" r="N77"/>
      <c t="str" s="589" r="O77">
        <f>IF((AH$28=2),IF(ISBLANK(N77),O76,N77),IF(ISNUMBER(N77),(MAX(O$44:O76)+N77),O76))</f>
        <v/>
      </c>
      <c s="694" r="P77"/>
      <c s="273" r="Q77">
        <f>IF(ISNUMBER(P77),((Q76+P77)-R76),Q76)</f>
        <v>100</v>
      </c>
      <c s="694" r="R77"/>
      <c s="821" r="S77"/>
      <c s="550" r="T77"/>
      <c s="550" r="U77"/>
      <c s="550" r="V77"/>
      <c s="550" r="W77"/>
      <c s="550" r="X77"/>
      <c s="550" r="Y77"/>
      <c t="str" s="470" r="Z77">
        <f>IF(ISNUMBER(S77),(Q77-S77),NA())</f>
        <v>#N/A:explicit</v>
      </c>
      <c t="str" s="470" r="AA77">
        <f>IF(ISNUMBER(T77),IF((AH$22=1),(Z77+T77),(Q77-T77)),NA())</f>
        <v>#N/A:explicit</v>
      </c>
      <c t="str" s="470" r="AB77">
        <f>IF(ISNUMBER(U77),(Q77-U77),NA())</f>
        <v>#N/A:explicit</v>
      </c>
      <c t="str" s="470" r="AC77">
        <f>IF(ISNUMBER(V77),(Q77-V77),NA())</f>
        <v>#N/A:explicit</v>
      </c>
      <c t="str" s="470" r="AD77">
        <f>IF(ISNUMBER(W77),(Q77-W77),NA())</f>
        <v>#N/A:explicit</v>
      </c>
      <c t="str" s="470" r="AE77">
        <f>IF(ISNUMBER(X77),(Q77-X77),NA())</f>
        <v>#N/A:explicit</v>
      </c>
      <c t="str" s="552" r="AF77">
        <f>IF(ISNUMBER(Z77),Z77,"---")</f>
        <v>---</v>
      </c>
      <c s="142" r="AG77"/>
      <c t="str" s="142" r="AH77">
        <f>IF(ISBLANK(L77),NA(),MIN(AF$44:AF$361))</f>
        <v>#N/A:explicit</v>
      </c>
      <c t="str" s="142" r="AI77">
        <f>IF(ISNA(AA77),Z77,AA77)</f>
        <v>#N/A:explicit</v>
      </c>
      <c s="142" r="AJ77">
        <f>MIN(AF$44:AF$361)</f>
        <v>0</v>
      </c>
      <c s="142" r="AK77"/>
      <c t="str" s="142" r="AL77">
        <f>IF(ISNUMBER(AB77),O77,"---")</f>
        <v>---</v>
      </c>
      <c t="str" s="80" r="AM77">
        <f>IF(ISNUMBER(AB77),AB77,"---")</f>
        <v>---</v>
      </c>
      <c s="80" r="AN77"/>
      <c t="str" s="142" r="AO77">
        <f>IF((M77="r"),Z77,NA())</f>
        <v>#N/A:explicit</v>
      </c>
      <c t="str" s="142" r="AP77">
        <f>IF((M77="p"),Z77,NA())</f>
        <v>#N/A:explicit</v>
      </c>
      <c t="str" s="142" r="AQ77">
        <f>IF((M77="n"),Z77,NA())</f>
        <v>#N/A:explicit</v>
      </c>
      <c t="str" s="142" r="AR77">
        <f>IF((M77="g"),Z77,NA())</f>
        <v>#N/A:explicit</v>
      </c>
      <c s="142" r="AS77"/>
      <c t="str" s="142" r="AT77">
        <f>IF((COUNTA($M77:$M$361)=0),"---",IF(AND(($M77="r"),(COUNTA($M78:$M$361)&gt;0)),(MAX(AT$44:AT76)+1),IF(OR(($M76="p"),($M76="n"),($M76="g")),"---",AT76)))</f>
        <v>---</v>
      </c>
      <c t="str" s="142" r="AU77">
        <f>IF((COUNTA($M77:$M$361)=0),"---",IF(AND(($M77="p"),(COUNTA($M78:$M$361)&gt;0)),(MAX(AU$44:AU76)+1),IF(OR(($M76="r"),($M76="n"),($M76="g")),"---",AU76)))</f>
        <v>---</v>
      </c>
      <c t="str" s="142" r="AV77">
        <f>IF((COUNTA($M77:$M$361)=0),"---",IF(AND(($M77="n"),(COUNTA($M78:$M$361)&gt;0)),(MAX(AV$44:AV76)+1),IF(OR(($M76="r"),($M76="p"),($M76="g")),"---",AV76)))</f>
        <v>---</v>
      </c>
      <c t="str" s="142" r="AW77">
        <f>IF((COUNTA($M77:$M$361)=0),"---",IF(AND(($M77="g"),(COUNTA($M78:$M$361)&gt;0)),(MAX(AW$44:AW76)+1),IF(OR(($M76="r"),($M76="p"),($M76="n")),"---",AW76)))</f>
        <v>---</v>
      </c>
      <c s="676" r="AX77">
        <f>IF((M77="p"),(1+MAX(AX$44:AX76)),0)</f>
        <v>0</v>
      </c>
      <c s="51" r="AY77"/>
      <c s="761" r="AZ77"/>
      <c s="761" r="BA77"/>
      <c s="125" r="BB77"/>
      <c s="125" r="BC77"/>
      <c s="125" r="BD77"/>
      <c s="125" r="BE77"/>
      <c s="125" r="BF77"/>
      <c s="125" r="BG77"/>
      <c s="125" r="BH77"/>
      <c s="125" r="BI77"/>
    </row>
    <row r="78">
      <c s="822" r="A78"/>
      <c s="406" r="B78"/>
      <c s="886" r="C78"/>
      <c s="886" r="D78"/>
      <c t="s" s="836" r="E78">
        <v>161</v>
      </c>
      <c t="str" s="289" r="F78">
        <f>IF(ISNUMBER((F68*$F$67)),IF(ISNUMBER(F68),ROUND((F68/$F$67),1),"---"),"---")</f>
        <v>---</v>
      </c>
      <c s="52" r="G78"/>
      <c t="str" s="52" r="H78">
        <f>IF(ISNUMBER((H68/$F$67)),ROUND((H68/$F$67),1),"---")</f>
        <v>---</v>
      </c>
      <c t="str" s="328" r="I78">
        <f>IF(ISNUMBER((I68/$F$67)),ROUND((I68/$F$67),1),"---")</f>
        <v>---</v>
      </c>
      <c s="702" r="J78"/>
      <c s="429" r="K78"/>
      <c s="458" r="L78"/>
      <c s="104" r="M78"/>
      <c s="458" r="N78"/>
      <c t="str" s="589" r="O78">
        <f>IF((AH$28=2),IF(ISBLANK(N78),O77,N78),IF(ISNUMBER(N78),(MAX(O$44:O77)+N78),O77))</f>
        <v/>
      </c>
      <c s="228" r="P78"/>
      <c s="273" r="Q78">
        <f>IF(ISNUMBER(P78),((Q77+P78)-R77),Q77)</f>
        <v>100</v>
      </c>
      <c s="228" r="R78"/>
      <c s="610" r="S78"/>
      <c s="458" r="T78"/>
      <c s="458" r="U78"/>
      <c s="458" r="V78"/>
      <c s="458" r="W78"/>
      <c s="458" r="X78"/>
      <c s="458" r="Y78"/>
      <c t="str" s="620" r="Z78">
        <f>IF(ISNUMBER(S78),(Q78-S78),NA())</f>
        <v>#N/A:explicit</v>
      </c>
      <c t="str" s="620" r="AA78">
        <f>IF(ISNUMBER(T78),IF((AH$22=1),(Z78+T78),(Q78-T78)),NA())</f>
        <v>#N/A:explicit</v>
      </c>
      <c t="str" s="620" r="AB78">
        <f>IF(ISNUMBER(U78),(Q78-U78),NA())</f>
        <v>#N/A:explicit</v>
      </c>
      <c t="str" s="620" r="AC78">
        <f>IF(ISNUMBER(V78),(Q78-V78),NA())</f>
        <v>#N/A:explicit</v>
      </c>
      <c t="str" s="620" r="AD78">
        <f>IF(ISNUMBER(W78),(Q78-W78),NA())</f>
        <v>#N/A:explicit</v>
      </c>
      <c t="str" s="620" r="AE78">
        <f>IF(ISNUMBER(X78),(Q78-X78),NA())</f>
        <v>#N/A:explicit</v>
      </c>
      <c t="str" s="552" r="AF78">
        <f>IF(ISNUMBER(Z78),Z78,"---")</f>
        <v>---</v>
      </c>
      <c s="142" r="AG78"/>
      <c t="str" s="142" r="AH78">
        <f>IF(ISBLANK(L78),NA(),MIN(AF$44:AF$361))</f>
        <v>#N/A:explicit</v>
      </c>
      <c t="str" s="142" r="AI78">
        <f>IF(ISNA(AA78),Z78,AA78)</f>
        <v>#N/A:explicit</v>
      </c>
      <c s="142" r="AJ78">
        <f>MIN(AF$44:AF$361)</f>
        <v>0</v>
      </c>
      <c s="142" r="AK78"/>
      <c t="str" s="142" r="AL78">
        <f>IF(ISNUMBER(AB78),O78,"---")</f>
        <v>---</v>
      </c>
      <c t="str" s="80" r="AM78">
        <f>IF(ISNUMBER(AB78),AB78,"---")</f>
        <v>---</v>
      </c>
      <c s="80" r="AN78"/>
      <c t="str" s="142" r="AO78">
        <f>IF((M78="r"),Z78,NA())</f>
        <v>#N/A:explicit</v>
      </c>
      <c t="str" s="142" r="AP78">
        <f>IF((M78="p"),Z78,NA())</f>
        <v>#N/A:explicit</v>
      </c>
      <c t="str" s="142" r="AQ78">
        <f>IF((M78="n"),Z78,NA())</f>
        <v>#N/A:explicit</v>
      </c>
      <c t="str" s="142" r="AR78">
        <f>IF((M78="g"),Z78,NA())</f>
        <v>#N/A:explicit</v>
      </c>
      <c s="142" r="AS78"/>
      <c t="str" s="142" r="AT78">
        <f>IF((COUNTA($M78:$M$361)=0),"---",IF(AND(($M78="r"),(COUNTA($M79:$M$361)&gt;0)),(MAX(AT$44:AT77)+1),IF(OR(($M77="p"),($M77="n"),($M77="g")),"---",AT77)))</f>
        <v>---</v>
      </c>
      <c t="str" s="142" r="AU78">
        <f>IF((COUNTA($M78:$M$361)=0),"---",IF(AND(($M78="p"),(COUNTA($M79:$M$361)&gt;0)),(MAX(AU$44:AU77)+1),IF(OR(($M77="r"),($M77="n"),($M77="g")),"---",AU77)))</f>
        <v>---</v>
      </c>
      <c t="str" s="142" r="AV78">
        <f>IF((COUNTA($M78:$M$361)=0),"---",IF(AND(($M78="n"),(COUNTA($M79:$M$361)&gt;0)),(MAX(AV$44:AV77)+1),IF(OR(($M77="r"),($M77="p"),($M77="g")),"---",AV77)))</f>
        <v>---</v>
      </c>
      <c t="str" s="142" r="AW78">
        <f>IF((COUNTA($M78:$M$361)=0),"---",IF(AND(($M78="g"),(COUNTA($M79:$M$361)&gt;0)),(MAX(AW$44:AW77)+1),IF(OR(($M77="r"),($M77="p"),($M77="n")),"---",AW77)))</f>
        <v>---</v>
      </c>
      <c s="676" r="AX78">
        <f>IF((M78="p"),(1+MAX(AX$44:AX77)),0)</f>
        <v>0</v>
      </c>
      <c s="51" r="AY78"/>
      <c s="761" r="AZ78"/>
      <c s="761" r="BA78"/>
      <c s="125" r="BB78"/>
      <c s="125" r="BC78"/>
      <c s="125" r="BD78"/>
      <c s="125" r="BE78"/>
      <c s="125" r="BF78"/>
      <c s="125" r="BG78"/>
      <c s="125" r="BH78"/>
      <c s="125" r="BI78"/>
    </row>
    <row r="79">
      <c s="822" r="A79"/>
      <c s="406" r="B79"/>
      <c s="886" r="C79"/>
      <c s="886" r="D79"/>
      <c t="s" s="599" r="E79">
        <v>163</v>
      </c>
      <c t="str" s="289" r="F79">
        <f>IF(ISNUMBER((F69*$F$67)),IF(ISNUMBER(F69),ROUND((F69/$F$67),1),"---"),"---")</f>
        <v>---</v>
      </c>
      <c s="52" r="G79"/>
      <c t="str" s="52" r="H79">
        <f>IF(ISNUMBER((H69/$F$67)),ROUND((H69/$F$67),1),"---")</f>
        <v>---</v>
      </c>
      <c t="str" s="328" r="I79">
        <f>IF(ISNUMBER((I69/$F$67)),ROUND((I69/$F$67),1),"---")</f>
        <v>---</v>
      </c>
      <c s="702" r="J79"/>
      <c s="429" r="K79"/>
      <c s="458" r="L79"/>
      <c s="104" r="M79"/>
      <c s="458" r="N79"/>
      <c t="str" s="589" r="O79">
        <f>IF((AH$28=2),IF(ISBLANK(N79),O78,N79),IF(ISNUMBER(N79),(MAX(O$44:O78)+N79),O78))</f>
        <v/>
      </c>
      <c s="228" r="P79"/>
      <c s="273" r="Q79">
        <f>IF(ISNUMBER(P79),((Q78+P79)-R78),Q78)</f>
        <v>100</v>
      </c>
      <c s="228" r="R79"/>
      <c s="610" r="S79"/>
      <c s="458" r="T79"/>
      <c s="458" r="U79"/>
      <c s="458" r="V79"/>
      <c s="458" r="W79"/>
      <c s="458" r="X79"/>
      <c s="458" r="Y79"/>
      <c t="str" s="620" r="Z79">
        <f>IF(ISNUMBER(S79),(Q79-S79),NA())</f>
        <v>#N/A:explicit</v>
      </c>
      <c t="str" s="620" r="AA79">
        <f>IF(ISNUMBER(T79),IF((AH$22=1),(Z79+T79),(Q79-T79)),NA())</f>
        <v>#N/A:explicit</v>
      </c>
      <c t="str" s="620" r="AB79">
        <f>IF(ISNUMBER(U79),(Q79-U79),NA())</f>
        <v>#N/A:explicit</v>
      </c>
      <c t="str" s="620" r="AC79">
        <f>IF(ISNUMBER(V79),(Q79-V79),NA())</f>
        <v>#N/A:explicit</v>
      </c>
      <c t="str" s="620" r="AD79">
        <f>IF(ISNUMBER(W79),(Q79-W79),NA())</f>
        <v>#N/A:explicit</v>
      </c>
      <c t="str" s="620" r="AE79">
        <f>IF(ISNUMBER(X79),(Q79-X79),NA())</f>
        <v>#N/A:explicit</v>
      </c>
      <c t="str" s="552" r="AF79">
        <f>IF(ISNUMBER(Z79),Z79,"---")</f>
        <v>---</v>
      </c>
      <c s="142" r="AG79"/>
      <c t="str" s="142" r="AH79">
        <f>IF(ISBLANK(L79),NA(),MIN(AF$44:AF$361))</f>
        <v>#N/A:explicit</v>
      </c>
      <c t="str" s="142" r="AI79">
        <f>IF(ISNA(AA79),Z79,AA79)</f>
        <v>#N/A:explicit</v>
      </c>
      <c s="142" r="AJ79">
        <f>MIN(AF$44:AF$361)</f>
        <v>0</v>
      </c>
      <c s="142" r="AK79"/>
      <c t="str" s="142" r="AL79">
        <f>IF(ISNUMBER(AB79),O79,"---")</f>
        <v>---</v>
      </c>
      <c t="str" s="80" r="AM79">
        <f>IF(ISNUMBER(AB79),AB79,"---")</f>
        <v>---</v>
      </c>
      <c s="80" r="AN79"/>
      <c t="str" s="142" r="AO79">
        <f>IF((M79="r"),Z79,NA())</f>
        <v>#N/A:explicit</v>
      </c>
      <c t="str" s="142" r="AP79">
        <f>IF((M79="p"),Z79,NA())</f>
        <v>#N/A:explicit</v>
      </c>
      <c t="str" s="142" r="AQ79">
        <f>IF((M79="n"),Z79,NA())</f>
        <v>#N/A:explicit</v>
      </c>
      <c t="str" s="142" r="AR79">
        <f>IF((M79="g"),Z79,NA())</f>
        <v>#N/A:explicit</v>
      </c>
      <c s="142" r="AS79"/>
      <c t="str" s="142" r="AT79">
        <f>IF((COUNTA($M79:$M$361)=0),"---",IF(AND(($M79="r"),(COUNTA($M80:$M$361)&gt;0)),(MAX(AT$44:AT78)+1),IF(OR(($M78="p"),($M78="n"),($M78="g")),"---",AT78)))</f>
        <v>---</v>
      </c>
      <c t="str" s="142" r="AU79">
        <f>IF((COUNTA($M79:$M$361)=0),"---",IF(AND(($M79="p"),(COUNTA($M80:$M$361)&gt;0)),(MAX(AU$44:AU78)+1),IF(OR(($M78="r"),($M78="n"),($M78="g")),"---",AU78)))</f>
        <v>---</v>
      </c>
      <c t="str" s="142" r="AV79">
        <f>IF((COUNTA($M79:$M$361)=0),"---",IF(AND(($M79="n"),(COUNTA($M80:$M$361)&gt;0)),(MAX(AV$44:AV78)+1),IF(OR(($M78="r"),($M78="p"),($M78="g")),"---",AV78)))</f>
        <v>---</v>
      </c>
      <c t="str" s="142" r="AW79">
        <f>IF((COUNTA($M79:$M$361)=0),"---",IF(AND(($M79="g"),(COUNTA($M80:$M$361)&gt;0)),(MAX(AW$44:AW78)+1),IF(OR(($M78="r"),($M78="p"),($M78="n")),"---",AW78)))</f>
        <v>---</v>
      </c>
      <c s="676" r="AX79">
        <f>IF((M79="p"),(1+MAX(AX$44:AX78)),0)</f>
        <v>0</v>
      </c>
      <c s="51" r="AY79"/>
      <c s="761" r="AZ79"/>
      <c s="761" r="BA79"/>
      <c s="125" r="BB79"/>
      <c s="125" r="BC79"/>
      <c s="125" r="BD79"/>
      <c s="125" r="BE79"/>
      <c s="125" r="BF79"/>
      <c s="125" r="BG79"/>
      <c s="125" r="BH79"/>
      <c s="125" r="BI79"/>
    </row>
    <row r="80">
      <c s="822" r="A80"/>
      <c s="406" r="B80"/>
      <c s="886" r="C80"/>
      <c s="886" r="D80"/>
      <c t="s" s="599" r="E80">
        <v>165</v>
      </c>
      <c t="str" s="289" r="F80">
        <f>IF(ISNUMBER((F70*$F$67)),IF(ISNUMBER(F70),ROUND((F70/$F$67),1),"---"),"---")</f>
        <v>---</v>
      </c>
      <c s="52" r="G80"/>
      <c t="str" s="52" r="H80">
        <f>IF(ISNUMBER((H70/$F$67)),ROUND((H70/$F$67),1),"---")</f>
        <v>---</v>
      </c>
      <c t="str" s="328" r="I80">
        <f>IF(ISNUMBER((I70/$F$67)),ROUND((I70/$F$67),1),"---")</f>
        <v>---</v>
      </c>
      <c s="702" r="J80"/>
      <c s="429" r="K80"/>
      <c s="458" r="L80"/>
      <c s="104" r="M80"/>
      <c s="458" r="N80"/>
      <c t="str" s="589" r="O80">
        <f>IF((AH$28=2),IF(ISBLANK(N80),O79,N80),IF(ISNUMBER(N80),(MAX(O$44:O79)+N80),O79))</f>
        <v/>
      </c>
      <c s="228" r="P80"/>
      <c s="273" r="Q80">
        <f>IF(ISNUMBER(P80),((Q79+P80)-R79),Q79)</f>
        <v>100</v>
      </c>
      <c s="228" r="R80"/>
      <c s="610" r="S80"/>
      <c s="458" r="T80"/>
      <c s="458" r="U80"/>
      <c s="458" r="V80"/>
      <c s="458" r="W80"/>
      <c s="458" r="X80"/>
      <c s="458" r="Y80"/>
      <c t="str" s="620" r="Z80">
        <f>IF(ISNUMBER(S80),(Q80-S80),NA())</f>
        <v>#N/A:explicit</v>
      </c>
      <c t="str" s="620" r="AA80">
        <f>IF(ISNUMBER(T80),IF((AH$22=1),(Z80+T80),(Q80-T80)),NA())</f>
        <v>#N/A:explicit</v>
      </c>
      <c t="str" s="620" r="AB80">
        <f>IF(ISNUMBER(U80),(Q80-U80),NA())</f>
        <v>#N/A:explicit</v>
      </c>
      <c t="str" s="620" r="AC80">
        <f>IF(ISNUMBER(V80),(Q80-V80),NA())</f>
        <v>#N/A:explicit</v>
      </c>
      <c t="str" s="620" r="AD80">
        <f>IF(ISNUMBER(W80),(Q80-W80),NA())</f>
        <v>#N/A:explicit</v>
      </c>
      <c t="str" s="620" r="AE80">
        <f>IF(ISNUMBER(X80),(Q80-X80),NA())</f>
        <v>#N/A:explicit</v>
      </c>
      <c t="str" s="552" r="AF80">
        <f>IF(ISNUMBER(Z80),Z80,"---")</f>
        <v>---</v>
      </c>
      <c s="142" r="AG80"/>
      <c t="str" s="142" r="AH80">
        <f>IF(ISBLANK(L80),NA(),MIN(AF$44:AF$361))</f>
        <v>#N/A:explicit</v>
      </c>
      <c t="str" s="142" r="AI80">
        <f>IF(ISNA(AA80),Z80,AA80)</f>
        <v>#N/A:explicit</v>
      </c>
      <c s="142" r="AJ80">
        <f>MIN(AF$44:AF$361)</f>
        <v>0</v>
      </c>
      <c s="142" r="AK80"/>
      <c t="str" s="142" r="AL80">
        <f>IF(ISNUMBER(AB80),O80,"---")</f>
        <v>---</v>
      </c>
      <c t="str" s="80" r="AM80">
        <f>IF(ISNUMBER(AB80),AB80,"---")</f>
        <v>---</v>
      </c>
      <c s="80" r="AN80"/>
      <c t="str" s="142" r="AO80">
        <f>IF((M80="r"),Z80,NA())</f>
        <v>#N/A:explicit</v>
      </c>
      <c t="str" s="142" r="AP80">
        <f>IF((M80="p"),Z80,NA())</f>
        <v>#N/A:explicit</v>
      </c>
      <c t="str" s="142" r="AQ80">
        <f>IF((M80="n"),Z80,NA())</f>
        <v>#N/A:explicit</v>
      </c>
      <c t="str" s="142" r="AR80">
        <f>IF((M80="g"),Z80,NA())</f>
        <v>#N/A:explicit</v>
      </c>
      <c s="142" r="AS80"/>
      <c t="str" s="142" r="AT80">
        <f>IF((COUNTA($M80:$M$361)=0),"---",IF(AND(($M80="r"),(COUNTA($M81:$M$361)&gt;0)),(MAX(AT$44:AT79)+1),IF(OR(($M79="p"),($M79="n"),($M79="g")),"---",AT79)))</f>
        <v>---</v>
      </c>
      <c t="str" s="142" r="AU80">
        <f>IF((COUNTA($M80:$M$361)=0),"---",IF(AND(($M80="p"),(COUNTA($M81:$M$361)&gt;0)),(MAX(AU$44:AU79)+1),IF(OR(($M79="r"),($M79="n"),($M79="g")),"---",AU79)))</f>
        <v>---</v>
      </c>
      <c t="str" s="142" r="AV80">
        <f>IF((COUNTA($M80:$M$361)=0),"---",IF(AND(($M80="n"),(COUNTA($M81:$M$361)&gt;0)),(MAX(AV$44:AV79)+1),IF(OR(($M79="r"),($M79="p"),($M79="g")),"---",AV79)))</f>
        <v>---</v>
      </c>
      <c t="str" s="142" r="AW80">
        <f>IF((COUNTA($M80:$M$361)=0),"---",IF(AND(($M80="g"),(COUNTA($M81:$M$361)&gt;0)),(MAX(AW$44:AW79)+1),IF(OR(($M79="r"),($M79="p"),($M79="n")),"---",AW79)))</f>
        <v>---</v>
      </c>
      <c s="676" r="AX80">
        <f>IF((M80="p"),(1+MAX(AX$44:AX79)),0)</f>
        <v>0</v>
      </c>
      <c s="51" r="AY80"/>
      <c s="761" r="AZ80"/>
      <c s="761" r="BA80"/>
      <c s="125" r="BB80"/>
      <c s="125" r="BC80"/>
      <c s="125" r="BD80"/>
      <c s="125" r="BE80"/>
      <c s="125" r="BF80"/>
      <c s="125" r="BG80"/>
      <c s="125" r="BH80"/>
      <c s="125" r="BI80"/>
    </row>
    <row r="81">
      <c s="822" r="A81"/>
      <c s="406" r="B81"/>
      <c s="886" r="C81"/>
      <c s="886" r="D81"/>
      <c t="s" s="599" r="E81">
        <v>167</v>
      </c>
      <c t="str" s="289" r="F81">
        <f>IF(ISNUMBER((F71*$F$67)),IF(ISNUMBER(F71),ROUND((F71/$F$67),1),"---"),"---")</f>
        <v>---</v>
      </c>
      <c s="52" r="G81"/>
      <c t="str" s="52" r="H81">
        <f>IF(ISNUMBER((H71/$F$67)),ROUND((H71/$F$67),1),"---")</f>
        <v>---</v>
      </c>
      <c t="str" s="328" r="I81">
        <f>IF(ISNUMBER((I71/$F$67)),ROUND((I71/$F$67),1),"---")</f>
        <v>---</v>
      </c>
      <c s="702" r="J81"/>
      <c s="848" r="K81"/>
      <c s="550" r="L81"/>
      <c s="104" r="M81"/>
      <c s="550" r="N81"/>
      <c t="str" s="589" r="O81">
        <f>IF((AH$28=2),IF(ISBLANK(N81),O80,N81),IF(ISNUMBER(N81),(MAX(O$44:O80)+N81),O80))</f>
        <v/>
      </c>
      <c s="694" r="P81"/>
      <c s="273" r="Q81">
        <f>IF(ISNUMBER(P81),((Q80+P81)-R80),Q80)</f>
        <v>100</v>
      </c>
      <c s="694" r="R81"/>
      <c s="821" r="S81"/>
      <c s="550" r="T81"/>
      <c s="550" r="U81"/>
      <c s="550" r="V81"/>
      <c s="550" r="W81"/>
      <c s="550" r="X81"/>
      <c s="550" r="Y81"/>
      <c t="str" s="470" r="Z81">
        <f>IF(ISNUMBER(S81),(Q81-S81),NA())</f>
        <v>#N/A:explicit</v>
      </c>
      <c t="str" s="470" r="AA81">
        <f>IF(ISNUMBER(T81),IF((AH$22=1),(Z81+T81),(Q81-T81)),NA())</f>
        <v>#N/A:explicit</v>
      </c>
      <c t="str" s="470" r="AB81">
        <f>IF(ISNUMBER(U81),(Q81-U81),NA())</f>
        <v>#N/A:explicit</v>
      </c>
      <c t="str" s="470" r="AC81">
        <f>IF(ISNUMBER(V81),(Q81-V81),NA())</f>
        <v>#N/A:explicit</v>
      </c>
      <c t="str" s="470" r="AD81">
        <f>IF(ISNUMBER(W81),(Q81-W81),NA())</f>
        <v>#N/A:explicit</v>
      </c>
      <c t="str" s="470" r="AE81">
        <f>IF(ISNUMBER(X81),(Q81-X81),NA())</f>
        <v>#N/A:explicit</v>
      </c>
      <c t="str" s="552" r="AF81">
        <f>IF(ISNUMBER(Z81),Z81,"---")</f>
        <v>---</v>
      </c>
      <c s="142" r="AG81"/>
      <c t="str" s="142" r="AH81">
        <f>IF(ISBLANK(L81),NA(),MIN(AF$44:AF$361))</f>
        <v>#N/A:explicit</v>
      </c>
      <c t="str" s="142" r="AI81">
        <f>IF(ISNA(AA81),Z81,AA81)</f>
        <v>#N/A:explicit</v>
      </c>
      <c s="142" r="AJ81">
        <f>MIN(AF$44:AF$361)</f>
        <v>0</v>
      </c>
      <c s="142" r="AK81"/>
      <c t="str" s="142" r="AL81">
        <f>IF(ISNUMBER(AB81),O81,"---")</f>
        <v>---</v>
      </c>
      <c t="str" s="80" r="AM81">
        <f>IF(ISNUMBER(AB81),AB81,"---")</f>
        <v>---</v>
      </c>
      <c s="80" r="AN81"/>
      <c t="str" s="142" r="AO81">
        <f>IF((M81="r"),Z81,NA())</f>
        <v>#N/A:explicit</v>
      </c>
      <c t="str" s="142" r="AP81">
        <f>IF((M81="p"),Z81,NA())</f>
        <v>#N/A:explicit</v>
      </c>
      <c t="str" s="142" r="AQ81">
        <f>IF((M81="n"),Z81,NA())</f>
        <v>#N/A:explicit</v>
      </c>
      <c t="str" s="142" r="AR81">
        <f>IF((M81="g"),Z81,NA())</f>
        <v>#N/A:explicit</v>
      </c>
      <c s="142" r="AS81"/>
      <c t="str" s="142" r="AT81">
        <f>IF((COUNTA($M81:$M$361)=0),"---",IF(AND(($M81="r"),(COUNTA($M82:$M$361)&gt;0)),(MAX(AT$44:AT80)+1),IF(OR(($M80="p"),($M80="n"),($M80="g")),"---",AT80)))</f>
        <v>---</v>
      </c>
      <c t="str" s="142" r="AU81">
        <f>IF((COUNTA($M81:$M$361)=0),"---",IF(AND(($M81="p"),(COUNTA($M82:$M$361)&gt;0)),(MAX(AU$44:AU80)+1),IF(OR(($M80="r"),($M80="n"),($M80="g")),"---",AU80)))</f>
        <v>---</v>
      </c>
      <c t="str" s="142" r="AV81">
        <f>IF((COUNTA($M81:$M$361)=0),"---",IF(AND(($M81="n"),(COUNTA($M82:$M$361)&gt;0)),(MAX(AV$44:AV80)+1),IF(OR(($M80="r"),($M80="p"),($M80="g")),"---",AV80)))</f>
        <v>---</v>
      </c>
      <c t="str" s="142" r="AW81">
        <f>IF((COUNTA($M81:$M$361)=0),"---",IF(AND(($M81="g"),(COUNTA($M82:$M$361)&gt;0)),(MAX(AW$44:AW80)+1),IF(OR(($M80="r"),($M80="p"),($M80="n")),"---",AW80)))</f>
        <v>---</v>
      </c>
      <c s="676" r="AX81">
        <f>IF((M81="p"),(1+MAX(AX$44:AX80)),0)</f>
        <v>0</v>
      </c>
      <c s="51" r="AY81"/>
      <c s="761" r="AZ81"/>
      <c s="761" r="BA81"/>
      <c s="125" r="BB81"/>
      <c s="125" r="BC81"/>
      <c s="125" r="BD81"/>
      <c s="125" r="BE81"/>
      <c s="125" r="BF81"/>
      <c s="125" r="BG81"/>
      <c s="125" r="BH81"/>
      <c s="125" r="BI81"/>
    </row>
    <row customHeight="1" r="82" ht="13.5">
      <c s="822" r="A82"/>
      <c s="695" r="B82"/>
      <c s="566" r="C82"/>
      <c s="566" r="D82"/>
      <c t="s" s="137" r="E82">
        <v>169</v>
      </c>
      <c t="str" s="40" r="F82">
        <f>IF(ISNUMBER((F62/$F61)),ROUND((F62/$F61),1),"---")</f>
        <v>---</v>
      </c>
      <c s="680" r="G82"/>
      <c t="str" s="680" r="H82">
        <f>IF(ISNUMBER((H62/$F61)),ROUND((H62/$F61),1),"---")</f>
        <v>---</v>
      </c>
      <c t="str" s="690" r="I82">
        <f>IF(ISNUMBER((I62/$F61)),ROUND((I62/$F61),1),"---")</f>
        <v>---</v>
      </c>
      <c s="702" r="J82"/>
      <c s="848" r="K82"/>
      <c s="550" r="L82"/>
      <c s="104" r="M82"/>
      <c s="550" r="N82"/>
      <c t="str" s="589" r="O82">
        <f>IF((AH$28=2),IF(ISBLANK(N82),O81,N82),IF(ISNUMBER(N82),(MAX(O$44:O81)+N82),O81))</f>
        <v/>
      </c>
      <c s="694" r="P82"/>
      <c s="273" r="Q82">
        <f>IF(ISNUMBER(P82),((Q81+P82)-R81),Q81)</f>
        <v>100</v>
      </c>
      <c s="694" r="R82"/>
      <c s="821" r="S82"/>
      <c s="550" r="T82"/>
      <c s="550" r="U82"/>
      <c s="550" r="V82"/>
      <c s="550" r="W82"/>
      <c s="550" r="X82"/>
      <c s="550" r="Y82"/>
      <c t="str" s="470" r="Z82">
        <f>IF(ISNUMBER(S82),(Q82-S82),NA())</f>
        <v>#N/A:explicit</v>
      </c>
      <c t="str" s="470" r="AA82">
        <f>IF(ISNUMBER(T82),IF((AH$22=1),(Z82+T82),(Q82-T82)),NA())</f>
        <v>#N/A:explicit</v>
      </c>
      <c t="str" s="470" r="AB82">
        <f>IF(ISNUMBER(U82),(Q82-U82),NA())</f>
        <v>#N/A:explicit</v>
      </c>
      <c t="str" s="470" r="AC82">
        <f>IF(ISNUMBER(V82),(Q82-V82),NA())</f>
        <v>#N/A:explicit</v>
      </c>
      <c t="str" s="470" r="AD82">
        <f>IF(ISNUMBER(W82),(Q82-W82),NA())</f>
        <v>#N/A:explicit</v>
      </c>
      <c t="str" s="470" r="AE82">
        <f>IF(ISNUMBER(X82),(Q82-X82),NA())</f>
        <v>#N/A:explicit</v>
      </c>
      <c t="str" s="552" r="AF82">
        <f>IF(ISNUMBER(Z82),Z82,"---")</f>
        <v>---</v>
      </c>
      <c s="142" r="AG82"/>
      <c t="str" s="142" r="AH82">
        <f>IF(ISBLANK(L82),NA(),MIN(AF$44:AF$361))</f>
        <v>#N/A:explicit</v>
      </c>
      <c t="str" s="142" r="AI82">
        <f>IF(ISNA(AA82),Z82,AA82)</f>
        <v>#N/A:explicit</v>
      </c>
      <c s="142" r="AJ82">
        <f>MIN(AF$44:AF$361)</f>
        <v>0</v>
      </c>
      <c s="142" r="AK82"/>
      <c t="str" s="142" r="AL82">
        <f>IF(ISNUMBER(AB82),O82,"---")</f>
        <v>---</v>
      </c>
      <c t="str" s="80" r="AM82">
        <f>IF(ISNUMBER(AB82),AB82,"---")</f>
        <v>---</v>
      </c>
      <c s="80" r="AN82"/>
      <c t="str" s="142" r="AO82">
        <f>IF((M82="r"),Z82,NA())</f>
        <v>#N/A:explicit</v>
      </c>
      <c t="str" s="142" r="AP82">
        <f>IF((M82="p"),Z82,NA())</f>
        <v>#N/A:explicit</v>
      </c>
      <c t="str" s="142" r="AQ82">
        <f>IF((M82="n"),Z82,NA())</f>
        <v>#N/A:explicit</v>
      </c>
      <c t="str" s="142" r="AR82">
        <f>IF((M82="g"),Z82,NA())</f>
        <v>#N/A:explicit</v>
      </c>
      <c s="142" r="AS82"/>
      <c t="str" s="142" r="AT82">
        <f>IF((COUNTA($M82:$M$361)=0),"---",IF(AND(($M82="r"),(COUNTA($M83:$M$361)&gt;0)),(MAX(AT$44:AT81)+1),IF(OR(($M81="p"),($M81="n"),($M81="g")),"---",AT81)))</f>
        <v>---</v>
      </c>
      <c t="str" s="142" r="AU82">
        <f>IF((COUNTA($M82:$M$361)=0),"---",IF(AND(($M82="p"),(COUNTA($M83:$M$361)&gt;0)),(MAX(AU$44:AU81)+1),IF(OR(($M81="r"),($M81="n"),($M81="g")),"---",AU81)))</f>
        <v>---</v>
      </c>
      <c t="str" s="142" r="AV82">
        <f>IF((COUNTA($M82:$M$361)=0),"---",IF(AND(($M82="n"),(COUNTA($M83:$M$361)&gt;0)),(MAX(AV$44:AV81)+1),IF(OR(($M81="r"),($M81="p"),($M81="g")),"---",AV81)))</f>
        <v>---</v>
      </c>
      <c t="str" s="142" r="AW82">
        <f>IF((COUNTA($M82:$M$361)=0),"---",IF(AND(($M82="g"),(COUNTA($M83:$M$361)&gt;0)),(MAX(AW$44:AW81)+1),IF(OR(($M81="r"),($M81="p"),($M81="n")),"---",AW81)))</f>
        <v>---</v>
      </c>
      <c s="676" r="AX82">
        <f>IF((M82="p"),(1+MAX(AX$44:AX81)),0)</f>
        <v>0</v>
      </c>
      <c s="51" r="AY82"/>
      <c s="761" r="AZ82"/>
      <c s="761" r="BA82"/>
      <c s="125" r="BB82"/>
      <c s="125" r="BC82"/>
      <c s="125" r="BD82"/>
      <c s="125" r="BE82"/>
      <c s="125" r="BF82"/>
      <c s="125" r="BG82"/>
      <c s="125" r="BH82"/>
      <c s="125" r="BI82"/>
    </row>
    <row customHeight="1" r="83" ht="13.5">
      <c s="125" r="A83"/>
      <c s="442" r="B83"/>
      <c s="442" r="C83"/>
      <c s="442" r="D83"/>
      <c s="442" r="E83"/>
      <c s="442" r="F83"/>
      <c s="442" r="G83"/>
      <c s="442" r="H83"/>
      <c s="442" r="I83"/>
      <c s="822" r="J83"/>
      <c s="848" r="K83"/>
      <c s="550" r="L83"/>
      <c s="104" r="M83"/>
      <c s="550" r="N83"/>
      <c t="str" s="589" r="O83">
        <f>IF((AH$28=2),IF(ISBLANK(N83),O82,N83),IF(ISNUMBER(N83),(MAX(O$44:O82)+N83),O82))</f>
        <v/>
      </c>
      <c s="694" r="P83"/>
      <c s="273" r="Q83">
        <f>IF(ISNUMBER(P83),((Q82+P83)-R82),Q82)</f>
        <v>100</v>
      </c>
      <c s="694" r="R83"/>
      <c s="821" r="S83"/>
      <c s="550" r="T83"/>
      <c s="550" r="U83"/>
      <c s="550" r="V83"/>
      <c s="550" r="W83"/>
      <c s="550" r="X83"/>
      <c s="550" r="Y83"/>
      <c t="str" s="470" r="Z83">
        <f>IF(ISNUMBER(S83),(Q83-S83),NA())</f>
        <v>#N/A:explicit</v>
      </c>
      <c t="str" s="470" r="AA83">
        <f>IF(ISNUMBER(T83),IF((AH$22=1),(Z83+T83),(Q83-T83)),NA())</f>
        <v>#N/A:explicit</v>
      </c>
      <c t="str" s="470" r="AB83">
        <f>IF(ISNUMBER(U83),(Q83-U83),NA())</f>
        <v>#N/A:explicit</v>
      </c>
      <c t="str" s="470" r="AC83">
        <f>IF(ISNUMBER(V83),(Q83-V83),NA())</f>
        <v>#N/A:explicit</v>
      </c>
      <c t="str" s="470" r="AD83">
        <f>IF(ISNUMBER(W83),(Q83-W83),NA())</f>
        <v>#N/A:explicit</v>
      </c>
      <c t="str" s="470" r="AE83">
        <f>IF(ISNUMBER(X83),(Q83-X83),NA())</f>
        <v>#N/A:explicit</v>
      </c>
      <c t="str" s="552" r="AF83">
        <f>IF(ISNUMBER(Z83),Z83,"---")</f>
        <v>---</v>
      </c>
      <c s="142" r="AG83"/>
      <c t="str" s="142" r="AH83">
        <f>IF(ISBLANK(L83),NA(),MIN(AF$44:AF$361))</f>
        <v>#N/A:explicit</v>
      </c>
      <c t="str" s="142" r="AI83">
        <f>IF(ISNA(AA83),Z83,AA83)</f>
        <v>#N/A:explicit</v>
      </c>
      <c s="142" r="AJ83">
        <f>MIN(AF$44:AF$361)</f>
        <v>0</v>
      </c>
      <c s="142" r="AK83"/>
      <c t="str" s="142" r="AL83">
        <f>IF(ISNUMBER(AB83),O83,"---")</f>
        <v>---</v>
      </c>
      <c t="str" s="80" r="AM83">
        <f>IF(ISNUMBER(AB83),AB83,"---")</f>
        <v>---</v>
      </c>
      <c s="80" r="AN83"/>
      <c t="str" s="142" r="AO83">
        <f>IF((M83="r"),Z83,NA())</f>
        <v>#N/A:explicit</v>
      </c>
      <c t="str" s="142" r="AP83">
        <f>IF((M83="p"),Z83,NA())</f>
        <v>#N/A:explicit</v>
      </c>
      <c t="str" s="142" r="AQ83">
        <f>IF((M83="n"),Z83,NA())</f>
        <v>#N/A:explicit</v>
      </c>
      <c t="str" s="142" r="AR83">
        <f>IF((M83="g"),Z83,NA())</f>
        <v>#N/A:explicit</v>
      </c>
      <c s="142" r="AS83"/>
      <c t="str" s="142" r="AT83">
        <f>IF((COUNTA($M83:$M$361)=0),"---",IF(AND(($M83="r"),(COUNTA($M84:$M$361)&gt;0)),(MAX(AT$44:AT82)+1),IF(OR(($M82="p"),($M82="n"),($M82="g")),"---",AT82)))</f>
        <v>---</v>
      </c>
      <c t="str" s="142" r="AU83">
        <f>IF((COUNTA($M83:$M$361)=0),"---",IF(AND(($M83="p"),(COUNTA($M84:$M$361)&gt;0)),(MAX(AU$44:AU82)+1),IF(OR(($M82="r"),($M82="n"),($M82="g")),"---",AU82)))</f>
        <v>---</v>
      </c>
      <c t="str" s="142" r="AV83">
        <f>IF((COUNTA($M83:$M$361)=0),"---",IF(AND(($M83="n"),(COUNTA($M84:$M$361)&gt;0)),(MAX(AV$44:AV82)+1),IF(OR(($M82="r"),($M82="p"),($M82="g")),"---",AV82)))</f>
        <v>---</v>
      </c>
      <c t="str" s="142" r="AW83">
        <f>IF((COUNTA($M83:$M$361)=0),"---",IF(AND(($M83="g"),(COUNTA($M84:$M$361)&gt;0)),(MAX(AW$44:AW82)+1),IF(OR(($M82="r"),($M82="p"),($M82="n")),"---",AW82)))</f>
        <v>---</v>
      </c>
      <c s="676" r="AX83">
        <f>IF((M83="p"),(1+MAX(AX$44:AX82)),0)</f>
        <v>0</v>
      </c>
      <c s="51" r="AY83"/>
      <c s="761" r="AZ83"/>
      <c s="761" r="BA83"/>
      <c s="125" r="BB83"/>
      <c s="125" r="BC83"/>
      <c s="125" r="BD83"/>
      <c s="125" r="BE83"/>
      <c s="125" r="BF83"/>
      <c s="125" r="BG83"/>
      <c s="125" r="BH83"/>
      <c s="125" r="BI83"/>
    </row>
    <row r="84">
      <c s="125" r="A84"/>
      <c s="125" r="B84"/>
      <c s="125" r="C84"/>
      <c s="125" r="D84"/>
      <c s="125" r="E84"/>
      <c s="125" r="F84"/>
      <c s="125" r="G84"/>
      <c s="125" r="H84"/>
      <c s="125" r="I84"/>
      <c s="822" r="J84"/>
      <c s="429" r="K84"/>
      <c s="458" r="L84"/>
      <c s="104" r="M84"/>
      <c s="458" r="N84"/>
      <c t="str" s="589" r="O84">
        <f>IF((AH$28=2),IF(ISBLANK(N84),O83,N84),IF(ISNUMBER(N84),(MAX(O$44:O83)+N84),O83))</f>
        <v/>
      </c>
      <c s="228" r="P84"/>
      <c s="273" r="Q84">
        <f>IF(ISNUMBER(P84),((Q83+P84)-R83),Q83)</f>
        <v>100</v>
      </c>
      <c s="228" r="R84"/>
      <c s="610" r="S84"/>
      <c s="458" r="T84"/>
      <c s="458" r="U84"/>
      <c s="458" r="V84"/>
      <c s="458" r="W84"/>
      <c s="458" r="X84"/>
      <c s="458" r="Y84"/>
      <c t="str" s="620" r="Z84">
        <f>IF(ISNUMBER(S84),(Q84-S84),NA())</f>
        <v>#N/A:explicit</v>
      </c>
      <c t="str" s="620" r="AA84">
        <f>IF(ISNUMBER(T84),IF((AH$22=1),(Z84+T84),(Q84-T84)),NA())</f>
        <v>#N/A:explicit</v>
      </c>
      <c t="str" s="620" r="AB84">
        <f>IF(ISNUMBER(U84),(Q84-U84),NA())</f>
        <v>#N/A:explicit</v>
      </c>
      <c t="str" s="620" r="AC84">
        <f>IF(ISNUMBER(V84),(Q84-V84),NA())</f>
        <v>#N/A:explicit</v>
      </c>
      <c t="str" s="620" r="AD84">
        <f>IF(ISNUMBER(W84),(Q84-W84),NA())</f>
        <v>#N/A:explicit</v>
      </c>
      <c t="str" s="620" r="AE84">
        <f>IF(ISNUMBER(X84),(Q84-X84),NA())</f>
        <v>#N/A:explicit</v>
      </c>
      <c t="str" s="552" r="AF84">
        <f>IF(ISNUMBER(Z84),Z84,"---")</f>
        <v>---</v>
      </c>
      <c s="142" r="AG84"/>
      <c t="str" s="142" r="AH84">
        <f>IF(ISBLANK(L84),NA(),MIN(AF$44:AF$361))</f>
        <v>#N/A:explicit</v>
      </c>
      <c t="str" s="142" r="AI84">
        <f>IF(ISNA(AA84),Z84,AA84)</f>
        <v>#N/A:explicit</v>
      </c>
      <c s="142" r="AJ84">
        <f>MIN(AF$44:AF$361)</f>
        <v>0</v>
      </c>
      <c s="142" r="AK84"/>
      <c t="str" s="142" r="AL84">
        <f>IF(ISNUMBER(AB84),O84,"---")</f>
        <v>---</v>
      </c>
      <c t="str" s="80" r="AM84">
        <f>IF(ISNUMBER(AB84),AB84,"---")</f>
        <v>---</v>
      </c>
      <c s="80" r="AN84"/>
      <c t="str" s="142" r="AO84">
        <f>IF((M84="r"),Z84,NA())</f>
        <v>#N/A:explicit</v>
      </c>
      <c t="str" s="142" r="AP84">
        <f>IF((M84="p"),Z84,NA())</f>
        <v>#N/A:explicit</v>
      </c>
      <c t="str" s="142" r="AQ84">
        <f>IF((M84="n"),Z84,NA())</f>
        <v>#N/A:explicit</v>
      </c>
      <c t="str" s="142" r="AR84">
        <f>IF((M84="g"),Z84,NA())</f>
        <v>#N/A:explicit</v>
      </c>
      <c s="142" r="AS84"/>
      <c t="str" s="142" r="AT84">
        <f>IF((COUNTA($M84:$M$361)=0),"---",IF(AND(($M84="r"),(COUNTA($M85:$M$361)&gt;0)),(MAX(AT$44:AT83)+1),IF(OR(($M83="p"),($M83="n"),($M83="g")),"---",AT83)))</f>
        <v>---</v>
      </c>
      <c t="str" s="142" r="AU84">
        <f>IF((COUNTA($M84:$M$361)=0),"---",IF(AND(($M84="p"),(COUNTA($M85:$M$361)&gt;0)),(MAX(AU$44:AU83)+1),IF(OR(($M83="r"),($M83="n"),($M83="g")),"---",AU83)))</f>
        <v>---</v>
      </c>
      <c t="str" s="142" r="AV84">
        <f>IF((COUNTA($M84:$M$361)=0),"---",IF(AND(($M84="n"),(COUNTA($M85:$M$361)&gt;0)),(MAX(AV$44:AV83)+1),IF(OR(($M83="r"),($M83="p"),($M83="g")),"---",AV83)))</f>
        <v>---</v>
      </c>
      <c t="str" s="142" r="AW84">
        <f>IF((COUNTA($M84:$M$361)=0),"---",IF(AND(($M84="g"),(COUNTA($M85:$M$361)&gt;0)),(MAX(AW$44:AW83)+1),IF(OR(($M83="r"),($M83="p"),($M83="n")),"---",AW83)))</f>
        <v>---</v>
      </c>
      <c s="676" r="AX84">
        <f>IF((M84="p"),(1+MAX(AX$44:AX83)),0)</f>
        <v>0</v>
      </c>
      <c s="51" r="AY84"/>
      <c s="761" r="AZ84"/>
      <c s="761" r="BA84"/>
      <c s="125" r="BB84"/>
      <c s="125" r="BC84"/>
      <c s="125" r="BD84"/>
      <c s="125" r="BE84"/>
      <c s="125" r="BF84"/>
      <c s="125" r="BG84"/>
      <c s="125" r="BH84"/>
      <c s="125" r="BI84"/>
    </row>
    <row r="85">
      <c s="125" r="A85"/>
      <c s="125" r="B85"/>
      <c s="125" r="C85"/>
      <c s="125" r="D85"/>
      <c s="125" r="E85"/>
      <c s="125" r="F85"/>
      <c s="125" r="G85"/>
      <c s="125" r="H85"/>
      <c s="125" r="I85"/>
      <c s="822" r="J85"/>
      <c s="429" r="K85"/>
      <c s="458" r="L85"/>
      <c s="104" r="M85"/>
      <c s="458" r="N85"/>
      <c t="str" s="589" r="O85">
        <f>IF((AH$28=2),IF(ISBLANK(N85),O84,N85),IF(ISNUMBER(N85),(MAX(O$44:O84)+N85),O84))</f>
        <v/>
      </c>
      <c s="228" r="P85"/>
      <c s="273" r="Q85">
        <f>IF(ISNUMBER(P85),((Q84+P85)-R84),Q84)</f>
        <v>100</v>
      </c>
      <c s="228" r="R85"/>
      <c s="610" r="S85"/>
      <c s="458" r="T85"/>
      <c s="458" r="U85"/>
      <c s="458" r="V85"/>
      <c s="458" r="W85"/>
      <c s="458" r="X85"/>
      <c s="458" r="Y85"/>
      <c t="str" s="620" r="Z85">
        <f>IF(ISNUMBER(S85),(Q85-S85),NA())</f>
        <v>#N/A:explicit</v>
      </c>
      <c t="str" s="620" r="AA85">
        <f>IF(ISNUMBER(T85),IF((AH$22=1),(Z85+T85),(Q85-T85)),NA())</f>
        <v>#N/A:explicit</v>
      </c>
      <c t="str" s="620" r="AB85">
        <f>IF(ISNUMBER(U85),(Q85-U85),NA())</f>
        <v>#N/A:explicit</v>
      </c>
      <c t="str" s="620" r="AC85">
        <f>IF(ISNUMBER(V85),(Q85-V85),NA())</f>
        <v>#N/A:explicit</v>
      </c>
      <c t="str" s="620" r="AD85">
        <f>IF(ISNUMBER(W85),(Q85-W85),NA())</f>
        <v>#N/A:explicit</v>
      </c>
      <c t="str" s="620" r="AE85">
        <f>IF(ISNUMBER(X85),(Q85-X85),NA())</f>
        <v>#N/A:explicit</v>
      </c>
      <c t="str" s="552" r="AF85">
        <f>IF(ISNUMBER(Z85),Z85,"---")</f>
        <v>---</v>
      </c>
      <c s="142" r="AG85"/>
      <c t="str" s="142" r="AH85">
        <f>IF(ISBLANK(L85),NA(),MIN(AF$44:AF$361))</f>
        <v>#N/A:explicit</v>
      </c>
      <c t="str" s="142" r="AI85">
        <f>IF(ISNA(AA85),Z85,AA85)</f>
        <v>#N/A:explicit</v>
      </c>
      <c s="142" r="AJ85">
        <f>MIN(AF$44:AF$361)</f>
        <v>0</v>
      </c>
      <c s="142" r="AK85"/>
      <c t="str" s="142" r="AL85">
        <f>IF(ISNUMBER(AB85),O85,"---")</f>
        <v>---</v>
      </c>
      <c t="str" s="80" r="AM85">
        <f>IF(ISNUMBER(AB85),AB85,"---")</f>
        <v>---</v>
      </c>
      <c s="80" r="AN85"/>
      <c t="str" s="142" r="AO85">
        <f>IF((M85="r"),Z85,NA())</f>
        <v>#N/A:explicit</v>
      </c>
      <c t="str" s="142" r="AP85">
        <f>IF((M85="p"),Z85,NA())</f>
        <v>#N/A:explicit</v>
      </c>
      <c t="str" s="142" r="AQ85">
        <f>IF((M85="n"),Z85,NA())</f>
        <v>#N/A:explicit</v>
      </c>
      <c t="str" s="142" r="AR85">
        <f>IF((M85="g"),Z85,NA())</f>
        <v>#N/A:explicit</v>
      </c>
      <c s="142" r="AS85"/>
      <c t="str" s="142" r="AT85">
        <f>IF((COUNTA($M85:$M$361)=0),"---",IF(AND(($M85="r"),(COUNTA($M86:$M$361)&gt;0)),(MAX(AT$44:AT84)+1),IF(OR(($M84="p"),($M84="n"),($M84="g")),"---",AT84)))</f>
        <v>---</v>
      </c>
      <c t="str" s="142" r="AU85">
        <f>IF((COUNTA($M85:$M$361)=0),"---",IF(AND(($M85="p"),(COUNTA($M86:$M$361)&gt;0)),(MAX(AU$44:AU84)+1),IF(OR(($M84="r"),($M84="n"),($M84="g")),"---",AU84)))</f>
        <v>---</v>
      </c>
      <c t="str" s="142" r="AV85">
        <f>IF((COUNTA($M85:$M$361)=0),"---",IF(AND(($M85="n"),(COUNTA($M86:$M$361)&gt;0)),(MAX(AV$44:AV84)+1),IF(OR(($M84="r"),($M84="p"),($M84="g")),"---",AV84)))</f>
        <v>---</v>
      </c>
      <c t="str" s="142" r="AW85">
        <f>IF((COUNTA($M85:$M$361)=0),"---",IF(AND(($M85="g"),(COUNTA($M86:$M$361)&gt;0)),(MAX(AW$44:AW84)+1),IF(OR(($M84="r"),($M84="p"),($M84="n")),"---",AW84)))</f>
        <v>---</v>
      </c>
      <c s="676" r="AX85">
        <f>IF((M85="p"),(1+MAX(AX$44:AX84)),0)</f>
        <v>0</v>
      </c>
      <c s="51" r="AY85"/>
      <c s="761" r="AZ85"/>
      <c s="761" r="BA85"/>
      <c s="125" r="BB85"/>
      <c s="125" r="BC85"/>
      <c s="125" r="BD85"/>
      <c s="125" r="BE85"/>
      <c s="125" r="BF85"/>
      <c s="125" r="BG85"/>
      <c s="125" r="BH85"/>
      <c s="125" r="BI85"/>
    </row>
    <row r="86">
      <c s="125" r="A86"/>
      <c s="125" r="B86"/>
      <c s="125" r="C86"/>
      <c s="125" r="D86"/>
      <c s="125" r="E86"/>
      <c s="125" r="F86"/>
      <c s="125" r="G86"/>
      <c s="125" r="H86"/>
      <c s="125" r="I86"/>
      <c s="822" r="J86"/>
      <c s="429" r="K86"/>
      <c s="458" r="L86"/>
      <c s="104" r="M86"/>
      <c s="458" r="N86"/>
      <c t="str" s="589" r="O86">
        <f>IF((AH$28=2),IF(ISBLANK(N86),O85,N86),IF(ISNUMBER(N86),(MAX(O$44:O85)+N86),O85))</f>
        <v/>
      </c>
      <c s="228" r="P86"/>
      <c s="273" r="Q86">
        <f>IF(ISNUMBER(P86),((Q85+P86)-R85),Q85)</f>
        <v>100</v>
      </c>
      <c s="228" r="R86"/>
      <c s="610" r="S86"/>
      <c s="458" r="T86"/>
      <c s="458" r="U86"/>
      <c s="458" r="V86"/>
      <c s="458" r="W86"/>
      <c s="458" r="X86"/>
      <c s="458" r="Y86"/>
      <c t="str" s="620" r="Z86">
        <f>IF(ISNUMBER(S86),(Q86-S86),NA())</f>
        <v>#N/A:explicit</v>
      </c>
      <c t="str" s="620" r="AA86">
        <f>IF(ISNUMBER(T86),IF((AH$22=1),(Z86+T86),(Q86-T86)),NA())</f>
        <v>#N/A:explicit</v>
      </c>
      <c t="str" s="620" r="AB86">
        <f>IF(ISNUMBER(U86),(Q86-U86),NA())</f>
        <v>#N/A:explicit</v>
      </c>
      <c t="str" s="620" r="AC86">
        <f>IF(ISNUMBER(V86),(Q86-V86),NA())</f>
        <v>#N/A:explicit</v>
      </c>
      <c t="str" s="620" r="AD86">
        <f>IF(ISNUMBER(W86),(Q86-W86),NA())</f>
        <v>#N/A:explicit</v>
      </c>
      <c t="str" s="620" r="AE86">
        <f>IF(ISNUMBER(X86),(Q86-X86),NA())</f>
        <v>#N/A:explicit</v>
      </c>
      <c t="str" s="552" r="AF86">
        <f>IF(ISNUMBER(Z86),Z86,"---")</f>
        <v>---</v>
      </c>
      <c s="142" r="AG86"/>
      <c t="str" s="142" r="AH86">
        <f>IF(ISBLANK(L86),NA(),MIN(AF$44:AF$361))</f>
        <v>#N/A:explicit</v>
      </c>
      <c t="str" s="142" r="AI86">
        <f>IF(ISNA(AA86),Z86,AA86)</f>
        <v>#N/A:explicit</v>
      </c>
      <c s="142" r="AJ86">
        <f>MIN(AF$44:AF$361)</f>
        <v>0</v>
      </c>
      <c s="142" r="AK86"/>
      <c t="str" s="142" r="AL86">
        <f>IF(ISNUMBER(AB86),O86,"---")</f>
        <v>---</v>
      </c>
      <c t="str" s="80" r="AM86">
        <f>IF(ISNUMBER(AB86),AB86,"---")</f>
        <v>---</v>
      </c>
      <c s="80" r="AN86"/>
      <c t="str" s="142" r="AO86">
        <f>IF((M86="r"),Z86,NA())</f>
        <v>#N/A:explicit</v>
      </c>
      <c t="str" s="142" r="AP86">
        <f>IF((M86="p"),Z86,NA())</f>
        <v>#N/A:explicit</v>
      </c>
      <c t="str" s="142" r="AQ86">
        <f>IF((M86="n"),Z86,NA())</f>
        <v>#N/A:explicit</v>
      </c>
      <c t="str" s="142" r="AR86">
        <f>IF((M86="g"),Z86,NA())</f>
        <v>#N/A:explicit</v>
      </c>
      <c s="142" r="AS86"/>
      <c t="str" s="142" r="AT86">
        <f>IF((COUNTA($M86:$M$361)=0),"---",IF(AND(($M86="r"),(COUNTA($M87:$M$361)&gt;0)),(MAX(AT$44:AT85)+1),IF(OR(($M85="p"),($M85="n"),($M85="g")),"---",AT85)))</f>
        <v>---</v>
      </c>
      <c t="str" s="142" r="AU86">
        <f>IF((COUNTA($M86:$M$361)=0),"---",IF(AND(($M86="p"),(COUNTA($M87:$M$361)&gt;0)),(MAX(AU$44:AU85)+1),IF(OR(($M85="r"),($M85="n"),($M85="g")),"---",AU85)))</f>
        <v>---</v>
      </c>
      <c t="str" s="142" r="AV86">
        <f>IF((COUNTA($M86:$M$361)=0),"---",IF(AND(($M86="n"),(COUNTA($M87:$M$361)&gt;0)),(MAX(AV$44:AV85)+1),IF(OR(($M85="r"),($M85="p"),($M85="g")),"---",AV85)))</f>
        <v>---</v>
      </c>
      <c t="str" s="142" r="AW86">
        <f>IF((COUNTA($M86:$M$361)=0),"---",IF(AND(($M86="g"),(COUNTA($M87:$M$361)&gt;0)),(MAX(AW$44:AW85)+1),IF(OR(($M85="r"),($M85="p"),($M85="n")),"---",AW85)))</f>
        <v>---</v>
      </c>
      <c s="676" r="AX86">
        <f>IF((M86="p"),(1+MAX(AX$44:AX85)),0)</f>
        <v>0</v>
      </c>
      <c s="51" r="AY86"/>
      <c s="761" r="AZ86"/>
      <c s="761" r="BA86"/>
      <c s="125" r="BB86"/>
      <c s="125" r="BC86"/>
      <c s="125" r="BD86"/>
      <c s="125" r="BE86"/>
      <c s="125" r="BF86"/>
      <c s="125" r="BG86"/>
      <c s="125" r="BH86"/>
      <c s="125" r="BI86"/>
    </row>
    <row r="87">
      <c s="125" r="A87"/>
      <c s="125" r="B87"/>
      <c s="125" r="C87"/>
      <c s="125" r="D87"/>
      <c s="125" r="E87"/>
      <c s="125" r="F87"/>
      <c s="125" r="G87"/>
      <c s="125" r="H87"/>
      <c s="125" r="I87"/>
      <c s="822" r="J87"/>
      <c s="848" r="K87"/>
      <c s="550" r="L87"/>
      <c s="104" r="M87"/>
      <c s="550" r="N87"/>
      <c t="str" s="589" r="O87">
        <f>IF((AH$28=2),IF(ISBLANK(N87),O86,N87),IF(ISNUMBER(N87),(MAX(O$44:O86)+N87),O86))</f>
        <v/>
      </c>
      <c s="694" r="P87"/>
      <c s="273" r="Q87">
        <f>IF(ISNUMBER(P87),((Q86+P87)-R86),Q86)</f>
        <v>100</v>
      </c>
      <c s="694" r="R87"/>
      <c s="821" r="S87"/>
      <c s="550" r="T87"/>
      <c s="550" r="U87"/>
      <c s="550" r="V87"/>
      <c s="550" r="W87"/>
      <c s="550" r="X87"/>
      <c s="550" r="Y87"/>
      <c t="str" s="470" r="Z87">
        <f>IF(ISNUMBER(S87),(Q87-S87),NA())</f>
        <v>#N/A:explicit</v>
      </c>
      <c t="str" s="470" r="AA87">
        <f>IF(ISNUMBER(T87),IF((AH$22=1),(Z87+T87),(Q87-T87)),NA())</f>
        <v>#N/A:explicit</v>
      </c>
      <c t="str" s="470" r="AB87">
        <f>IF(ISNUMBER(U87),(Q87-U87),NA())</f>
        <v>#N/A:explicit</v>
      </c>
      <c t="str" s="470" r="AC87">
        <f>IF(ISNUMBER(V87),(Q87-V87),NA())</f>
        <v>#N/A:explicit</v>
      </c>
      <c t="str" s="470" r="AD87">
        <f>IF(ISNUMBER(W87),(Q87-W87),NA())</f>
        <v>#N/A:explicit</v>
      </c>
      <c t="str" s="470" r="AE87">
        <f>IF(ISNUMBER(X87),(Q87-X87),NA())</f>
        <v>#N/A:explicit</v>
      </c>
      <c t="str" s="552" r="AF87">
        <f>IF(ISNUMBER(Z87),Z87,"---")</f>
        <v>---</v>
      </c>
      <c s="142" r="AG87"/>
      <c t="str" s="142" r="AH87">
        <f>IF(ISBLANK(L87),NA(),MIN(AF$44:AF$361))</f>
        <v>#N/A:explicit</v>
      </c>
      <c t="str" s="142" r="AI87">
        <f>IF(ISNA(AA87),Z87,AA87)</f>
        <v>#N/A:explicit</v>
      </c>
      <c s="142" r="AJ87">
        <f>MIN(AF$44:AF$361)</f>
        <v>0</v>
      </c>
      <c s="142" r="AK87"/>
      <c t="str" s="142" r="AL87">
        <f>IF(ISNUMBER(AB87),O87,"---")</f>
        <v>---</v>
      </c>
      <c t="str" s="80" r="AM87">
        <f>IF(ISNUMBER(AB87),AB87,"---")</f>
        <v>---</v>
      </c>
      <c s="80" r="AN87"/>
      <c t="str" s="142" r="AO87">
        <f>IF((M87="r"),Z87,NA())</f>
        <v>#N/A:explicit</v>
      </c>
      <c t="str" s="142" r="AP87">
        <f>IF((M87="p"),Z87,NA())</f>
        <v>#N/A:explicit</v>
      </c>
      <c t="str" s="142" r="AQ87">
        <f>IF((M87="n"),Z87,NA())</f>
        <v>#N/A:explicit</v>
      </c>
      <c t="str" s="142" r="AR87">
        <f>IF((M87="g"),Z87,NA())</f>
        <v>#N/A:explicit</v>
      </c>
      <c s="142" r="AS87"/>
      <c t="str" s="142" r="AT87">
        <f>IF((COUNTA($M87:$M$361)=0),"---",IF(AND(($M87="r"),(COUNTA($M88:$M$361)&gt;0)),(MAX(AT$44:AT86)+1),IF(OR(($M86="p"),($M86="n"),($M86="g")),"---",AT86)))</f>
        <v>---</v>
      </c>
      <c t="str" s="142" r="AU87">
        <f>IF((COUNTA($M87:$M$361)=0),"---",IF(AND(($M87="p"),(COUNTA($M88:$M$361)&gt;0)),(MAX(AU$44:AU86)+1),IF(OR(($M86="r"),($M86="n"),($M86="g")),"---",AU86)))</f>
        <v>---</v>
      </c>
      <c t="str" s="142" r="AV87">
        <f>IF((COUNTA($M87:$M$361)=0),"---",IF(AND(($M87="n"),(COUNTA($M88:$M$361)&gt;0)),(MAX(AV$44:AV86)+1),IF(OR(($M86="r"),($M86="p"),($M86="g")),"---",AV86)))</f>
        <v>---</v>
      </c>
      <c t="str" s="142" r="AW87">
        <f>IF((COUNTA($M87:$M$361)=0),"---",IF(AND(($M87="g"),(COUNTA($M88:$M$361)&gt;0)),(MAX(AW$44:AW86)+1),IF(OR(($M86="r"),($M86="p"),($M86="n")),"---",AW86)))</f>
        <v>---</v>
      </c>
      <c s="676" r="AX87">
        <f>IF((M87="p"),(1+MAX(AX$44:AX86)),0)</f>
        <v>0</v>
      </c>
      <c s="51" r="AY87"/>
      <c s="761" r="AZ87"/>
      <c s="761" r="BA87"/>
      <c s="125" r="BB87"/>
      <c s="125" r="BC87"/>
      <c s="125" r="BD87"/>
      <c s="125" r="BE87"/>
      <c s="125" r="BF87"/>
      <c s="125" r="BG87"/>
      <c s="125" r="BH87"/>
      <c s="125" r="BI87"/>
    </row>
    <row r="88">
      <c s="125" r="A88"/>
      <c s="125" r="B88"/>
      <c s="125" r="C88"/>
      <c s="125" r="D88"/>
      <c s="125" r="E88"/>
      <c s="125" r="F88"/>
      <c s="125" r="G88"/>
      <c s="125" r="H88"/>
      <c s="125" r="I88"/>
      <c s="822" r="J88"/>
      <c s="848" r="K88"/>
      <c s="550" r="L88"/>
      <c s="104" r="M88"/>
      <c s="550" r="N88"/>
      <c t="str" s="589" r="O88">
        <f>IF((AH$28=2),IF(ISBLANK(N88),O87,N88),IF(ISNUMBER(N88),(MAX(O$44:O87)+N88),O87))</f>
        <v/>
      </c>
      <c s="694" r="P88"/>
      <c s="273" r="Q88">
        <f>IF(ISNUMBER(P88),((Q87+P88)-R87),Q87)</f>
        <v>100</v>
      </c>
      <c s="694" r="R88"/>
      <c s="821" r="S88"/>
      <c s="550" r="T88"/>
      <c s="550" r="U88"/>
      <c s="550" r="V88"/>
      <c s="550" r="W88"/>
      <c s="550" r="X88"/>
      <c s="550" r="Y88"/>
      <c t="str" s="470" r="Z88">
        <f>IF(ISNUMBER(S88),(Q88-S88),NA())</f>
        <v>#N/A:explicit</v>
      </c>
      <c t="str" s="470" r="AA88">
        <f>IF(ISNUMBER(T88),IF((AH$22=1),(Z88+T88),(Q88-T88)),NA())</f>
        <v>#N/A:explicit</v>
      </c>
      <c t="str" s="470" r="AB88">
        <f>IF(ISNUMBER(U88),(Q88-U88),NA())</f>
        <v>#N/A:explicit</v>
      </c>
      <c t="str" s="470" r="AC88">
        <f>IF(ISNUMBER(V88),(Q88-V88),NA())</f>
        <v>#N/A:explicit</v>
      </c>
      <c t="str" s="470" r="AD88">
        <f>IF(ISNUMBER(W88),(Q88-W88),NA())</f>
        <v>#N/A:explicit</v>
      </c>
      <c t="str" s="470" r="AE88">
        <f>IF(ISNUMBER(X88),(Q88-X88),NA())</f>
        <v>#N/A:explicit</v>
      </c>
      <c t="str" s="552" r="AF88">
        <f>IF(ISNUMBER(Z88),Z88,"---")</f>
        <v>---</v>
      </c>
      <c s="142" r="AG88"/>
      <c t="str" s="142" r="AH88">
        <f>IF(ISBLANK(L88),NA(),MIN(AF$44:AF$361))</f>
        <v>#N/A:explicit</v>
      </c>
      <c t="str" s="142" r="AI88">
        <f>IF(ISNA(AA88),Z88,AA88)</f>
        <v>#N/A:explicit</v>
      </c>
      <c s="142" r="AJ88">
        <f>MIN(AF$44:AF$361)</f>
        <v>0</v>
      </c>
      <c s="142" r="AK88"/>
      <c t="str" s="142" r="AL88">
        <f>IF(ISNUMBER(AB88),O88,"---")</f>
        <v>---</v>
      </c>
      <c t="str" s="80" r="AM88">
        <f>IF(ISNUMBER(AB88),AB88,"---")</f>
        <v>---</v>
      </c>
      <c s="80" r="AN88"/>
      <c t="str" s="142" r="AO88">
        <f>IF((M88="r"),Z88,NA())</f>
        <v>#N/A:explicit</v>
      </c>
      <c t="str" s="142" r="AP88">
        <f>IF((M88="p"),Z88,NA())</f>
        <v>#N/A:explicit</v>
      </c>
      <c t="str" s="142" r="AQ88">
        <f>IF((M88="n"),Z88,NA())</f>
        <v>#N/A:explicit</v>
      </c>
      <c t="str" s="142" r="AR88">
        <f>IF((M88="g"),Z88,NA())</f>
        <v>#N/A:explicit</v>
      </c>
      <c s="142" r="AS88"/>
      <c t="str" s="142" r="AT88">
        <f>IF((COUNTA($M88:$M$361)=0),"---",IF(AND(($M88="r"),(COUNTA($M89:$M$361)&gt;0)),(MAX(AT$44:AT87)+1),IF(OR(($M87="p"),($M87="n"),($M87="g")),"---",AT87)))</f>
        <v>---</v>
      </c>
      <c t="str" s="142" r="AU88">
        <f>IF((COUNTA($M88:$M$361)=0),"---",IF(AND(($M88="p"),(COUNTA($M89:$M$361)&gt;0)),(MAX(AU$44:AU87)+1),IF(OR(($M87="r"),($M87="n"),($M87="g")),"---",AU87)))</f>
        <v>---</v>
      </c>
      <c t="str" s="142" r="AV88">
        <f>IF((COUNTA($M88:$M$361)=0),"---",IF(AND(($M88="n"),(COUNTA($M89:$M$361)&gt;0)),(MAX(AV$44:AV87)+1),IF(OR(($M87="r"),($M87="p"),($M87="g")),"---",AV87)))</f>
        <v>---</v>
      </c>
      <c t="str" s="142" r="AW88">
        <f>IF((COUNTA($M88:$M$361)=0),"---",IF(AND(($M88="g"),(COUNTA($M89:$M$361)&gt;0)),(MAX(AW$44:AW87)+1),IF(OR(($M87="r"),($M87="p"),($M87="n")),"---",AW87)))</f>
        <v>---</v>
      </c>
      <c s="676" r="AX88">
        <f>IF((M88="p"),(1+MAX(AX$44:AX87)),0)</f>
        <v>0</v>
      </c>
      <c s="51" r="AY88"/>
      <c s="761" r="AZ88"/>
      <c s="761" r="BA88"/>
      <c s="125" r="BB88"/>
      <c s="125" r="BC88"/>
      <c s="125" r="BD88"/>
      <c s="125" r="BE88"/>
      <c s="125" r="BF88"/>
      <c s="125" r="BG88"/>
      <c s="125" r="BH88"/>
      <c s="125" r="BI88"/>
    </row>
    <row r="89">
      <c s="125" r="A89"/>
      <c s="125" r="B89"/>
      <c s="125" r="C89"/>
      <c s="125" r="D89"/>
      <c s="125" r="E89"/>
      <c s="125" r="F89"/>
      <c s="125" r="G89"/>
      <c s="125" r="H89"/>
      <c s="125" r="I89"/>
      <c s="822" r="J89"/>
      <c s="848" r="K89"/>
      <c s="550" r="L89"/>
      <c s="104" r="M89"/>
      <c s="550" r="N89"/>
      <c t="str" s="589" r="O89">
        <f>IF((AH$28=2),IF(ISBLANK(N89),O88,N89),IF(ISNUMBER(N89),(MAX(O$44:O88)+N89),O88))</f>
        <v/>
      </c>
      <c s="694" r="P89"/>
      <c s="273" r="Q89">
        <f>IF(ISNUMBER(P89),((Q88+P89)-R88),Q88)</f>
        <v>100</v>
      </c>
      <c s="694" r="R89"/>
      <c s="821" r="S89"/>
      <c s="550" r="T89"/>
      <c s="550" r="U89"/>
      <c s="550" r="V89"/>
      <c s="550" r="W89"/>
      <c s="550" r="X89"/>
      <c s="550" r="Y89"/>
      <c t="str" s="470" r="Z89">
        <f>IF(ISNUMBER(S89),(Q89-S89),NA())</f>
        <v>#N/A:explicit</v>
      </c>
      <c t="str" s="470" r="AA89">
        <f>IF(ISNUMBER(T89),IF((AH$22=1),(Z89+T89),(Q89-T89)),NA())</f>
        <v>#N/A:explicit</v>
      </c>
      <c t="str" s="470" r="AB89">
        <f>IF(ISNUMBER(U89),(Q89-U89),NA())</f>
        <v>#N/A:explicit</v>
      </c>
      <c t="str" s="470" r="AC89">
        <f>IF(ISNUMBER(V89),(Q89-V89),NA())</f>
        <v>#N/A:explicit</v>
      </c>
      <c t="str" s="470" r="AD89">
        <f>IF(ISNUMBER(W89),(Q89-W89),NA())</f>
        <v>#N/A:explicit</v>
      </c>
      <c t="str" s="470" r="AE89">
        <f>IF(ISNUMBER(X89),(Q89-X89),NA())</f>
        <v>#N/A:explicit</v>
      </c>
      <c t="str" s="552" r="AF89">
        <f>IF(ISNUMBER(Z89),Z89,"---")</f>
        <v>---</v>
      </c>
      <c s="142" r="AG89"/>
      <c t="str" s="142" r="AH89">
        <f>IF(ISBLANK(L89),NA(),MIN(AF$44:AF$361))</f>
        <v>#N/A:explicit</v>
      </c>
      <c t="str" s="142" r="AI89">
        <f>IF(ISNA(AA89),Z89,AA89)</f>
        <v>#N/A:explicit</v>
      </c>
      <c s="142" r="AJ89">
        <f>MIN(AF$44:AF$361)</f>
        <v>0</v>
      </c>
      <c s="142" r="AK89"/>
      <c t="str" s="142" r="AL89">
        <f>IF(ISNUMBER(AB89),O89,"---")</f>
        <v>---</v>
      </c>
      <c t="str" s="80" r="AM89">
        <f>IF(ISNUMBER(AB89),AB89,"---")</f>
        <v>---</v>
      </c>
      <c s="80" r="AN89"/>
      <c t="str" s="142" r="AO89">
        <f>IF((M89="r"),Z89,NA())</f>
        <v>#N/A:explicit</v>
      </c>
      <c t="str" s="142" r="AP89">
        <f>IF((M89="p"),Z89,NA())</f>
        <v>#N/A:explicit</v>
      </c>
      <c t="str" s="142" r="AQ89">
        <f>IF((M89="n"),Z89,NA())</f>
        <v>#N/A:explicit</v>
      </c>
      <c t="str" s="142" r="AR89">
        <f>IF((M89="g"),Z89,NA())</f>
        <v>#N/A:explicit</v>
      </c>
      <c s="142" r="AS89"/>
      <c t="str" s="142" r="AT89">
        <f>IF((COUNTA($M89:$M$361)=0),"---",IF(AND(($M89="r"),(COUNTA($M90:$M$361)&gt;0)),(MAX(AT$44:AT88)+1),IF(OR(($M88="p"),($M88="n"),($M88="g")),"---",AT88)))</f>
        <v>---</v>
      </c>
      <c t="str" s="142" r="AU89">
        <f>IF((COUNTA($M89:$M$361)=0),"---",IF(AND(($M89="p"),(COUNTA($M90:$M$361)&gt;0)),(MAX(AU$44:AU88)+1),IF(OR(($M88="r"),($M88="n"),($M88="g")),"---",AU88)))</f>
        <v>---</v>
      </c>
      <c t="str" s="142" r="AV89">
        <f>IF((COUNTA($M89:$M$361)=0),"---",IF(AND(($M89="n"),(COUNTA($M90:$M$361)&gt;0)),(MAX(AV$44:AV88)+1),IF(OR(($M88="r"),($M88="p"),($M88="g")),"---",AV88)))</f>
        <v>---</v>
      </c>
      <c t="str" s="142" r="AW89">
        <f>IF((COUNTA($M89:$M$361)=0),"---",IF(AND(($M89="g"),(COUNTA($M90:$M$361)&gt;0)),(MAX(AW$44:AW88)+1),IF(OR(($M88="r"),($M88="p"),($M88="n")),"---",AW88)))</f>
        <v>---</v>
      </c>
      <c s="676" r="AX89">
        <f>IF((M89="p"),(1+MAX(AX$44:AX88)),0)</f>
        <v>0</v>
      </c>
      <c s="51" r="AY89"/>
      <c s="761" r="AZ89"/>
      <c s="761" r="BA89"/>
      <c s="125" r="BB89"/>
      <c s="125" r="BC89"/>
      <c s="125" r="BD89"/>
      <c s="125" r="BE89"/>
      <c s="125" r="BF89"/>
      <c s="125" r="BG89"/>
      <c s="125" r="BH89"/>
      <c s="125" r="BI89"/>
    </row>
    <row r="90">
      <c s="125" r="A90"/>
      <c s="125" r="B90"/>
      <c s="125" r="C90"/>
      <c s="125" r="D90"/>
      <c s="125" r="E90"/>
      <c s="125" r="F90"/>
      <c s="125" r="G90"/>
      <c s="125" r="H90"/>
      <c s="125" r="I90"/>
      <c s="822" r="J90"/>
      <c s="429" r="K90"/>
      <c s="458" r="L90"/>
      <c s="104" r="M90"/>
      <c s="458" r="N90"/>
      <c t="str" s="589" r="O90">
        <f>IF((AH$28=2),IF(ISBLANK(N90),O89,N90),IF(ISNUMBER(N90),(MAX(O$44:O89)+N90),O89))</f>
        <v/>
      </c>
      <c s="228" r="P90"/>
      <c s="273" r="Q90">
        <f>IF(ISNUMBER(P90),((Q89+P90)-R89),Q89)</f>
        <v>100</v>
      </c>
      <c s="228" r="R90"/>
      <c s="610" r="S90"/>
      <c s="458" r="T90"/>
      <c s="458" r="U90"/>
      <c s="458" r="V90"/>
      <c s="458" r="W90"/>
      <c s="458" r="X90"/>
      <c s="458" r="Y90"/>
      <c t="str" s="620" r="Z90">
        <f>IF(ISNUMBER(S90),(Q90-S90),NA())</f>
        <v>#N/A:explicit</v>
      </c>
      <c t="str" s="620" r="AA90">
        <f>IF(ISNUMBER(T90),IF((AH$22=1),(Z90+T90),(Q90-T90)),NA())</f>
        <v>#N/A:explicit</v>
      </c>
      <c t="str" s="620" r="AB90">
        <f>IF(ISNUMBER(U90),(Q90-U90),NA())</f>
        <v>#N/A:explicit</v>
      </c>
      <c t="str" s="620" r="AC90">
        <f>IF(ISNUMBER(V90),(Q90-V90),NA())</f>
        <v>#N/A:explicit</v>
      </c>
      <c t="str" s="620" r="AD90">
        <f>IF(ISNUMBER(W90),(Q90-W90),NA())</f>
        <v>#N/A:explicit</v>
      </c>
      <c t="str" s="620" r="AE90">
        <f>IF(ISNUMBER(X90),(Q90-X90),NA())</f>
        <v>#N/A:explicit</v>
      </c>
      <c t="str" s="552" r="AF90">
        <f>IF(ISNUMBER(Z90),Z90,"---")</f>
        <v>---</v>
      </c>
      <c s="142" r="AG90"/>
      <c t="str" s="142" r="AH90">
        <f>IF(ISBLANK(L90),NA(),MIN(AF$44:AF$361))</f>
        <v>#N/A:explicit</v>
      </c>
      <c t="str" s="142" r="AI90">
        <f>IF(ISNA(AA90),Z90,AA90)</f>
        <v>#N/A:explicit</v>
      </c>
      <c s="142" r="AJ90">
        <f>MIN(AF$44:AF$361)</f>
        <v>0</v>
      </c>
      <c s="142" r="AK90"/>
      <c t="str" s="142" r="AL90">
        <f>IF(ISNUMBER(AB90),O90,"---")</f>
        <v>---</v>
      </c>
      <c t="str" s="80" r="AM90">
        <f>IF(ISNUMBER(AB90),AB90,"---")</f>
        <v>---</v>
      </c>
      <c s="80" r="AN90"/>
      <c t="str" s="142" r="AO90">
        <f>IF((M90="r"),Z90,NA())</f>
        <v>#N/A:explicit</v>
      </c>
      <c t="str" s="142" r="AP90">
        <f>IF((M90="p"),Z90,NA())</f>
        <v>#N/A:explicit</v>
      </c>
      <c t="str" s="142" r="AQ90">
        <f>IF((M90="n"),Z90,NA())</f>
        <v>#N/A:explicit</v>
      </c>
      <c t="str" s="142" r="AR90">
        <f>IF((M90="g"),Z90,NA())</f>
        <v>#N/A:explicit</v>
      </c>
      <c s="142" r="AS90"/>
      <c t="str" s="142" r="AT90">
        <f>IF((COUNTA($M90:$M$361)=0),"---",IF(AND(($M90="r"),(COUNTA($M91:$M$361)&gt;0)),(MAX(AT$44:AT89)+1),IF(OR(($M89="p"),($M89="n"),($M89="g")),"---",AT89)))</f>
        <v>---</v>
      </c>
      <c t="str" s="142" r="AU90">
        <f>IF((COUNTA($M90:$M$361)=0),"---",IF(AND(($M90="p"),(COUNTA($M91:$M$361)&gt;0)),(MAX(AU$44:AU89)+1),IF(OR(($M89="r"),($M89="n"),($M89="g")),"---",AU89)))</f>
        <v>---</v>
      </c>
      <c t="str" s="142" r="AV90">
        <f>IF((COUNTA($M90:$M$361)=0),"---",IF(AND(($M90="n"),(COUNTA($M91:$M$361)&gt;0)),(MAX(AV$44:AV89)+1),IF(OR(($M89="r"),($M89="p"),($M89="g")),"---",AV89)))</f>
        <v>---</v>
      </c>
      <c t="str" s="142" r="AW90">
        <f>IF((COUNTA($M90:$M$361)=0),"---",IF(AND(($M90="g"),(COUNTA($M91:$M$361)&gt;0)),(MAX(AW$44:AW89)+1),IF(OR(($M89="r"),($M89="p"),($M89="n")),"---",AW89)))</f>
        <v>---</v>
      </c>
      <c s="676" r="AX90">
        <f>IF((M90="p"),(1+MAX(AX$44:AX89)),0)</f>
        <v>0</v>
      </c>
      <c s="51" r="AY90"/>
      <c s="761" r="AZ90"/>
      <c s="761" r="BA90"/>
      <c s="125" r="BB90"/>
      <c s="125" r="BC90"/>
      <c s="125" r="BD90"/>
      <c s="125" r="BE90"/>
      <c s="125" r="BF90"/>
      <c s="125" r="BG90"/>
      <c s="125" r="BH90"/>
      <c s="125" r="BI90"/>
    </row>
    <row r="91">
      <c s="125" r="A91"/>
      <c s="125" r="B91"/>
      <c s="125" r="C91"/>
      <c s="125" r="D91"/>
      <c s="125" r="E91"/>
      <c s="125" r="F91"/>
      <c s="125" r="G91"/>
      <c s="125" r="H91"/>
      <c s="125" r="I91"/>
      <c s="822" r="J91"/>
      <c s="429" r="K91"/>
      <c s="458" r="L91"/>
      <c s="104" r="M91"/>
      <c s="458" r="N91"/>
      <c t="str" s="589" r="O91">
        <f>IF((AH$28=2),IF(ISBLANK(N91),O90,N91),IF(ISNUMBER(N91),(MAX(O$44:O90)+N91),O90))</f>
        <v/>
      </c>
      <c s="228" r="P91"/>
      <c s="273" r="Q91">
        <f>IF(ISNUMBER(P91),((Q90+P91)-R90),Q90)</f>
        <v>100</v>
      </c>
      <c s="228" r="R91"/>
      <c s="610" r="S91"/>
      <c s="458" r="T91"/>
      <c s="458" r="U91"/>
      <c s="458" r="V91"/>
      <c s="458" r="W91"/>
      <c s="458" r="X91"/>
      <c s="458" r="Y91"/>
      <c t="str" s="620" r="Z91">
        <f>IF(ISNUMBER(S91),(Q91-S91),NA())</f>
        <v>#N/A:explicit</v>
      </c>
      <c t="str" s="620" r="AA91">
        <f>IF(ISNUMBER(T91),IF((AH$22=1),(Z91+T91),(Q91-T91)),NA())</f>
        <v>#N/A:explicit</v>
      </c>
      <c t="str" s="620" r="AB91">
        <f>IF(ISNUMBER(U91),(Q91-U91),NA())</f>
        <v>#N/A:explicit</v>
      </c>
      <c t="str" s="620" r="AC91">
        <f>IF(ISNUMBER(V91),(Q91-V91),NA())</f>
        <v>#N/A:explicit</v>
      </c>
      <c t="str" s="620" r="AD91">
        <f>IF(ISNUMBER(W91),(Q91-W91),NA())</f>
        <v>#N/A:explicit</v>
      </c>
      <c t="str" s="620" r="AE91">
        <f>IF(ISNUMBER(X91),(Q91-X91),NA())</f>
        <v>#N/A:explicit</v>
      </c>
      <c t="str" s="552" r="AF91">
        <f>IF(ISNUMBER(Z91),Z91,"---")</f>
        <v>---</v>
      </c>
      <c s="142" r="AG91"/>
      <c t="str" s="142" r="AH91">
        <f>IF(ISBLANK(L91),NA(),MIN(AF$44:AF$361))</f>
        <v>#N/A:explicit</v>
      </c>
      <c t="str" s="142" r="AI91">
        <f>IF(ISNA(AA91),Z91,AA91)</f>
        <v>#N/A:explicit</v>
      </c>
      <c s="142" r="AJ91">
        <f>MIN(AF$44:AF$361)</f>
        <v>0</v>
      </c>
      <c s="142" r="AK91"/>
      <c t="str" s="142" r="AL91">
        <f>IF(ISNUMBER(AB91),O91,"---")</f>
        <v>---</v>
      </c>
      <c t="str" s="80" r="AM91">
        <f>IF(ISNUMBER(AB91),AB91,"---")</f>
        <v>---</v>
      </c>
      <c s="80" r="AN91"/>
      <c t="str" s="142" r="AO91">
        <f>IF((M91="r"),Z91,NA())</f>
        <v>#N/A:explicit</v>
      </c>
      <c t="str" s="142" r="AP91">
        <f>IF((M91="p"),Z91,NA())</f>
        <v>#N/A:explicit</v>
      </c>
      <c t="str" s="142" r="AQ91">
        <f>IF((M91="n"),Z91,NA())</f>
        <v>#N/A:explicit</v>
      </c>
      <c t="str" s="142" r="AR91">
        <f>IF((M91="g"),Z91,NA())</f>
        <v>#N/A:explicit</v>
      </c>
      <c s="142" r="AS91"/>
      <c t="str" s="142" r="AT91">
        <f>IF((COUNTA($M91:$M$361)=0),"---",IF(AND(($M91="r"),(COUNTA($M92:$M$361)&gt;0)),(MAX(AT$44:AT90)+1),IF(OR(($M90="p"),($M90="n"),($M90="g")),"---",AT90)))</f>
        <v>---</v>
      </c>
      <c t="str" s="142" r="AU91">
        <f>IF((COUNTA($M91:$M$361)=0),"---",IF(AND(($M91="p"),(COUNTA($M92:$M$361)&gt;0)),(MAX(AU$44:AU90)+1),IF(OR(($M90="r"),($M90="n"),($M90="g")),"---",AU90)))</f>
        <v>---</v>
      </c>
      <c t="str" s="142" r="AV91">
        <f>IF((COUNTA($M91:$M$361)=0),"---",IF(AND(($M91="n"),(COUNTA($M92:$M$361)&gt;0)),(MAX(AV$44:AV90)+1),IF(OR(($M90="r"),($M90="p"),($M90="g")),"---",AV90)))</f>
        <v>---</v>
      </c>
      <c t="str" s="142" r="AW91">
        <f>IF((COUNTA($M91:$M$361)=0),"---",IF(AND(($M91="g"),(COUNTA($M92:$M$361)&gt;0)),(MAX(AW$44:AW90)+1),IF(OR(($M90="r"),($M90="p"),($M90="n")),"---",AW90)))</f>
        <v>---</v>
      </c>
      <c s="676" r="AX91">
        <f>IF((M91="p"),(1+MAX(AX$44:AX90)),0)</f>
        <v>0</v>
      </c>
      <c s="51" r="AY91"/>
      <c s="761" r="AZ91"/>
      <c s="761" r="BA91"/>
      <c s="125" r="BB91"/>
      <c s="125" r="BC91"/>
      <c s="125" r="BD91"/>
      <c s="125" r="BE91"/>
      <c s="125" r="BF91"/>
      <c s="125" r="BG91"/>
      <c s="125" r="BH91"/>
      <c s="125" r="BI91"/>
    </row>
    <row r="92">
      <c s="125" r="A92"/>
      <c s="125" r="B92"/>
      <c s="125" r="C92"/>
      <c s="125" r="D92"/>
      <c s="125" r="E92"/>
      <c s="125" r="F92"/>
      <c s="125" r="G92"/>
      <c s="125" r="H92"/>
      <c s="125" r="I92"/>
      <c s="822" r="J92"/>
      <c s="429" r="K92"/>
      <c s="458" r="L92"/>
      <c s="104" r="M92"/>
      <c s="458" r="N92"/>
      <c t="str" s="589" r="O92">
        <f>IF((AH$28=2),IF(ISBLANK(N92),O91,N92),IF(ISNUMBER(N92),(MAX(O$44:O91)+N92),O91))</f>
        <v/>
      </c>
      <c s="228" r="P92"/>
      <c s="273" r="Q92">
        <f>IF(ISNUMBER(P92),((Q91+P92)-R91),Q91)</f>
        <v>100</v>
      </c>
      <c s="228" r="R92"/>
      <c s="610" r="S92"/>
      <c s="458" r="T92"/>
      <c s="458" r="U92"/>
      <c s="458" r="V92"/>
      <c s="458" r="W92"/>
      <c s="458" r="X92"/>
      <c s="458" r="Y92"/>
      <c t="str" s="620" r="Z92">
        <f>IF(ISNUMBER(S92),(Q92-S92),NA())</f>
        <v>#N/A:explicit</v>
      </c>
      <c t="str" s="620" r="AA92">
        <f>IF(ISNUMBER(T92),IF((AH$22=1),(Z92+T92),(Q92-T92)),NA())</f>
        <v>#N/A:explicit</v>
      </c>
      <c t="str" s="620" r="AB92">
        <f>IF(ISNUMBER(U92),(Q92-U92),NA())</f>
        <v>#N/A:explicit</v>
      </c>
      <c t="str" s="620" r="AC92">
        <f>IF(ISNUMBER(V92),(Q92-V92),NA())</f>
        <v>#N/A:explicit</v>
      </c>
      <c t="str" s="620" r="AD92">
        <f>IF(ISNUMBER(W92),(Q92-W92),NA())</f>
        <v>#N/A:explicit</v>
      </c>
      <c t="str" s="620" r="AE92">
        <f>IF(ISNUMBER(X92),(Q92-X92),NA())</f>
        <v>#N/A:explicit</v>
      </c>
      <c t="str" s="552" r="AF92">
        <f>IF(ISNUMBER(Z92),Z92,"---")</f>
        <v>---</v>
      </c>
      <c s="142" r="AG92"/>
      <c t="str" s="142" r="AH92">
        <f>IF(ISBLANK(L92),NA(),MIN(AF$44:AF$361))</f>
        <v>#N/A:explicit</v>
      </c>
      <c t="str" s="142" r="AI92">
        <f>IF(ISNA(AA92),Z92,AA92)</f>
        <v>#N/A:explicit</v>
      </c>
      <c s="142" r="AJ92">
        <f>MIN(AF$44:AF$361)</f>
        <v>0</v>
      </c>
      <c s="142" r="AK92"/>
      <c t="str" s="142" r="AL92">
        <f>IF(ISNUMBER(AB92),O92,"---")</f>
        <v>---</v>
      </c>
      <c t="str" s="80" r="AM92">
        <f>IF(ISNUMBER(AB92),AB92,"---")</f>
        <v>---</v>
      </c>
      <c s="80" r="AN92"/>
      <c t="str" s="142" r="AO92">
        <f>IF((M92="r"),Z92,NA())</f>
        <v>#N/A:explicit</v>
      </c>
      <c t="str" s="142" r="AP92">
        <f>IF((M92="p"),Z92,NA())</f>
        <v>#N/A:explicit</v>
      </c>
      <c t="str" s="142" r="AQ92">
        <f>IF((M92="n"),Z92,NA())</f>
        <v>#N/A:explicit</v>
      </c>
      <c t="str" s="142" r="AR92">
        <f>IF((M92="g"),Z92,NA())</f>
        <v>#N/A:explicit</v>
      </c>
      <c s="142" r="AS92"/>
      <c t="str" s="142" r="AT92">
        <f>IF((COUNTA($M92:$M$361)=0),"---",IF(AND(($M92="r"),(COUNTA($M93:$M$361)&gt;0)),(MAX(AT$44:AT91)+1),IF(OR(($M91="p"),($M91="n"),($M91="g")),"---",AT91)))</f>
        <v>---</v>
      </c>
      <c t="str" s="142" r="AU92">
        <f>IF((COUNTA($M92:$M$361)=0),"---",IF(AND(($M92="p"),(COUNTA($M93:$M$361)&gt;0)),(MAX(AU$44:AU91)+1),IF(OR(($M91="r"),($M91="n"),($M91="g")),"---",AU91)))</f>
        <v>---</v>
      </c>
      <c t="str" s="142" r="AV92">
        <f>IF((COUNTA($M92:$M$361)=0),"---",IF(AND(($M92="n"),(COUNTA($M93:$M$361)&gt;0)),(MAX(AV$44:AV91)+1),IF(OR(($M91="r"),($M91="p"),($M91="g")),"---",AV91)))</f>
        <v>---</v>
      </c>
      <c t="str" s="142" r="AW92">
        <f>IF((COUNTA($M92:$M$361)=0),"---",IF(AND(($M92="g"),(COUNTA($M93:$M$361)&gt;0)),(MAX(AW$44:AW91)+1),IF(OR(($M91="r"),($M91="p"),($M91="n")),"---",AW91)))</f>
        <v>---</v>
      </c>
      <c s="676" r="AX92">
        <f>IF((M92="p"),(1+MAX(AX$44:AX91)),0)</f>
        <v>0</v>
      </c>
      <c s="51" r="AY92"/>
      <c s="761" r="AZ92"/>
      <c s="761" r="BA92"/>
      <c s="125" r="BB92"/>
      <c s="125" r="BC92"/>
      <c s="125" r="BD92"/>
      <c s="125" r="BE92"/>
      <c s="125" r="BF92"/>
      <c s="125" r="BG92"/>
      <c s="125" r="BH92"/>
      <c s="125" r="BI92"/>
    </row>
    <row r="93">
      <c s="125" r="A93"/>
      <c s="125" r="B93"/>
      <c s="125" r="C93"/>
      <c s="125" r="D93"/>
      <c s="125" r="E93"/>
      <c s="125" r="F93"/>
      <c s="125" r="G93"/>
      <c s="125" r="H93"/>
      <c s="125" r="I93"/>
      <c s="822" r="J93"/>
      <c s="848" r="K93"/>
      <c s="550" r="L93"/>
      <c s="104" r="M93"/>
      <c s="550" r="N93"/>
      <c t="str" s="589" r="O93">
        <f>IF((AH$28=2),IF(ISBLANK(N93),O92,N93),IF(ISNUMBER(N93),(MAX(O$44:O92)+N93),O92))</f>
        <v/>
      </c>
      <c s="694" r="P93"/>
      <c s="273" r="Q93">
        <f>IF(ISNUMBER(P93),((Q92+P93)-R92),Q92)</f>
        <v>100</v>
      </c>
      <c s="694" r="R93"/>
      <c s="821" r="S93"/>
      <c s="550" r="T93"/>
      <c s="550" r="U93"/>
      <c s="550" r="V93"/>
      <c s="550" r="W93"/>
      <c s="550" r="X93"/>
      <c s="550" r="Y93"/>
      <c t="str" s="470" r="Z93">
        <f>IF(ISNUMBER(S93),(Q93-S93),NA())</f>
        <v>#N/A:explicit</v>
      </c>
      <c t="str" s="470" r="AA93">
        <f>IF(ISNUMBER(T93),IF((AH$22=1),(Z93+T93),(Q93-T93)),NA())</f>
        <v>#N/A:explicit</v>
      </c>
      <c t="str" s="470" r="AB93">
        <f>IF(ISNUMBER(U93),(Q93-U93),NA())</f>
        <v>#N/A:explicit</v>
      </c>
      <c t="str" s="470" r="AC93">
        <f>IF(ISNUMBER(V93),(Q93-V93),NA())</f>
        <v>#N/A:explicit</v>
      </c>
      <c t="str" s="470" r="AD93">
        <f>IF(ISNUMBER(W93),(Q93-W93),NA())</f>
        <v>#N/A:explicit</v>
      </c>
      <c t="str" s="470" r="AE93">
        <f>IF(ISNUMBER(X93),(Q93-X93),NA())</f>
        <v>#N/A:explicit</v>
      </c>
      <c t="str" s="552" r="AF93">
        <f>IF(ISNUMBER(Z93),Z93,"---")</f>
        <v>---</v>
      </c>
      <c s="142" r="AG93"/>
      <c t="str" s="142" r="AH93">
        <f>IF(ISBLANK(L93),NA(),MIN(AF$44:AF$361))</f>
        <v>#N/A:explicit</v>
      </c>
      <c t="str" s="142" r="AI93">
        <f>IF(ISNA(AA93),Z93,AA93)</f>
        <v>#N/A:explicit</v>
      </c>
      <c s="142" r="AJ93">
        <f>MIN(AF$44:AF$361)</f>
        <v>0</v>
      </c>
      <c s="142" r="AK93"/>
      <c t="str" s="142" r="AL93">
        <f>IF(ISNUMBER(AB93),O93,"---")</f>
        <v>---</v>
      </c>
      <c t="str" s="80" r="AM93">
        <f>IF(ISNUMBER(AB93),AB93,"---")</f>
        <v>---</v>
      </c>
      <c s="80" r="AN93"/>
      <c t="str" s="142" r="AO93">
        <f>IF((M93="r"),Z93,NA())</f>
        <v>#N/A:explicit</v>
      </c>
      <c t="str" s="142" r="AP93">
        <f>IF((M93="p"),Z93,NA())</f>
        <v>#N/A:explicit</v>
      </c>
      <c t="str" s="142" r="AQ93">
        <f>IF((M93="n"),Z93,NA())</f>
        <v>#N/A:explicit</v>
      </c>
      <c t="str" s="142" r="AR93">
        <f>IF((M93="g"),Z93,NA())</f>
        <v>#N/A:explicit</v>
      </c>
      <c s="142" r="AS93"/>
      <c t="str" s="142" r="AT93">
        <f>IF((COUNTA($M93:$M$361)=0),"---",IF(AND(($M93="r"),(COUNTA($M94:$M$361)&gt;0)),(MAX(AT$44:AT92)+1),IF(OR(($M92="p"),($M92="n"),($M92="g")),"---",AT92)))</f>
        <v>---</v>
      </c>
      <c t="str" s="142" r="AU93">
        <f>IF((COUNTA($M93:$M$361)=0),"---",IF(AND(($M93="p"),(COUNTA($M94:$M$361)&gt;0)),(MAX(AU$44:AU92)+1),IF(OR(($M92="r"),($M92="n"),($M92="g")),"---",AU92)))</f>
        <v>---</v>
      </c>
      <c t="str" s="142" r="AV93">
        <f>IF((COUNTA($M93:$M$361)=0),"---",IF(AND(($M93="n"),(COUNTA($M94:$M$361)&gt;0)),(MAX(AV$44:AV92)+1),IF(OR(($M92="r"),($M92="p"),($M92="g")),"---",AV92)))</f>
        <v>---</v>
      </c>
      <c t="str" s="142" r="AW93">
        <f>IF((COUNTA($M93:$M$361)=0),"---",IF(AND(($M93="g"),(COUNTA($M94:$M$361)&gt;0)),(MAX(AW$44:AW92)+1),IF(OR(($M92="r"),($M92="p"),($M92="n")),"---",AW92)))</f>
        <v>---</v>
      </c>
      <c s="676" r="AX93">
        <f>IF((M93="p"),(1+MAX(AX$44:AX92)),0)</f>
        <v>0</v>
      </c>
      <c s="51" r="AY93"/>
      <c s="761" r="AZ93"/>
      <c s="761" r="BA93"/>
      <c s="125" r="BB93"/>
      <c s="125" r="BC93"/>
      <c s="125" r="BD93"/>
      <c s="125" r="BE93"/>
      <c s="125" r="BF93"/>
      <c s="125" r="BG93"/>
      <c s="125" r="BH93"/>
      <c s="125" r="BI93"/>
    </row>
    <row r="94">
      <c s="125" r="A94"/>
      <c s="125" r="B94"/>
      <c s="125" r="C94"/>
      <c s="125" r="D94"/>
      <c s="125" r="E94"/>
      <c s="125" r="F94"/>
      <c s="125" r="G94"/>
      <c s="125" r="H94"/>
      <c s="125" r="I94"/>
      <c s="822" r="J94"/>
      <c s="848" r="K94"/>
      <c s="550" r="L94"/>
      <c s="104" r="M94"/>
      <c s="550" r="N94"/>
      <c t="str" s="589" r="O94">
        <f>IF((AH$28=2),IF(ISBLANK(N94),O93,N94),IF(ISNUMBER(N94),(MAX(O$44:O93)+N94),O93))</f>
        <v/>
      </c>
      <c s="694" r="P94"/>
      <c s="273" r="Q94">
        <f>IF(ISNUMBER(P94),((Q93+P94)-R93),Q93)</f>
        <v>100</v>
      </c>
      <c s="694" r="R94"/>
      <c s="821" r="S94"/>
      <c s="550" r="T94"/>
      <c s="550" r="U94"/>
      <c s="550" r="V94"/>
      <c s="550" r="W94"/>
      <c s="550" r="X94"/>
      <c s="550" r="Y94"/>
      <c t="str" s="470" r="Z94">
        <f>IF(ISNUMBER(S94),(Q94-S94),NA())</f>
        <v>#N/A:explicit</v>
      </c>
      <c t="str" s="470" r="AA94">
        <f>IF(ISNUMBER(T94),IF((AH$22=1),(Z94+T94),(Q94-T94)),NA())</f>
        <v>#N/A:explicit</v>
      </c>
      <c t="str" s="470" r="AB94">
        <f>IF(ISNUMBER(U94),(Q94-U94),NA())</f>
        <v>#N/A:explicit</v>
      </c>
      <c t="str" s="470" r="AC94">
        <f>IF(ISNUMBER(V94),(Q94-V94),NA())</f>
        <v>#N/A:explicit</v>
      </c>
      <c t="str" s="470" r="AD94">
        <f>IF(ISNUMBER(W94),(Q94-W94),NA())</f>
        <v>#N/A:explicit</v>
      </c>
      <c t="str" s="470" r="AE94">
        <f>IF(ISNUMBER(X94),(Q94-X94),NA())</f>
        <v>#N/A:explicit</v>
      </c>
      <c t="str" s="552" r="AF94">
        <f>IF(ISNUMBER(Z94),Z94,"---")</f>
        <v>---</v>
      </c>
      <c s="142" r="AG94"/>
      <c t="str" s="142" r="AH94">
        <f>IF(ISBLANK(L94),NA(),MIN(AF$44:AF$361))</f>
        <v>#N/A:explicit</v>
      </c>
      <c t="str" s="142" r="AI94">
        <f>IF(ISNA(AA94),Z94,AA94)</f>
        <v>#N/A:explicit</v>
      </c>
      <c s="142" r="AJ94">
        <f>MIN(AF$44:AF$361)</f>
        <v>0</v>
      </c>
      <c s="142" r="AK94"/>
      <c t="str" s="142" r="AL94">
        <f>IF(ISNUMBER(AB94),O94,"---")</f>
        <v>---</v>
      </c>
      <c t="str" s="80" r="AM94">
        <f>IF(ISNUMBER(AB94),AB94,"---")</f>
        <v>---</v>
      </c>
      <c s="80" r="AN94"/>
      <c t="str" s="142" r="AO94">
        <f>IF((M94="r"),Z94,NA())</f>
        <v>#N/A:explicit</v>
      </c>
      <c t="str" s="142" r="AP94">
        <f>IF((M94="p"),Z94,NA())</f>
        <v>#N/A:explicit</v>
      </c>
      <c t="str" s="142" r="AQ94">
        <f>IF((M94="n"),Z94,NA())</f>
        <v>#N/A:explicit</v>
      </c>
      <c t="str" s="142" r="AR94">
        <f>IF((M94="g"),Z94,NA())</f>
        <v>#N/A:explicit</v>
      </c>
      <c s="142" r="AS94"/>
      <c t="str" s="142" r="AT94">
        <f>IF((COUNTA($M94:$M$361)=0),"---",IF(AND(($M94="r"),(COUNTA($M95:$M$361)&gt;0)),(MAX(AT$44:AT93)+1),IF(OR(($M93="p"),($M93="n"),($M93="g")),"---",AT93)))</f>
        <v>---</v>
      </c>
      <c t="str" s="142" r="AU94">
        <f>IF((COUNTA($M94:$M$361)=0),"---",IF(AND(($M94="p"),(COUNTA($M95:$M$361)&gt;0)),(MAX(AU$44:AU93)+1),IF(OR(($M93="r"),($M93="n"),($M93="g")),"---",AU93)))</f>
        <v>---</v>
      </c>
      <c t="str" s="142" r="AV94">
        <f>IF((COUNTA($M94:$M$361)=0),"---",IF(AND(($M94="n"),(COUNTA($M95:$M$361)&gt;0)),(MAX(AV$44:AV93)+1),IF(OR(($M93="r"),($M93="p"),($M93="g")),"---",AV93)))</f>
        <v>---</v>
      </c>
      <c t="str" s="142" r="AW94">
        <f>IF((COUNTA($M94:$M$361)=0),"---",IF(AND(($M94="g"),(COUNTA($M95:$M$361)&gt;0)),(MAX(AW$44:AW93)+1),IF(OR(($M93="r"),($M93="p"),($M93="n")),"---",AW93)))</f>
        <v>---</v>
      </c>
      <c s="676" r="AX94">
        <f>IF((M94="p"),(1+MAX(AX$44:AX93)),0)</f>
        <v>0</v>
      </c>
      <c s="51" r="AY94"/>
      <c s="761" r="AZ94"/>
      <c s="761" r="BA94"/>
      <c s="125" r="BB94"/>
      <c s="125" r="BC94"/>
      <c s="125" r="BD94"/>
      <c s="125" r="BE94"/>
      <c s="125" r="BF94"/>
      <c s="125" r="BG94"/>
      <c s="125" r="BH94"/>
      <c s="125" r="BI94"/>
    </row>
    <row r="95">
      <c s="125" r="A95"/>
      <c s="125" r="B95"/>
      <c s="125" r="C95"/>
      <c s="125" r="D95"/>
      <c s="125" r="E95"/>
      <c s="125" r="F95"/>
      <c s="125" r="G95"/>
      <c s="125" r="H95"/>
      <c s="125" r="I95"/>
      <c s="822" r="J95"/>
      <c s="848" r="K95"/>
      <c s="550" r="L95"/>
      <c s="104" r="M95"/>
      <c s="550" r="N95"/>
      <c t="str" s="589" r="O95">
        <f>IF((AH$28=2),IF(ISBLANK(N95),O94,N95),IF(ISNUMBER(N95),(MAX(O$44:O94)+N95),O94))</f>
        <v/>
      </c>
      <c s="694" r="P95"/>
      <c s="273" r="Q95">
        <f>IF(ISNUMBER(P95),((Q94+P95)-R94),Q94)</f>
        <v>100</v>
      </c>
      <c s="694" r="R95"/>
      <c s="821" r="S95"/>
      <c s="550" r="T95"/>
      <c s="550" r="U95"/>
      <c s="550" r="V95"/>
      <c s="550" r="W95"/>
      <c s="550" r="X95"/>
      <c s="550" r="Y95"/>
      <c t="str" s="470" r="Z95">
        <f>IF(ISNUMBER(S95),(Q95-S95),NA())</f>
        <v>#N/A:explicit</v>
      </c>
      <c t="str" s="470" r="AA95">
        <f>IF(ISNUMBER(T95),IF((AH$22=1),(Z95+T95),(Q95-T95)),NA())</f>
        <v>#N/A:explicit</v>
      </c>
      <c t="str" s="470" r="AB95">
        <f>IF(ISNUMBER(U95),(Q95-U95),NA())</f>
        <v>#N/A:explicit</v>
      </c>
      <c t="str" s="470" r="AC95">
        <f>IF(ISNUMBER(V95),(Q95-V95),NA())</f>
        <v>#N/A:explicit</v>
      </c>
      <c t="str" s="470" r="AD95">
        <f>IF(ISNUMBER(W95),(Q95-W95),NA())</f>
        <v>#N/A:explicit</v>
      </c>
      <c t="str" s="470" r="AE95">
        <f>IF(ISNUMBER(X95),(Q95-X95),NA())</f>
        <v>#N/A:explicit</v>
      </c>
      <c t="str" s="552" r="AF95">
        <f>IF(ISNUMBER(Z95),Z95,"---")</f>
        <v>---</v>
      </c>
      <c s="142" r="AG95"/>
      <c t="str" s="142" r="AH95">
        <f>IF(ISBLANK(L95),NA(),MIN(AF$44:AF$361))</f>
        <v>#N/A:explicit</v>
      </c>
      <c t="str" s="142" r="AI95">
        <f>IF(ISNA(AA95),Z95,AA95)</f>
        <v>#N/A:explicit</v>
      </c>
      <c s="142" r="AJ95">
        <f>MIN(AF$44:AF$361)</f>
        <v>0</v>
      </c>
      <c s="142" r="AK95"/>
      <c t="str" s="142" r="AL95">
        <f>IF(ISNUMBER(AB95),O95,"---")</f>
        <v>---</v>
      </c>
      <c t="str" s="80" r="AM95">
        <f>IF(ISNUMBER(AB95),AB95,"---")</f>
        <v>---</v>
      </c>
      <c s="80" r="AN95"/>
      <c t="str" s="142" r="AO95">
        <f>IF((M95="r"),Z95,NA())</f>
        <v>#N/A:explicit</v>
      </c>
      <c t="str" s="142" r="AP95">
        <f>IF((M95="p"),Z95,NA())</f>
        <v>#N/A:explicit</v>
      </c>
      <c t="str" s="142" r="AQ95">
        <f>IF((M95="n"),Z95,NA())</f>
        <v>#N/A:explicit</v>
      </c>
      <c t="str" s="142" r="AR95">
        <f>IF((M95="g"),Z95,NA())</f>
        <v>#N/A:explicit</v>
      </c>
      <c s="142" r="AS95"/>
      <c t="str" s="142" r="AT95">
        <f>IF((COUNTA($M95:$M$361)=0),"---",IF(AND(($M95="r"),(COUNTA($M96:$M$361)&gt;0)),(MAX(AT$44:AT94)+1),IF(OR(($M94="p"),($M94="n"),($M94="g")),"---",AT94)))</f>
        <v>---</v>
      </c>
      <c t="str" s="142" r="AU95">
        <f>IF((COUNTA($M95:$M$361)=0),"---",IF(AND(($M95="p"),(COUNTA($M96:$M$361)&gt;0)),(MAX(AU$44:AU94)+1),IF(OR(($M94="r"),($M94="n"),($M94="g")),"---",AU94)))</f>
        <v>---</v>
      </c>
      <c t="str" s="142" r="AV95">
        <f>IF((COUNTA($M95:$M$361)=0),"---",IF(AND(($M95="n"),(COUNTA($M96:$M$361)&gt;0)),(MAX(AV$44:AV94)+1),IF(OR(($M94="r"),($M94="p"),($M94="g")),"---",AV94)))</f>
        <v>---</v>
      </c>
      <c t="str" s="142" r="AW95">
        <f>IF((COUNTA($M95:$M$361)=0),"---",IF(AND(($M95="g"),(COUNTA($M96:$M$361)&gt;0)),(MAX(AW$44:AW94)+1),IF(OR(($M94="r"),($M94="p"),($M94="n")),"---",AW94)))</f>
        <v>---</v>
      </c>
      <c s="676" r="AX95">
        <f>IF((M95="p"),(1+MAX(AX$44:AX94)),0)</f>
        <v>0</v>
      </c>
      <c s="51" r="AY95"/>
      <c s="761" r="AZ95"/>
      <c s="761" r="BA95"/>
      <c s="125" r="BB95"/>
      <c s="125" r="BC95"/>
      <c s="125" r="BD95"/>
      <c s="125" r="BE95"/>
      <c s="125" r="BF95"/>
      <c s="125" r="BG95"/>
      <c s="125" r="BH95"/>
      <c s="125" r="BI95"/>
    </row>
    <row r="96">
      <c s="125" r="A96"/>
      <c s="125" r="B96"/>
      <c s="125" r="C96"/>
      <c s="125" r="D96"/>
      <c s="125" r="E96"/>
      <c s="125" r="F96"/>
      <c s="125" r="G96"/>
      <c s="125" r="H96"/>
      <c s="125" r="I96"/>
      <c s="822" r="J96"/>
      <c s="429" r="K96"/>
      <c s="458" r="L96"/>
      <c s="104" r="M96"/>
      <c s="458" r="N96"/>
      <c t="str" s="589" r="O96">
        <f>IF((AH$28=2),IF(ISBLANK(N96),O95,N96),IF(ISNUMBER(N96),(MAX(O$44:O95)+N96),O95))</f>
        <v/>
      </c>
      <c s="228" r="P96"/>
      <c s="273" r="Q96">
        <f>IF(ISNUMBER(P96),((Q95+P96)-R95),Q95)</f>
        <v>100</v>
      </c>
      <c s="228" r="R96"/>
      <c s="610" r="S96"/>
      <c s="458" r="T96"/>
      <c s="458" r="U96"/>
      <c s="458" r="V96"/>
      <c s="458" r="W96"/>
      <c s="458" r="X96"/>
      <c s="458" r="Y96"/>
      <c t="str" s="620" r="Z96">
        <f>IF(ISNUMBER(S96),(Q96-S96),NA())</f>
        <v>#N/A:explicit</v>
      </c>
      <c t="str" s="620" r="AA96">
        <f>IF(ISNUMBER(T96),IF((AH$22=1),(Z96+T96),(Q96-T96)),NA())</f>
        <v>#N/A:explicit</v>
      </c>
      <c t="str" s="620" r="AB96">
        <f>IF(ISNUMBER(U96),(Q96-U96),NA())</f>
        <v>#N/A:explicit</v>
      </c>
      <c t="str" s="620" r="AC96">
        <f>IF(ISNUMBER(V96),(Q96-V96),NA())</f>
        <v>#N/A:explicit</v>
      </c>
      <c t="str" s="620" r="AD96">
        <f>IF(ISNUMBER(W96),(Q96-W96),NA())</f>
        <v>#N/A:explicit</v>
      </c>
      <c t="str" s="620" r="AE96">
        <f>IF(ISNUMBER(X96),(Q96-X96),NA())</f>
        <v>#N/A:explicit</v>
      </c>
      <c t="str" s="552" r="AF96">
        <f>IF(ISNUMBER(Z96),Z96,"---")</f>
        <v>---</v>
      </c>
      <c s="142" r="AG96"/>
      <c t="str" s="142" r="AH96">
        <f>IF(ISBLANK(L96),NA(),MIN(AF$44:AF$361))</f>
        <v>#N/A:explicit</v>
      </c>
      <c t="str" s="142" r="AI96">
        <f>IF(ISNA(AA96),Z96,AA96)</f>
        <v>#N/A:explicit</v>
      </c>
      <c s="142" r="AJ96">
        <f>MIN(AF$44:AF$361)</f>
        <v>0</v>
      </c>
      <c s="142" r="AK96"/>
      <c t="str" s="142" r="AL96">
        <f>IF(ISNUMBER(AB96),O96,"---")</f>
        <v>---</v>
      </c>
      <c t="str" s="80" r="AM96">
        <f>IF(ISNUMBER(AB96),AB96,"---")</f>
        <v>---</v>
      </c>
      <c s="80" r="AN96"/>
      <c t="str" s="142" r="AO96">
        <f>IF((M96="r"),Z96,NA())</f>
        <v>#N/A:explicit</v>
      </c>
      <c t="str" s="142" r="AP96">
        <f>IF((M96="p"),Z96,NA())</f>
        <v>#N/A:explicit</v>
      </c>
      <c t="str" s="142" r="AQ96">
        <f>IF((M96="n"),Z96,NA())</f>
        <v>#N/A:explicit</v>
      </c>
      <c t="str" s="142" r="AR96">
        <f>IF((M96="g"),Z96,NA())</f>
        <v>#N/A:explicit</v>
      </c>
      <c s="142" r="AS96"/>
      <c t="str" s="142" r="AT96">
        <f>IF((COUNTA($M96:$M$361)=0),"---",IF(AND(($M96="r"),(COUNTA($M97:$M$361)&gt;0)),(MAX(AT$44:AT95)+1),IF(OR(($M95="p"),($M95="n"),($M95="g")),"---",AT95)))</f>
        <v>---</v>
      </c>
      <c t="str" s="142" r="AU96">
        <f>IF((COUNTA($M96:$M$361)=0),"---",IF(AND(($M96="p"),(COUNTA($M97:$M$361)&gt;0)),(MAX(AU$44:AU95)+1),IF(OR(($M95="r"),($M95="n"),($M95="g")),"---",AU95)))</f>
        <v>---</v>
      </c>
      <c t="str" s="142" r="AV96">
        <f>IF((COUNTA($M96:$M$361)=0),"---",IF(AND(($M96="n"),(COUNTA($M97:$M$361)&gt;0)),(MAX(AV$44:AV95)+1),IF(OR(($M95="r"),($M95="p"),($M95="g")),"---",AV95)))</f>
        <v>---</v>
      </c>
      <c t="str" s="142" r="AW96">
        <f>IF((COUNTA($M96:$M$361)=0),"---",IF(AND(($M96="g"),(COUNTA($M97:$M$361)&gt;0)),(MAX(AW$44:AW95)+1),IF(OR(($M95="r"),($M95="p"),($M95="n")),"---",AW95)))</f>
        <v>---</v>
      </c>
      <c s="676" r="AX96">
        <f>IF((M96="p"),(1+MAX(AX$44:AX95)),0)</f>
        <v>0</v>
      </c>
      <c s="51" r="AY96"/>
      <c s="761" r="AZ96"/>
      <c s="761" r="BA96"/>
      <c s="125" r="BB96"/>
      <c s="125" r="BC96"/>
      <c s="125" r="BD96"/>
      <c s="125" r="BE96"/>
      <c s="125" r="BF96"/>
      <c s="125" r="BG96"/>
      <c s="125" r="BH96"/>
      <c s="125" r="BI96"/>
    </row>
    <row r="97">
      <c s="125" r="A97"/>
      <c s="125" r="B97"/>
      <c s="125" r="C97"/>
      <c s="125" r="D97"/>
      <c s="125" r="E97"/>
      <c s="125" r="F97"/>
      <c s="125" r="G97"/>
      <c s="125" r="H97"/>
      <c s="125" r="I97"/>
      <c s="822" r="J97"/>
      <c s="429" r="K97"/>
      <c s="458" r="L97"/>
      <c s="104" r="M97"/>
      <c s="458" r="N97"/>
      <c t="str" s="589" r="O97">
        <f>IF((AH$28=2),IF(ISBLANK(N97),O96,N97),IF(ISNUMBER(N97),(MAX(O$44:O96)+N97),O96))</f>
        <v/>
      </c>
      <c s="228" r="P97"/>
      <c s="273" r="Q97">
        <f>IF(ISNUMBER(P97),((Q96+P97)-R96),Q96)</f>
        <v>100</v>
      </c>
      <c s="228" r="R97"/>
      <c s="610" r="S97"/>
      <c s="458" r="T97"/>
      <c s="458" r="U97"/>
      <c s="458" r="V97"/>
      <c s="458" r="W97"/>
      <c s="458" r="X97"/>
      <c s="458" r="Y97"/>
      <c t="str" s="620" r="Z97">
        <f>IF(ISNUMBER(S97),(Q97-S97),NA())</f>
        <v>#N/A:explicit</v>
      </c>
      <c t="str" s="620" r="AA97">
        <f>IF(ISNUMBER(T97),IF((AH$22=1),(Z97+T97),(Q97-T97)),NA())</f>
        <v>#N/A:explicit</v>
      </c>
      <c t="str" s="620" r="AB97">
        <f>IF(ISNUMBER(U97),(Q97-U97),NA())</f>
        <v>#N/A:explicit</v>
      </c>
      <c t="str" s="620" r="AC97">
        <f>IF(ISNUMBER(V97),(Q97-V97),NA())</f>
        <v>#N/A:explicit</v>
      </c>
      <c t="str" s="620" r="AD97">
        <f>IF(ISNUMBER(W97),(Q97-W97),NA())</f>
        <v>#N/A:explicit</v>
      </c>
      <c t="str" s="620" r="AE97">
        <f>IF(ISNUMBER(X97),(Q97-X97),NA())</f>
        <v>#N/A:explicit</v>
      </c>
      <c t="str" s="552" r="AF97">
        <f>IF(ISNUMBER(Z97),Z97,"---")</f>
        <v>---</v>
      </c>
      <c s="142" r="AG97"/>
      <c t="str" s="142" r="AH97">
        <f>IF(ISBLANK(L97),NA(),MIN(AF$44:AF$361))</f>
        <v>#N/A:explicit</v>
      </c>
      <c t="str" s="142" r="AI97">
        <f>IF(ISNA(AA97),Z97,AA97)</f>
        <v>#N/A:explicit</v>
      </c>
      <c s="142" r="AJ97">
        <f>MIN(AF$44:AF$361)</f>
        <v>0</v>
      </c>
      <c s="142" r="AK97"/>
      <c t="str" s="142" r="AL97">
        <f>IF(ISNUMBER(AB97),O97,"---")</f>
        <v>---</v>
      </c>
      <c t="str" s="80" r="AM97">
        <f>IF(ISNUMBER(AB97),AB97,"---")</f>
        <v>---</v>
      </c>
      <c s="80" r="AN97"/>
      <c t="str" s="142" r="AO97">
        <f>IF((M97="r"),Z97,NA())</f>
        <v>#N/A:explicit</v>
      </c>
      <c t="str" s="142" r="AP97">
        <f>IF((M97="p"),Z97,NA())</f>
        <v>#N/A:explicit</v>
      </c>
      <c t="str" s="142" r="AQ97">
        <f>IF((M97="n"),Z97,NA())</f>
        <v>#N/A:explicit</v>
      </c>
      <c t="str" s="142" r="AR97">
        <f>IF((M97="g"),Z97,NA())</f>
        <v>#N/A:explicit</v>
      </c>
      <c s="142" r="AS97"/>
      <c t="str" s="142" r="AT97">
        <f>IF((COUNTA($M97:$M$361)=0),"---",IF(AND(($M97="r"),(COUNTA($M98:$M$361)&gt;0)),(MAX(AT$44:AT96)+1),IF(OR(($M96="p"),($M96="n"),($M96="g")),"---",AT96)))</f>
        <v>---</v>
      </c>
      <c t="str" s="142" r="AU97">
        <f>IF((COUNTA($M97:$M$361)=0),"---",IF(AND(($M97="p"),(COUNTA($M98:$M$361)&gt;0)),(MAX(AU$44:AU96)+1),IF(OR(($M96="r"),($M96="n"),($M96="g")),"---",AU96)))</f>
        <v>---</v>
      </c>
      <c t="str" s="142" r="AV97">
        <f>IF((COUNTA($M97:$M$361)=0),"---",IF(AND(($M97="n"),(COUNTA($M98:$M$361)&gt;0)),(MAX(AV$44:AV96)+1),IF(OR(($M96="r"),($M96="p"),($M96="g")),"---",AV96)))</f>
        <v>---</v>
      </c>
      <c t="str" s="142" r="AW97">
        <f>IF((COUNTA($M97:$M$361)=0),"---",IF(AND(($M97="g"),(COUNTA($M98:$M$361)&gt;0)),(MAX(AW$44:AW96)+1),IF(OR(($M96="r"),($M96="p"),($M96="n")),"---",AW96)))</f>
        <v>---</v>
      </c>
      <c s="676" r="AX97">
        <f>IF((M97="p"),(1+MAX(AX$44:AX96)),0)</f>
        <v>0</v>
      </c>
      <c s="51" r="AY97"/>
      <c s="761" r="AZ97"/>
      <c s="761" r="BA97"/>
      <c s="125" r="BB97"/>
      <c s="125" r="BC97"/>
      <c s="125" r="BD97"/>
      <c s="125" r="BE97"/>
      <c s="125" r="BF97"/>
      <c s="125" r="BG97"/>
      <c s="125" r="BH97"/>
      <c s="125" r="BI97"/>
    </row>
    <row r="98">
      <c s="125" r="A98"/>
      <c s="125" r="B98"/>
      <c s="125" r="C98"/>
      <c s="125" r="D98"/>
      <c s="125" r="E98"/>
      <c s="125" r="F98"/>
      <c s="125" r="G98"/>
      <c s="125" r="H98"/>
      <c s="125" r="I98"/>
      <c s="822" r="J98"/>
      <c s="429" r="K98"/>
      <c s="458" r="L98"/>
      <c s="104" r="M98"/>
      <c s="458" r="N98"/>
      <c t="str" s="589" r="O98">
        <f>IF((AH$28=2),IF(ISBLANK(N98),O97,N98),IF(ISNUMBER(N98),(MAX(O$44:O97)+N98),O97))</f>
        <v/>
      </c>
      <c s="228" r="P98"/>
      <c s="273" r="Q98">
        <f>IF(ISNUMBER(P98),((Q97+P98)-R97),Q97)</f>
        <v>100</v>
      </c>
      <c s="228" r="R98"/>
      <c s="610" r="S98"/>
      <c s="458" r="T98"/>
      <c s="458" r="U98"/>
      <c s="458" r="V98"/>
      <c s="458" r="W98"/>
      <c s="458" r="X98"/>
      <c s="458" r="Y98"/>
      <c t="str" s="620" r="Z98">
        <f>IF(ISNUMBER(S98),(Q98-S98),NA())</f>
        <v>#N/A:explicit</v>
      </c>
      <c t="str" s="620" r="AA98">
        <f>IF(ISNUMBER(T98),IF((AH$22=1),(Z98+T98),(Q98-T98)),NA())</f>
        <v>#N/A:explicit</v>
      </c>
      <c t="str" s="620" r="AB98">
        <f>IF(ISNUMBER(U98),(Q98-U98),NA())</f>
        <v>#N/A:explicit</v>
      </c>
      <c t="str" s="620" r="AC98">
        <f>IF(ISNUMBER(V98),(Q98-V98),NA())</f>
        <v>#N/A:explicit</v>
      </c>
      <c t="str" s="620" r="AD98">
        <f>IF(ISNUMBER(W98),(Q98-W98),NA())</f>
        <v>#N/A:explicit</v>
      </c>
      <c t="str" s="620" r="AE98">
        <f>IF(ISNUMBER(X98),(Q98-X98),NA())</f>
        <v>#N/A:explicit</v>
      </c>
      <c t="str" s="552" r="AF98">
        <f>IF(ISNUMBER(Z98),Z98,"---")</f>
        <v>---</v>
      </c>
      <c s="142" r="AG98"/>
      <c t="str" s="142" r="AH98">
        <f>IF(ISBLANK(L98),NA(),MIN(AF$44:AF$361))</f>
        <v>#N/A:explicit</v>
      </c>
      <c t="str" s="142" r="AI98">
        <f>IF(ISNA(AA98),Z98,AA98)</f>
        <v>#N/A:explicit</v>
      </c>
      <c s="142" r="AJ98">
        <f>MIN(AF$44:AF$361)</f>
        <v>0</v>
      </c>
      <c s="142" r="AK98"/>
      <c t="str" s="142" r="AL98">
        <f>IF(ISNUMBER(AB98),O98,"---")</f>
        <v>---</v>
      </c>
      <c t="str" s="80" r="AM98">
        <f>IF(ISNUMBER(AB98),AB98,"---")</f>
        <v>---</v>
      </c>
      <c s="80" r="AN98"/>
      <c t="str" s="142" r="AO98">
        <f>IF((M98="r"),Z98,NA())</f>
        <v>#N/A:explicit</v>
      </c>
      <c t="str" s="142" r="AP98">
        <f>IF((M98="p"),Z98,NA())</f>
        <v>#N/A:explicit</v>
      </c>
      <c t="str" s="142" r="AQ98">
        <f>IF((M98="n"),Z98,NA())</f>
        <v>#N/A:explicit</v>
      </c>
      <c t="str" s="142" r="AR98">
        <f>IF((M98="g"),Z98,NA())</f>
        <v>#N/A:explicit</v>
      </c>
      <c s="142" r="AS98"/>
      <c t="str" s="142" r="AT98">
        <f>IF((COUNTA($M98:$M$361)=0),"---",IF(AND(($M98="r"),(COUNTA($M99:$M$361)&gt;0)),(MAX(AT$44:AT97)+1),IF(OR(($M97="p"),($M97="n"),($M97="g")),"---",AT97)))</f>
        <v>---</v>
      </c>
      <c t="str" s="142" r="AU98">
        <f>IF((COUNTA($M98:$M$361)=0),"---",IF(AND(($M98="p"),(COUNTA($M99:$M$361)&gt;0)),(MAX(AU$44:AU97)+1),IF(OR(($M97="r"),($M97="n"),($M97="g")),"---",AU97)))</f>
        <v>---</v>
      </c>
      <c t="str" s="142" r="AV98">
        <f>IF((COUNTA($M98:$M$361)=0),"---",IF(AND(($M98="n"),(COUNTA($M99:$M$361)&gt;0)),(MAX(AV$44:AV97)+1),IF(OR(($M97="r"),($M97="p"),($M97="g")),"---",AV97)))</f>
        <v>---</v>
      </c>
      <c t="str" s="142" r="AW98">
        <f>IF((COUNTA($M98:$M$361)=0),"---",IF(AND(($M98="g"),(COUNTA($M99:$M$361)&gt;0)),(MAX(AW$44:AW97)+1),IF(OR(($M97="r"),($M97="p"),($M97="n")),"---",AW97)))</f>
        <v>---</v>
      </c>
      <c s="676" r="AX98">
        <f>IF((M98="p"),(1+MAX(AX$44:AX97)),0)</f>
        <v>0</v>
      </c>
      <c s="51" r="AY98"/>
      <c s="761" r="AZ98"/>
      <c s="761" r="BA98"/>
      <c s="125" r="BB98"/>
      <c s="125" r="BC98"/>
      <c s="125" r="BD98"/>
      <c s="125" r="BE98"/>
      <c s="125" r="BF98"/>
      <c s="125" r="BG98"/>
      <c s="125" r="BH98"/>
      <c s="125" r="BI98"/>
    </row>
    <row r="99">
      <c s="125" r="A99"/>
      <c s="125" r="B99"/>
      <c s="125" r="C99"/>
      <c s="125" r="D99"/>
      <c s="125" r="E99"/>
      <c s="125" r="F99"/>
      <c s="125" r="G99"/>
      <c s="125" r="H99"/>
      <c s="125" r="I99"/>
      <c s="822" r="J99"/>
      <c s="848" r="K99"/>
      <c s="550" r="L99"/>
      <c s="104" r="M99"/>
      <c s="550" r="N99"/>
      <c t="str" s="589" r="O99">
        <f>IF((AH$28=2),IF(ISBLANK(N99),O98,N99),IF(ISNUMBER(N99),(MAX(O$44:O98)+N99),O98))</f>
        <v/>
      </c>
      <c s="694" r="P99"/>
      <c s="273" r="Q99">
        <f>IF(ISNUMBER(P99),((Q98+P99)-R98),Q98)</f>
        <v>100</v>
      </c>
      <c s="694" r="R99"/>
      <c s="821" r="S99"/>
      <c s="550" r="T99"/>
      <c s="550" r="U99"/>
      <c s="550" r="V99"/>
      <c s="550" r="W99"/>
      <c s="550" r="X99"/>
      <c s="550" r="Y99"/>
      <c t="str" s="470" r="Z99">
        <f>IF(ISNUMBER(S99),(Q99-S99),NA())</f>
        <v>#N/A:explicit</v>
      </c>
      <c t="str" s="470" r="AA99">
        <f>IF(ISNUMBER(T99),IF((AH$22=1),(Z99+T99),(Q99-T99)),NA())</f>
        <v>#N/A:explicit</v>
      </c>
      <c t="str" s="470" r="AB99">
        <f>IF(ISNUMBER(U99),(Q99-U99),NA())</f>
        <v>#N/A:explicit</v>
      </c>
      <c t="str" s="470" r="AC99">
        <f>IF(ISNUMBER(V99),(Q99-V99),NA())</f>
        <v>#N/A:explicit</v>
      </c>
      <c t="str" s="470" r="AD99">
        <f>IF(ISNUMBER(W99),(Q99-W99),NA())</f>
        <v>#N/A:explicit</v>
      </c>
      <c t="str" s="470" r="AE99">
        <f>IF(ISNUMBER(X99),(Q99-X99),NA())</f>
        <v>#N/A:explicit</v>
      </c>
      <c t="str" s="552" r="AF99">
        <f>IF(ISNUMBER(Z99),Z99,"---")</f>
        <v>---</v>
      </c>
      <c s="142" r="AG99"/>
      <c t="str" s="142" r="AH99">
        <f>IF(ISBLANK(L99),NA(),MIN(AF$44:AF$361))</f>
        <v>#N/A:explicit</v>
      </c>
      <c t="str" s="142" r="AI99">
        <f>IF(ISNA(AA99),Z99,AA99)</f>
        <v>#N/A:explicit</v>
      </c>
      <c s="142" r="AJ99">
        <f>MIN(AF$44:AF$361)</f>
        <v>0</v>
      </c>
      <c s="142" r="AK99"/>
      <c t="str" s="142" r="AL99">
        <f>IF(ISNUMBER(AB99),O99,"---")</f>
        <v>---</v>
      </c>
      <c t="str" s="80" r="AM99">
        <f>IF(ISNUMBER(AB99),AB99,"---")</f>
        <v>---</v>
      </c>
      <c s="80" r="AN99"/>
      <c t="str" s="142" r="AO99">
        <f>IF((M99="r"),Z99,NA())</f>
        <v>#N/A:explicit</v>
      </c>
      <c t="str" s="142" r="AP99">
        <f>IF((M99="p"),Z99,NA())</f>
        <v>#N/A:explicit</v>
      </c>
      <c t="str" s="142" r="AQ99">
        <f>IF((M99="n"),Z99,NA())</f>
        <v>#N/A:explicit</v>
      </c>
      <c t="str" s="142" r="AR99">
        <f>IF((M99="g"),Z99,NA())</f>
        <v>#N/A:explicit</v>
      </c>
      <c s="142" r="AS99"/>
      <c t="str" s="142" r="AT99">
        <f>IF((COUNTA($M99:$M$361)=0),"---",IF(AND(($M99="r"),(COUNTA($M100:$M$361)&gt;0)),(MAX(AT$44:AT98)+1),IF(OR(($M98="p"),($M98="n"),($M98="g")),"---",AT98)))</f>
        <v>---</v>
      </c>
      <c t="str" s="142" r="AU99">
        <f>IF((COUNTA($M99:$M$361)=0),"---",IF(AND(($M99="p"),(COUNTA($M100:$M$361)&gt;0)),(MAX(AU$44:AU98)+1),IF(OR(($M98="r"),($M98="n"),($M98="g")),"---",AU98)))</f>
        <v>---</v>
      </c>
      <c t="str" s="142" r="AV99">
        <f>IF((COUNTA($M99:$M$361)=0),"---",IF(AND(($M99="n"),(COUNTA($M100:$M$361)&gt;0)),(MAX(AV$44:AV98)+1),IF(OR(($M98="r"),($M98="p"),($M98="g")),"---",AV98)))</f>
        <v>---</v>
      </c>
      <c t="str" s="142" r="AW99">
        <f>IF((COUNTA($M99:$M$361)=0),"---",IF(AND(($M99="g"),(COUNTA($M100:$M$361)&gt;0)),(MAX(AW$44:AW98)+1),IF(OR(($M98="r"),($M98="p"),($M98="n")),"---",AW98)))</f>
        <v>---</v>
      </c>
      <c s="676" r="AX99">
        <f>IF((M99="p"),(1+MAX(AX$44:AX98)),0)</f>
        <v>0</v>
      </c>
      <c s="51" r="AY99"/>
      <c s="761" r="AZ99"/>
      <c s="761" r="BA99"/>
      <c s="125" r="BB99"/>
      <c s="125" r="BC99"/>
      <c s="125" r="BD99"/>
      <c s="125" r="BE99"/>
      <c s="125" r="BF99"/>
      <c s="125" r="BG99"/>
      <c s="125" r="BH99"/>
      <c s="125" r="BI99"/>
    </row>
    <row r="100">
      <c s="125" r="A100"/>
      <c s="125" r="B100"/>
      <c s="125" r="C100"/>
      <c s="125" r="D100"/>
      <c s="125" r="E100"/>
      <c s="125" r="F100"/>
      <c s="125" r="G100"/>
      <c s="125" r="H100"/>
      <c s="125" r="I100"/>
      <c s="822" r="J100"/>
      <c s="848" r="K100"/>
      <c s="550" r="L100"/>
      <c s="104" r="M100"/>
      <c s="550" r="N100"/>
      <c t="str" s="589" r="O100">
        <f>IF((AH$28=2),IF(ISBLANK(N100),O99,N100),IF(ISNUMBER(N100),(MAX(O$44:O99)+N100),O99))</f>
        <v/>
      </c>
      <c s="694" r="P100"/>
      <c s="273" r="Q100">
        <f>IF(ISNUMBER(P100),((Q99+P100)-R99),Q99)</f>
        <v>100</v>
      </c>
      <c s="694" r="R100"/>
      <c s="821" r="S100"/>
      <c s="550" r="T100"/>
      <c s="550" r="U100"/>
      <c s="550" r="V100"/>
      <c s="550" r="W100"/>
      <c s="550" r="X100"/>
      <c s="550" r="Y100"/>
      <c t="str" s="470" r="Z100">
        <f>IF(ISNUMBER(S100),(Q100-S100),NA())</f>
        <v>#N/A:explicit</v>
      </c>
      <c t="str" s="470" r="AA100">
        <f>IF(ISNUMBER(T100),IF((AH$22=1),(Z100+T100),(Q100-T100)),NA())</f>
        <v>#N/A:explicit</v>
      </c>
      <c t="str" s="470" r="AB100">
        <f>IF(ISNUMBER(U100),(Q100-U100),NA())</f>
        <v>#N/A:explicit</v>
      </c>
      <c t="str" s="470" r="AC100">
        <f>IF(ISNUMBER(V100),(Q100-V100),NA())</f>
        <v>#N/A:explicit</v>
      </c>
      <c t="str" s="470" r="AD100">
        <f>IF(ISNUMBER(W100),(Q100-W100),NA())</f>
        <v>#N/A:explicit</v>
      </c>
      <c t="str" s="470" r="AE100">
        <f>IF(ISNUMBER(X100),(Q100-X100),NA())</f>
        <v>#N/A:explicit</v>
      </c>
      <c t="str" s="552" r="AF100">
        <f>IF(ISNUMBER(Z100),Z100,"---")</f>
        <v>---</v>
      </c>
      <c s="142" r="AG100"/>
      <c t="str" s="142" r="AH100">
        <f>IF(ISBLANK(L100),NA(),MIN(AF$44:AF$361))</f>
        <v>#N/A:explicit</v>
      </c>
      <c t="str" s="142" r="AI100">
        <f>IF(ISNA(AA100),Z100,AA100)</f>
        <v>#N/A:explicit</v>
      </c>
      <c s="142" r="AJ100">
        <f>MIN(AF$44:AF$361)</f>
        <v>0</v>
      </c>
      <c s="142" r="AK100"/>
      <c t="str" s="142" r="AL100">
        <f>IF(ISNUMBER(AB100),O100,"---")</f>
        <v>---</v>
      </c>
      <c t="str" s="80" r="AM100">
        <f>IF(ISNUMBER(AB100),AB100,"---")</f>
        <v>---</v>
      </c>
      <c s="80" r="AN100"/>
      <c t="str" s="142" r="AO100">
        <f>IF((M100="r"),Z100,NA())</f>
        <v>#N/A:explicit</v>
      </c>
      <c t="str" s="142" r="AP100">
        <f>IF((M100="p"),Z100,NA())</f>
        <v>#N/A:explicit</v>
      </c>
      <c t="str" s="142" r="AQ100">
        <f>IF((M100="n"),Z100,NA())</f>
        <v>#N/A:explicit</v>
      </c>
      <c t="str" s="142" r="AR100">
        <f>IF((M100="g"),Z100,NA())</f>
        <v>#N/A:explicit</v>
      </c>
      <c s="142" r="AS100"/>
      <c t="str" s="142" r="AT100">
        <f>IF((COUNTA($M100:$M$361)=0),"---",IF(AND(($M100="r"),(COUNTA($M101:$M$361)&gt;0)),(MAX(AT$44:AT99)+1),IF(OR(($M99="p"),($M99="n"),($M99="g")),"---",AT99)))</f>
        <v>---</v>
      </c>
      <c t="str" s="142" r="AU100">
        <f>IF((COUNTA($M100:$M$361)=0),"---",IF(AND(($M100="p"),(COUNTA($M101:$M$361)&gt;0)),(MAX(AU$44:AU99)+1),IF(OR(($M99="r"),($M99="n"),($M99="g")),"---",AU99)))</f>
        <v>---</v>
      </c>
      <c t="str" s="142" r="AV100">
        <f>IF((COUNTA($M100:$M$361)=0),"---",IF(AND(($M100="n"),(COUNTA($M101:$M$361)&gt;0)),(MAX(AV$44:AV99)+1),IF(OR(($M99="r"),($M99="p"),($M99="g")),"---",AV99)))</f>
        <v>---</v>
      </c>
      <c t="str" s="142" r="AW100">
        <f>IF((COUNTA($M100:$M$361)=0),"---",IF(AND(($M100="g"),(COUNTA($M101:$M$361)&gt;0)),(MAX(AW$44:AW99)+1),IF(OR(($M99="r"),($M99="p"),($M99="n")),"---",AW99)))</f>
        <v>---</v>
      </c>
      <c s="676" r="AX100">
        <f>IF((M100="p"),(1+MAX(AX$44:AX99)),0)</f>
        <v>0</v>
      </c>
      <c s="51" r="AY100"/>
      <c s="761" r="AZ100"/>
      <c s="761" r="BA100"/>
      <c s="125" r="BB100"/>
      <c s="125" r="BC100"/>
      <c s="125" r="BD100"/>
      <c s="125" r="BE100"/>
      <c s="125" r="BF100"/>
      <c s="125" r="BG100"/>
      <c s="125" r="BH100"/>
      <c s="125" r="BI100"/>
    </row>
    <row r="101">
      <c s="125" r="A101"/>
      <c s="125" r="B101"/>
      <c s="125" r="C101"/>
      <c s="125" r="D101"/>
      <c s="125" r="E101"/>
      <c s="125" r="F101"/>
      <c s="125" r="G101"/>
      <c s="125" r="H101"/>
      <c s="125" r="I101"/>
      <c s="822" r="J101"/>
      <c s="848" r="K101"/>
      <c s="550" r="L101"/>
      <c s="104" r="M101"/>
      <c s="550" r="N101"/>
      <c t="str" s="589" r="O101">
        <f>IF((AH$28=2),IF(ISBLANK(N101),O100,N101),IF(ISNUMBER(N101),(MAX(O$44:O100)+N101),O100))</f>
        <v/>
      </c>
      <c s="694" r="P101"/>
      <c s="273" r="Q101">
        <f>IF(ISNUMBER(P101),((Q100+P101)-R100),Q100)</f>
        <v>100</v>
      </c>
      <c s="694" r="R101"/>
      <c s="821" r="S101"/>
      <c s="550" r="T101"/>
      <c s="550" r="U101"/>
      <c s="550" r="V101"/>
      <c s="550" r="W101"/>
      <c s="550" r="X101"/>
      <c s="550" r="Y101"/>
      <c t="str" s="470" r="Z101">
        <f>IF(ISNUMBER(S101),(Q101-S101),NA())</f>
        <v>#N/A:explicit</v>
      </c>
      <c t="str" s="470" r="AA101">
        <f>IF(ISNUMBER(T101),IF((AH$22=1),(Z101+T101),(Q101-T101)),NA())</f>
        <v>#N/A:explicit</v>
      </c>
      <c t="str" s="470" r="AB101">
        <f>IF(ISNUMBER(U101),(Q101-U101),NA())</f>
        <v>#N/A:explicit</v>
      </c>
      <c t="str" s="470" r="AC101">
        <f>IF(ISNUMBER(V101),(Q101-V101),NA())</f>
        <v>#N/A:explicit</v>
      </c>
      <c t="str" s="470" r="AD101">
        <f>IF(ISNUMBER(W101),(Q101-W101),NA())</f>
        <v>#N/A:explicit</v>
      </c>
      <c t="str" s="470" r="AE101">
        <f>IF(ISNUMBER(X101),(Q101-X101),NA())</f>
        <v>#N/A:explicit</v>
      </c>
      <c t="str" s="552" r="AF101">
        <f>IF(ISNUMBER(Z101),Z101,"---")</f>
        <v>---</v>
      </c>
      <c s="142" r="AG101"/>
      <c t="str" s="142" r="AH101">
        <f>IF(ISBLANK(L101),NA(),MIN(AF$44:AF$361))</f>
        <v>#N/A:explicit</v>
      </c>
      <c t="str" s="142" r="AI101">
        <f>IF(ISNA(AA101),Z101,AA101)</f>
        <v>#N/A:explicit</v>
      </c>
      <c s="142" r="AJ101">
        <f>MIN(AF$44:AF$361)</f>
        <v>0</v>
      </c>
      <c s="142" r="AK101"/>
      <c t="str" s="142" r="AL101">
        <f>IF(ISNUMBER(AB101),O101,"---")</f>
        <v>---</v>
      </c>
      <c t="str" s="80" r="AM101">
        <f>IF(ISNUMBER(AB101),AB101,"---")</f>
        <v>---</v>
      </c>
      <c s="80" r="AN101"/>
      <c t="str" s="142" r="AO101">
        <f>IF((M101="r"),Z101,NA())</f>
        <v>#N/A:explicit</v>
      </c>
      <c t="str" s="142" r="AP101">
        <f>IF((M101="p"),Z101,NA())</f>
        <v>#N/A:explicit</v>
      </c>
      <c t="str" s="142" r="AQ101">
        <f>IF((M101="n"),Z101,NA())</f>
        <v>#N/A:explicit</v>
      </c>
      <c t="str" s="142" r="AR101">
        <f>IF((M101="g"),Z101,NA())</f>
        <v>#N/A:explicit</v>
      </c>
      <c s="142" r="AS101"/>
      <c t="str" s="142" r="AT101">
        <f>IF((COUNTA($M101:$M$361)=0),"---",IF(AND(($M101="r"),(COUNTA($M102:$M$361)&gt;0)),(MAX(AT$44:AT100)+1),IF(OR(($M100="p"),($M100="n"),($M100="g")),"---",AT100)))</f>
        <v>---</v>
      </c>
      <c t="str" s="142" r="AU101">
        <f>IF((COUNTA($M101:$M$361)=0),"---",IF(AND(($M101="p"),(COUNTA($M102:$M$361)&gt;0)),(MAX(AU$44:AU100)+1),IF(OR(($M100="r"),($M100="n"),($M100="g")),"---",AU100)))</f>
        <v>---</v>
      </c>
      <c t="str" s="142" r="AV101">
        <f>IF((COUNTA($M101:$M$361)=0),"---",IF(AND(($M101="n"),(COUNTA($M102:$M$361)&gt;0)),(MAX(AV$44:AV100)+1),IF(OR(($M100="r"),($M100="p"),($M100="g")),"---",AV100)))</f>
        <v>---</v>
      </c>
      <c t="str" s="142" r="AW101">
        <f>IF((COUNTA($M101:$M$361)=0),"---",IF(AND(($M101="g"),(COUNTA($M102:$M$361)&gt;0)),(MAX(AW$44:AW100)+1),IF(OR(($M100="r"),($M100="p"),($M100="n")),"---",AW100)))</f>
        <v>---</v>
      </c>
      <c s="676" r="AX101">
        <f>IF((M101="p"),(1+MAX(AX$44:AX100)),0)</f>
        <v>0</v>
      </c>
      <c s="51" r="AY101"/>
      <c s="761" r="AZ101"/>
      <c s="761" r="BA101"/>
      <c s="125" r="BB101"/>
      <c s="125" r="BC101"/>
      <c s="125" r="BD101"/>
      <c s="125" r="BE101"/>
      <c s="125" r="BF101"/>
      <c s="125" r="BG101"/>
      <c s="125" r="BH101"/>
      <c s="125" r="BI101"/>
    </row>
    <row r="102">
      <c s="125" r="A102"/>
      <c s="125" r="B102"/>
      <c s="125" r="C102"/>
      <c s="125" r="D102"/>
      <c s="125" r="E102"/>
      <c s="125" r="F102"/>
      <c s="125" r="G102"/>
      <c s="125" r="H102"/>
      <c s="125" r="I102"/>
      <c s="822" r="J102"/>
      <c s="429" r="K102"/>
      <c s="458" r="L102"/>
      <c s="104" r="M102"/>
      <c s="458" r="N102"/>
      <c t="str" s="589" r="O102">
        <f>IF((AH$28=2),IF(ISBLANK(N102),O101,N102),IF(ISNUMBER(N102),(MAX(O$44:O101)+N102),O101))</f>
        <v/>
      </c>
      <c s="228" r="P102"/>
      <c s="273" r="Q102">
        <f>IF(ISNUMBER(P102),((Q101+P102)-R101),Q101)</f>
        <v>100</v>
      </c>
      <c s="228" r="R102"/>
      <c s="610" r="S102"/>
      <c s="458" r="T102"/>
      <c s="458" r="U102"/>
      <c s="458" r="V102"/>
      <c s="458" r="W102"/>
      <c s="458" r="X102"/>
      <c s="458" r="Y102"/>
      <c t="str" s="620" r="Z102">
        <f>IF(ISNUMBER(S102),(Q102-S102),NA())</f>
        <v>#N/A:explicit</v>
      </c>
      <c t="str" s="620" r="AA102">
        <f>IF(ISNUMBER(T102),IF((AH$22=1),(Z102+T102),(Q102-T102)),NA())</f>
        <v>#N/A:explicit</v>
      </c>
      <c t="str" s="620" r="AB102">
        <f>IF(ISNUMBER(U102),(Q102-U102),NA())</f>
        <v>#N/A:explicit</v>
      </c>
      <c t="str" s="620" r="AC102">
        <f>IF(ISNUMBER(V102),(Q102-V102),NA())</f>
        <v>#N/A:explicit</v>
      </c>
      <c t="str" s="620" r="AD102">
        <f>IF(ISNUMBER(W102),(Q102-W102),NA())</f>
        <v>#N/A:explicit</v>
      </c>
      <c t="str" s="620" r="AE102">
        <f>IF(ISNUMBER(X102),(Q102-X102),NA())</f>
        <v>#N/A:explicit</v>
      </c>
      <c t="str" s="552" r="AF102">
        <f>IF(ISNUMBER(Z102),Z102,"---")</f>
        <v>---</v>
      </c>
      <c s="142" r="AG102"/>
      <c t="str" s="142" r="AH102">
        <f>IF(ISBLANK(L102),NA(),MIN(AF$44:AF$361))</f>
        <v>#N/A:explicit</v>
      </c>
      <c t="str" s="142" r="AI102">
        <f>IF(ISNA(AA102),Z102,AA102)</f>
        <v>#N/A:explicit</v>
      </c>
      <c s="142" r="AJ102">
        <f>MIN(AF$44:AF$361)</f>
        <v>0</v>
      </c>
      <c s="142" r="AK102"/>
      <c t="str" s="142" r="AL102">
        <f>IF(ISNUMBER(AB102),O102,"---")</f>
        <v>---</v>
      </c>
      <c t="str" s="80" r="AM102">
        <f>IF(ISNUMBER(AB102),AB102,"---")</f>
        <v>---</v>
      </c>
      <c s="80" r="AN102"/>
      <c t="str" s="142" r="AO102">
        <f>IF((M102="r"),Z102,NA())</f>
        <v>#N/A:explicit</v>
      </c>
      <c t="str" s="142" r="AP102">
        <f>IF((M102="p"),Z102,NA())</f>
        <v>#N/A:explicit</v>
      </c>
      <c t="str" s="142" r="AQ102">
        <f>IF((M102="n"),Z102,NA())</f>
        <v>#N/A:explicit</v>
      </c>
      <c t="str" s="142" r="AR102">
        <f>IF((M102="g"),Z102,NA())</f>
        <v>#N/A:explicit</v>
      </c>
      <c s="142" r="AS102"/>
      <c t="str" s="142" r="AT102">
        <f>IF((COUNTA($M102:$M$361)=0),"---",IF(AND(($M102="r"),(COUNTA($M103:$M$361)&gt;0)),(MAX(AT$44:AT101)+1),IF(OR(($M101="p"),($M101="n"),($M101="g")),"---",AT101)))</f>
        <v>---</v>
      </c>
      <c t="str" s="142" r="AU102">
        <f>IF((COUNTA($M102:$M$361)=0),"---",IF(AND(($M102="p"),(COUNTA($M103:$M$361)&gt;0)),(MAX(AU$44:AU101)+1),IF(OR(($M101="r"),($M101="n"),($M101="g")),"---",AU101)))</f>
        <v>---</v>
      </c>
      <c t="str" s="142" r="AV102">
        <f>IF((COUNTA($M102:$M$361)=0),"---",IF(AND(($M102="n"),(COUNTA($M103:$M$361)&gt;0)),(MAX(AV$44:AV101)+1),IF(OR(($M101="r"),($M101="p"),($M101="g")),"---",AV101)))</f>
        <v>---</v>
      </c>
      <c t="str" s="142" r="AW102">
        <f>IF((COUNTA($M102:$M$361)=0),"---",IF(AND(($M102="g"),(COUNTA($M103:$M$361)&gt;0)),(MAX(AW$44:AW101)+1),IF(OR(($M101="r"),($M101="p"),($M101="n")),"---",AW101)))</f>
        <v>---</v>
      </c>
      <c s="676" r="AX102">
        <f>IF((M102="p"),(1+MAX(AX$44:AX101)),0)</f>
        <v>0</v>
      </c>
      <c s="51" r="AY102"/>
      <c s="761" r="AZ102"/>
      <c s="761" r="BA102"/>
      <c s="125" r="BB102"/>
      <c s="125" r="BC102"/>
      <c s="125" r="BD102"/>
      <c s="125" r="BE102"/>
      <c s="125" r="BF102"/>
      <c s="125" r="BG102"/>
      <c s="125" r="BH102"/>
      <c s="125" r="BI102"/>
    </row>
    <row r="103">
      <c s="125" r="A103"/>
      <c s="125" r="B103"/>
      <c s="125" r="C103"/>
      <c s="125" r="D103"/>
      <c s="125" r="E103"/>
      <c s="125" r="F103"/>
      <c s="125" r="G103"/>
      <c s="125" r="H103"/>
      <c s="125" r="I103"/>
      <c s="822" r="J103"/>
      <c s="429" r="K103"/>
      <c s="458" r="L103"/>
      <c s="104" r="M103"/>
      <c s="458" r="N103"/>
      <c t="str" s="589" r="O103">
        <f>IF((AH$28=2),IF(ISBLANK(N103),O102,N103),IF(ISNUMBER(N103),(MAX(O$44:O102)+N103),O102))</f>
        <v/>
      </c>
      <c s="228" r="P103"/>
      <c s="273" r="Q103">
        <f>IF(ISNUMBER(P103),((Q102+P103)-R102),Q102)</f>
        <v>100</v>
      </c>
      <c s="228" r="R103"/>
      <c s="610" r="S103"/>
      <c s="458" r="T103"/>
      <c s="458" r="U103"/>
      <c s="458" r="V103"/>
      <c s="458" r="W103"/>
      <c s="458" r="X103"/>
      <c s="458" r="Y103"/>
      <c t="str" s="620" r="Z103">
        <f>IF(ISNUMBER(S103),(Q103-S103),NA())</f>
        <v>#N/A:explicit</v>
      </c>
      <c t="str" s="620" r="AA103">
        <f>IF(ISNUMBER(T103),IF((AH$22=1),(Z103+T103),(Q103-T103)),NA())</f>
        <v>#N/A:explicit</v>
      </c>
      <c t="str" s="620" r="AB103">
        <f>IF(ISNUMBER(U103),(Q103-U103),NA())</f>
        <v>#N/A:explicit</v>
      </c>
      <c t="str" s="620" r="AC103">
        <f>IF(ISNUMBER(V103),(Q103-V103),NA())</f>
        <v>#N/A:explicit</v>
      </c>
      <c t="str" s="620" r="AD103">
        <f>IF(ISNUMBER(W103),(Q103-W103),NA())</f>
        <v>#N/A:explicit</v>
      </c>
      <c t="str" s="620" r="AE103">
        <f>IF(ISNUMBER(X103),(Q103-X103),NA())</f>
        <v>#N/A:explicit</v>
      </c>
      <c t="str" s="552" r="AF103">
        <f>IF(ISNUMBER(Z103),Z103,"---")</f>
        <v>---</v>
      </c>
      <c s="142" r="AG103"/>
      <c t="str" s="142" r="AH103">
        <f>IF(ISBLANK(L103),NA(),MIN(AF$44:AF$361))</f>
        <v>#N/A:explicit</v>
      </c>
      <c t="str" s="142" r="AI103">
        <f>IF(ISNA(AA103),Z103,AA103)</f>
        <v>#N/A:explicit</v>
      </c>
      <c s="142" r="AJ103">
        <f>MIN(AF$44:AF$361)</f>
        <v>0</v>
      </c>
      <c s="142" r="AK103"/>
      <c t="str" s="142" r="AL103">
        <f>IF(ISNUMBER(AB103),O103,"---")</f>
        <v>---</v>
      </c>
      <c t="str" s="80" r="AM103">
        <f>IF(ISNUMBER(AB103),AB103,"---")</f>
        <v>---</v>
      </c>
      <c s="80" r="AN103"/>
      <c t="str" s="142" r="AO103">
        <f>IF((M103="r"),Z103,NA())</f>
        <v>#N/A:explicit</v>
      </c>
      <c t="str" s="142" r="AP103">
        <f>IF((M103="p"),Z103,NA())</f>
        <v>#N/A:explicit</v>
      </c>
      <c t="str" s="142" r="AQ103">
        <f>IF((M103="n"),Z103,NA())</f>
        <v>#N/A:explicit</v>
      </c>
      <c t="str" s="142" r="AR103">
        <f>IF((M103="g"),Z103,NA())</f>
        <v>#N/A:explicit</v>
      </c>
      <c s="142" r="AS103"/>
      <c t="str" s="142" r="AT103">
        <f>IF((COUNTA($M103:$M$361)=0),"---",IF(AND(($M103="r"),(COUNTA($M104:$M$361)&gt;0)),(MAX(AT$44:AT102)+1),IF(OR(($M102="p"),($M102="n"),($M102="g")),"---",AT102)))</f>
        <v>---</v>
      </c>
      <c t="str" s="142" r="AU103">
        <f>IF((COUNTA($M103:$M$361)=0),"---",IF(AND(($M103="p"),(COUNTA($M104:$M$361)&gt;0)),(MAX(AU$44:AU102)+1),IF(OR(($M102="r"),($M102="n"),($M102="g")),"---",AU102)))</f>
        <v>---</v>
      </c>
      <c t="str" s="142" r="AV103">
        <f>IF((COUNTA($M103:$M$361)=0),"---",IF(AND(($M103="n"),(COUNTA($M104:$M$361)&gt;0)),(MAX(AV$44:AV102)+1),IF(OR(($M102="r"),($M102="p"),($M102="g")),"---",AV102)))</f>
        <v>---</v>
      </c>
      <c t="str" s="142" r="AW103">
        <f>IF((COUNTA($M103:$M$361)=0),"---",IF(AND(($M103="g"),(COUNTA($M104:$M$361)&gt;0)),(MAX(AW$44:AW102)+1),IF(OR(($M102="r"),($M102="p"),($M102="n")),"---",AW102)))</f>
        <v>---</v>
      </c>
      <c s="676" r="AX103">
        <f>IF((M103="p"),(1+MAX(AX$44:AX102)),0)</f>
        <v>0</v>
      </c>
      <c s="51" r="AY103"/>
      <c s="761" r="AZ103"/>
      <c s="761" r="BA103"/>
      <c s="125" r="BB103"/>
      <c s="125" r="BC103"/>
      <c s="125" r="BD103"/>
      <c s="125" r="BE103"/>
      <c s="125" r="BF103"/>
      <c s="125" r="BG103"/>
      <c s="125" r="BH103"/>
      <c s="125" r="BI103"/>
    </row>
    <row r="104">
      <c s="125" r="A104"/>
      <c s="125" r="B104"/>
      <c s="125" r="C104"/>
      <c s="125" r="D104"/>
      <c s="125" r="E104"/>
      <c s="125" r="F104"/>
      <c s="125" r="G104"/>
      <c s="125" r="H104"/>
      <c s="125" r="I104"/>
      <c s="822" r="J104"/>
      <c s="429" r="K104"/>
      <c s="458" r="L104"/>
      <c s="104" r="M104"/>
      <c s="458" r="N104"/>
      <c t="str" s="589" r="O104">
        <f>IF((AH$28=2),IF(ISBLANK(N104),O103,N104),IF(ISNUMBER(N104),(MAX(O$44:O103)+N104),O103))</f>
        <v/>
      </c>
      <c s="228" r="P104"/>
      <c s="273" r="Q104">
        <f>IF(ISNUMBER(P104),((Q103+P104)-R103),Q103)</f>
        <v>100</v>
      </c>
      <c s="228" r="R104"/>
      <c s="610" r="S104"/>
      <c s="458" r="T104"/>
      <c s="458" r="U104"/>
      <c s="458" r="V104"/>
      <c s="458" r="W104"/>
      <c s="458" r="X104"/>
      <c s="458" r="Y104"/>
      <c t="str" s="620" r="Z104">
        <f>IF(ISNUMBER(S104),(Q104-S104),NA())</f>
        <v>#N/A:explicit</v>
      </c>
      <c t="str" s="620" r="AA104">
        <f>IF(ISNUMBER(T104),IF((AH$22=1),(Z104+T104),(Q104-T104)),NA())</f>
        <v>#N/A:explicit</v>
      </c>
      <c t="str" s="620" r="AB104">
        <f>IF(ISNUMBER(U104),(Q104-U104),NA())</f>
        <v>#N/A:explicit</v>
      </c>
      <c t="str" s="620" r="AC104">
        <f>IF(ISNUMBER(V104),(Q104-V104),NA())</f>
        <v>#N/A:explicit</v>
      </c>
      <c t="str" s="620" r="AD104">
        <f>IF(ISNUMBER(W104),(Q104-W104),NA())</f>
        <v>#N/A:explicit</v>
      </c>
      <c t="str" s="620" r="AE104">
        <f>IF(ISNUMBER(X104),(Q104-X104),NA())</f>
        <v>#N/A:explicit</v>
      </c>
      <c t="str" s="552" r="AF104">
        <f>IF(ISNUMBER(Z104),Z104,"---")</f>
        <v>---</v>
      </c>
      <c s="142" r="AG104"/>
      <c t="str" s="142" r="AH104">
        <f>IF(ISBLANK(L104),NA(),MIN(AF$44:AF$361))</f>
        <v>#N/A:explicit</v>
      </c>
      <c t="str" s="142" r="AI104">
        <f>IF(ISNA(AA104),Z104,AA104)</f>
        <v>#N/A:explicit</v>
      </c>
      <c s="142" r="AJ104">
        <f>MIN(AF$44:AF$361)</f>
        <v>0</v>
      </c>
      <c s="142" r="AK104"/>
      <c t="str" s="142" r="AL104">
        <f>IF(ISNUMBER(AB104),O104,"---")</f>
        <v>---</v>
      </c>
      <c t="str" s="80" r="AM104">
        <f>IF(ISNUMBER(AB104),AB104,"---")</f>
        <v>---</v>
      </c>
      <c s="80" r="AN104"/>
      <c t="str" s="142" r="AO104">
        <f>IF((M104="r"),Z104,NA())</f>
        <v>#N/A:explicit</v>
      </c>
      <c t="str" s="142" r="AP104">
        <f>IF((M104="p"),Z104,NA())</f>
        <v>#N/A:explicit</v>
      </c>
      <c t="str" s="142" r="AQ104">
        <f>IF((M104="n"),Z104,NA())</f>
        <v>#N/A:explicit</v>
      </c>
      <c t="str" s="142" r="AR104">
        <f>IF((M104="g"),Z104,NA())</f>
        <v>#N/A:explicit</v>
      </c>
      <c s="142" r="AS104"/>
      <c t="str" s="142" r="AT104">
        <f>IF((COUNTA($M104:$M$361)=0),"---",IF(AND(($M104="r"),(COUNTA($M105:$M$361)&gt;0)),(MAX(AT$44:AT103)+1),IF(OR(($M103="p"),($M103="n"),($M103="g")),"---",AT103)))</f>
        <v>---</v>
      </c>
      <c t="str" s="142" r="AU104">
        <f>IF((COUNTA($M104:$M$361)=0),"---",IF(AND(($M104="p"),(COUNTA($M105:$M$361)&gt;0)),(MAX(AU$44:AU103)+1),IF(OR(($M103="r"),($M103="n"),($M103="g")),"---",AU103)))</f>
        <v>---</v>
      </c>
      <c t="str" s="142" r="AV104">
        <f>IF((COUNTA($M104:$M$361)=0),"---",IF(AND(($M104="n"),(COUNTA($M105:$M$361)&gt;0)),(MAX(AV$44:AV103)+1),IF(OR(($M103="r"),($M103="p"),($M103="g")),"---",AV103)))</f>
        <v>---</v>
      </c>
      <c t="str" s="142" r="AW104">
        <f>IF((COUNTA($M104:$M$361)=0),"---",IF(AND(($M104="g"),(COUNTA($M105:$M$361)&gt;0)),(MAX(AW$44:AW103)+1),IF(OR(($M103="r"),($M103="p"),($M103="n")),"---",AW103)))</f>
        <v>---</v>
      </c>
      <c s="676" r="AX104">
        <f>IF((M104="p"),(1+MAX(AX$44:AX103)),0)</f>
        <v>0</v>
      </c>
      <c s="51" r="AY104"/>
      <c s="761" r="AZ104"/>
      <c s="761" r="BA104"/>
      <c s="125" r="BB104"/>
      <c s="125" r="BC104"/>
      <c s="125" r="BD104"/>
      <c s="125" r="BE104"/>
      <c s="125" r="BF104"/>
      <c s="125" r="BG104"/>
      <c s="125" r="BH104"/>
      <c s="125" r="BI104"/>
    </row>
    <row r="105">
      <c s="125" r="A105"/>
      <c s="125" r="B105"/>
      <c s="125" r="C105"/>
      <c s="125" r="D105"/>
      <c s="125" r="E105"/>
      <c s="125" r="F105"/>
      <c s="125" r="G105"/>
      <c s="125" r="H105"/>
      <c s="125" r="I105"/>
      <c s="822" r="J105"/>
      <c s="848" r="K105"/>
      <c s="550" r="L105"/>
      <c s="104" r="M105"/>
      <c s="550" r="N105"/>
      <c t="str" s="589" r="O105">
        <f>IF((AH$28=2),IF(ISBLANK(N105),O104,N105),IF(ISNUMBER(N105),(MAX(O$44:O104)+N105),O104))</f>
        <v/>
      </c>
      <c s="694" r="P105"/>
      <c s="273" r="Q105">
        <f>IF(ISNUMBER(P105),((Q104+P105)-R104),Q104)</f>
        <v>100</v>
      </c>
      <c s="694" r="R105"/>
      <c s="821" r="S105"/>
      <c s="550" r="T105"/>
      <c s="550" r="U105"/>
      <c s="550" r="V105"/>
      <c s="550" r="W105"/>
      <c s="550" r="X105"/>
      <c s="550" r="Y105"/>
      <c t="str" s="470" r="Z105">
        <f>IF(ISNUMBER(S105),(Q105-S105),NA())</f>
        <v>#N/A:explicit</v>
      </c>
      <c t="str" s="470" r="AA105">
        <f>IF(ISNUMBER(T105),IF((AH$22=1),(Z105+T105),(Q105-T105)),NA())</f>
        <v>#N/A:explicit</v>
      </c>
      <c t="str" s="470" r="AB105">
        <f>IF(ISNUMBER(U105),(Q105-U105),NA())</f>
        <v>#N/A:explicit</v>
      </c>
      <c t="str" s="470" r="AC105">
        <f>IF(ISNUMBER(V105),(Q105-V105),NA())</f>
        <v>#N/A:explicit</v>
      </c>
      <c t="str" s="470" r="AD105">
        <f>IF(ISNUMBER(W105),(Q105-W105),NA())</f>
        <v>#N/A:explicit</v>
      </c>
      <c t="str" s="470" r="AE105">
        <f>IF(ISNUMBER(X105),(Q105-X105),NA())</f>
        <v>#N/A:explicit</v>
      </c>
      <c t="str" s="552" r="AF105">
        <f>IF(ISNUMBER(Z105),Z105,"---")</f>
        <v>---</v>
      </c>
      <c s="142" r="AG105"/>
      <c t="str" s="142" r="AH105">
        <f>IF(ISBLANK(L105),NA(),MIN(AF$44:AF$361))</f>
        <v>#N/A:explicit</v>
      </c>
      <c t="str" s="142" r="AI105">
        <f>IF(ISNA(AA105),Z105,AA105)</f>
        <v>#N/A:explicit</v>
      </c>
      <c s="142" r="AJ105">
        <f>MIN(AF$44:AF$361)</f>
        <v>0</v>
      </c>
      <c s="142" r="AK105"/>
      <c t="str" s="142" r="AL105">
        <f>IF(ISNUMBER(AB105),O105,"---")</f>
        <v>---</v>
      </c>
      <c t="str" s="80" r="AM105">
        <f>IF(ISNUMBER(AB105),AB105,"---")</f>
        <v>---</v>
      </c>
      <c s="80" r="AN105"/>
      <c t="str" s="142" r="AO105">
        <f>IF((M105="r"),Z105,NA())</f>
        <v>#N/A:explicit</v>
      </c>
      <c t="str" s="142" r="AP105">
        <f>IF((M105="p"),Z105,NA())</f>
        <v>#N/A:explicit</v>
      </c>
      <c t="str" s="142" r="AQ105">
        <f>IF((M105="n"),Z105,NA())</f>
        <v>#N/A:explicit</v>
      </c>
      <c t="str" s="142" r="AR105">
        <f>IF((M105="g"),Z105,NA())</f>
        <v>#N/A:explicit</v>
      </c>
      <c s="142" r="AS105"/>
      <c t="str" s="142" r="AT105">
        <f>IF((COUNTA($M105:$M$361)=0),"---",IF(AND(($M105="r"),(COUNTA($M106:$M$361)&gt;0)),(MAX(AT$44:AT104)+1),IF(OR(($M104="p"),($M104="n"),($M104="g")),"---",AT104)))</f>
        <v>---</v>
      </c>
      <c t="str" s="142" r="AU105">
        <f>IF((COUNTA($M105:$M$361)=0),"---",IF(AND(($M105="p"),(COUNTA($M106:$M$361)&gt;0)),(MAX(AU$44:AU104)+1),IF(OR(($M104="r"),($M104="n"),($M104="g")),"---",AU104)))</f>
        <v>---</v>
      </c>
      <c t="str" s="142" r="AV105">
        <f>IF((COUNTA($M105:$M$361)=0),"---",IF(AND(($M105="n"),(COUNTA($M106:$M$361)&gt;0)),(MAX(AV$44:AV104)+1),IF(OR(($M104="r"),($M104="p"),($M104="g")),"---",AV104)))</f>
        <v>---</v>
      </c>
      <c t="str" s="142" r="AW105">
        <f>IF((COUNTA($M105:$M$361)=0),"---",IF(AND(($M105="g"),(COUNTA($M106:$M$361)&gt;0)),(MAX(AW$44:AW104)+1),IF(OR(($M104="r"),($M104="p"),($M104="n")),"---",AW104)))</f>
        <v>---</v>
      </c>
      <c s="676" r="AX105">
        <f>IF((M105="p"),(1+MAX(AX$44:AX104)),0)</f>
        <v>0</v>
      </c>
      <c s="51" r="AY105"/>
      <c s="761" r="AZ105"/>
      <c s="761" r="BA105"/>
      <c s="125" r="BB105"/>
      <c s="125" r="BC105"/>
      <c s="125" r="BD105"/>
      <c s="125" r="BE105"/>
      <c s="125" r="BF105"/>
      <c s="125" r="BG105"/>
      <c s="125" r="BH105"/>
      <c s="125" r="BI105"/>
    </row>
    <row r="106">
      <c s="125" r="A106"/>
      <c s="125" r="B106"/>
      <c s="125" r="C106"/>
      <c s="125" r="D106"/>
      <c s="125" r="E106"/>
      <c s="125" r="F106"/>
      <c s="125" r="G106"/>
      <c s="125" r="H106"/>
      <c s="125" r="I106"/>
      <c s="822" r="J106"/>
      <c s="848" r="K106"/>
      <c s="550" r="L106"/>
      <c s="104" r="M106"/>
      <c s="550" r="N106"/>
      <c t="str" s="589" r="O106">
        <f>IF((AH$28=2),IF(ISBLANK(N106),O105,N106),IF(ISNUMBER(N106),(MAX(O$44:O105)+N106),O105))</f>
        <v/>
      </c>
      <c s="694" r="P106"/>
      <c s="273" r="Q106">
        <f>IF(ISNUMBER(P106),((Q105+P106)-R105),Q105)</f>
        <v>100</v>
      </c>
      <c s="694" r="R106"/>
      <c s="821" r="S106"/>
      <c s="550" r="T106"/>
      <c s="550" r="U106"/>
      <c s="550" r="V106"/>
      <c s="550" r="W106"/>
      <c s="550" r="X106"/>
      <c s="550" r="Y106"/>
      <c t="str" s="470" r="Z106">
        <f>IF(ISNUMBER(S106),(Q106-S106),NA())</f>
        <v>#N/A:explicit</v>
      </c>
      <c t="str" s="470" r="AA106">
        <f>IF(ISNUMBER(T106),IF((AH$22=1),(Z106+T106),(Q106-T106)),NA())</f>
        <v>#N/A:explicit</v>
      </c>
      <c t="str" s="470" r="AB106">
        <f>IF(ISNUMBER(U106),(Q106-U106),NA())</f>
        <v>#N/A:explicit</v>
      </c>
      <c t="str" s="470" r="AC106">
        <f>IF(ISNUMBER(V106),(Q106-V106),NA())</f>
        <v>#N/A:explicit</v>
      </c>
      <c t="str" s="470" r="AD106">
        <f>IF(ISNUMBER(W106),(Q106-W106),NA())</f>
        <v>#N/A:explicit</v>
      </c>
      <c t="str" s="470" r="AE106">
        <f>IF(ISNUMBER(X106),(Q106-X106),NA())</f>
        <v>#N/A:explicit</v>
      </c>
      <c t="str" s="552" r="AF106">
        <f>IF(ISNUMBER(Z106),Z106,"---")</f>
        <v>---</v>
      </c>
      <c s="142" r="AG106"/>
      <c t="str" s="142" r="AH106">
        <f>IF(ISBLANK(L106),NA(),MIN(AF$44:AF$361))</f>
        <v>#N/A:explicit</v>
      </c>
      <c t="str" s="142" r="AI106">
        <f>IF(ISNA(AA106),Z106,AA106)</f>
        <v>#N/A:explicit</v>
      </c>
      <c s="142" r="AJ106">
        <f>MIN(AF$44:AF$361)</f>
        <v>0</v>
      </c>
      <c s="142" r="AK106"/>
      <c t="str" s="142" r="AL106">
        <f>IF(ISNUMBER(AB106),O106,"---")</f>
        <v>---</v>
      </c>
      <c t="str" s="80" r="AM106">
        <f>IF(ISNUMBER(AB106),AB106,"---")</f>
        <v>---</v>
      </c>
      <c s="80" r="AN106"/>
      <c t="str" s="142" r="AO106">
        <f>IF((M106="r"),Z106,NA())</f>
        <v>#N/A:explicit</v>
      </c>
      <c t="str" s="142" r="AP106">
        <f>IF((M106="p"),Z106,NA())</f>
        <v>#N/A:explicit</v>
      </c>
      <c t="str" s="142" r="AQ106">
        <f>IF((M106="n"),Z106,NA())</f>
        <v>#N/A:explicit</v>
      </c>
      <c t="str" s="142" r="AR106">
        <f>IF((M106="g"),Z106,NA())</f>
        <v>#N/A:explicit</v>
      </c>
      <c s="142" r="AS106"/>
      <c t="str" s="142" r="AT106">
        <f>IF((COUNTA($M106:$M$361)=0),"---",IF(AND(($M106="r"),(COUNTA($M107:$M$361)&gt;0)),(MAX(AT$44:AT105)+1),IF(OR(($M105="p"),($M105="n"),($M105="g")),"---",AT105)))</f>
        <v>---</v>
      </c>
      <c t="str" s="142" r="AU106">
        <f>IF((COUNTA($M106:$M$361)=0),"---",IF(AND(($M106="p"),(COUNTA($M107:$M$361)&gt;0)),(MAX(AU$44:AU105)+1),IF(OR(($M105="r"),($M105="n"),($M105="g")),"---",AU105)))</f>
        <v>---</v>
      </c>
      <c t="str" s="142" r="AV106">
        <f>IF((COUNTA($M106:$M$361)=0),"---",IF(AND(($M106="n"),(COUNTA($M107:$M$361)&gt;0)),(MAX(AV$44:AV105)+1),IF(OR(($M105="r"),($M105="p"),($M105="g")),"---",AV105)))</f>
        <v>---</v>
      </c>
      <c t="str" s="142" r="AW106">
        <f>IF((COUNTA($M106:$M$361)=0),"---",IF(AND(($M106="g"),(COUNTA($M107:$M$361)&gt;0)),(MAX(AW$44:AW105)+1),IF(OR(($M105="r"),($M105="p"),($M105="n")),"---",AW105)))</f>
        <v>---</v>
      </c>
      <c s="676" r="AX106">
        <f>IF((M106="p"),(1+MAX(AX$44:AX105)),0)</f>
        <v>0</v>
      </c>
      <c s="51" r="AY106"/>
      <c s="761" r="AZ106"/>
      <c s="761" r="BA106"/>
      <c s="125" r="BB106"/>
      <c s="125" r="BC106"/>
      <c s="125" r="BD106"/>
      <c s="125" r="BE106"/>
      <c s="125" r="BF106"/>
      <c s="125" r="BG106"/>
      <c s="125" r="BH106"/>
      <c s="125" r="BI106"/>
    </row>
    <row r="107">
      <c s="125" r="A107"/>
      <c s="125" r="B107"/>
      <c s="125" r="C107"/>
      <c s="125" r="D107"/>
      <c s="125" r="E107"/>
      <c s="125" r="F107"/>
      <c s="125" r="G107"/>
      <c s="125" r="H107"/>
      <c s="125" r="I107"/>
      <c s="822" r="J107"/>
      <c s="848" r="K107"/>
      <c s="550" r="L107"/>
      <c s="104" r="M107"/>
      <c s="550" r="N107"/>
      <c t="str" s="589" r="O107">
        <f>IF((AH$28=2),IF(ISBLANK(N107),O106,N107),IF(ISNUMBER(N107),(MAX(O$44:O106)+N107),O106))</f>
        <v/>
      </c>
      <c s="694" r="P107"/>
      <c s="273" r="Q107">
        <f>IF(ISNUMBER(P107),((Q106+P107)-R106),Q106)</f>
        <v>100</v>
      </c>
      <c s="694" r="R107"/>
      <c s="821" r="S107"/>
      <c s="550" r="T107"/>
      <c s="550" r="U107"/>
      <c s="550" r="V107"/>
      <c s="550" r="W107"/>
      <c s="550" r="X107"/>
      <c s="550" r="Y107"/>
      <c t="str" s="470" r="Z107">
        <f>IF(ISNUMBER(S107),(Q107-S107),NA())</f>
        <v>#N/A:explicit</v>
      </c>
      <c t="str" s="470" r="AA107">
        <f>IF(ISNUMBER(T107),IF((AH$22=1),(Z107+T107),(Q107-T107)),NA())</f>
        <v>#N/A:explicit</v>
      </c>
      <c t="str" s="470" r="AB107">
        <f>IF(ISNUMBER(U107),(Q107-U107),NA())</f>
        <v>#N/A:explicit</v>
      </c>
      <c t="str" s="470" r="AC107">
        <f>IF(ISNUMBER(V107),(Q107-V107),NA())</f>
        <v>#N/A:explicit</v>
      </c>
      <c t="str" s="470" r="AD107">
        <f>IF(ISNUMBER(W107),(Q107-W107),NA())</f>
        <v>#N/A:explicit</v>
      </c>
      <c t="str" s="470" r="AE107">
        <f>IF(ISNUMBER(X107),(Q107-X107),NA())</f>
        <v>#N/A:explicit</v>
      </c>
      <c t="str" s="552" r="AF107">
        <f>IF(ISNUMBER(Z107),Z107,"---")</f>
        <v>---</v>
      </c>
      <c s="142" r="AG107"/>
      <c t="str" s="142" r="AH107">
        <f>IF(ISBLANK(L107),NA(),MIN(AF$44:AF$361))</f>
        <v>#N/A:explicit</v>
      </c>
      <c t="str" s="142" r="AI107">
        <f>IF(ISNA(AA107),Z107,AA107)</f>
        <v>#N/A:explicit</v>
      </c>
      <c s="142" r="AJ107">
        <f>MIN(AF$44:AF$361)</f>
        <v>0</v>
      </c>
      <c s="142" r="AK107"/>
      <c t="str" s="142" r="AL107">
        <f>IF(ISNUMBER(AB107),O107,"---")</f>
        <v>---</v>
      </c>
      <c t="str" s="80" r="AM107">
        <f>IF(ISNUMBER(AB107),AB107,"---")</f>
        <v>---</v>
      </c>
      <c s="80" r="AN107"/>
      <c t="str" s="142" r="AO107">
        <f>IF((M107="r"),Z107,NA())</f>
        <v>#N/A:explicit</v>
      </c>
      <c t="str" s="142" r="AP107">
        <f>IF((M107="p"),Z107,NA())</f>
        <v>#N/A:explicit</v>
      </c>
      <c t="str" s="142" r="AQ107">
        <f>IF((M107="n"),Z107,NA())</f>
        <v>#N/A:explicit</v>
      </c>
      <c t="str" s="142" r="AR107">
        <f>IF((M107="g"),Z107,NA())</f>
        <v>#N/A:explicit</v>
      </c>
      <c s="142" r="AS107"/>
      <c t="str" s="142" r="AT107">
        <f>IF((COUNTA($M107:$M$361)=0),"---",IF(AND(($M107="r"),(COUNTA($M108:$M$361)&gt;0)),(MAX(AT$44:AT106)+1),IF(OR(($M106="p"),($M106="n"),($M106="g")),"---",AT106)))</f>
        <v>---</v>
      </c>
      <c t="str" s="142" r="AU107">
        <f>IF((COUNTA($M107:$M$361)=0),"---",IF(AND(($M107="p"),(COUNTA($M108:$M$361)&gt;0)),(MAX(AU$44:AU106)+1),IF(OR(($M106="r"),($M106="n"),($M106="g")),"---",AU106)))</f>
        <v>---</v>
      </c>
      <c t="str" s="142" r="AV107">
        <f>IF((COUNTA($M107:$M$361)=0),"---",IF(AND(($M107="n"),(COUNTA($M108:$M$361)&gt;0)),(MAX(AV$44:AV106)+1),IF(OR(($M106="r"),($M106="p"),($M106="g")),"---",AV106)))</f>
        <v>---</v>
      </c>
      <c t="str" s="142" r="AW107">
        <f>IF((COUNTA($M107:$M$361)=0),"---",IF(AND(($M107="g"),(COUNTA($M108:$M$361)&gt;0)),(MAX(AW$44:AW106)+1),IF(OR(($M106="r"),($M106="p"),($M106="n")),"---",AW106)))</f>
        <v>---</v>
      </c>
      <c s="676" r="AX107">
        <f>IF((M107="p"),(1+MAX(AX$44:AX106)),0)</f>
        <v>0</v>
      </c>
      <c s="51" r="AY107"/>
      <c s="761" r="AZ107"/>
      <c s="761" r="BA107"/>
      <c s="125" r="BB107"/>
      <c s="125" r="BC107"/>
      <c s="125" r="BD107"/>
      <c s="125" r="BE107"/>
      <c s="125" r="BF107"/>
      <c s="125" r="BG107"/>
      <c s="125" r="BH107"/>
      <c s="125" r="BI107"/>
    </row>
    <row r="108">
      <c s="125" r="A108"/>
      <c s="125" r="B108"/>
      <c s="125" r="C108"/>
      <c s="125" r="D108"/>
      <c s="125" r="E108"/>
      <c s="125" r="F108"/>
      <c s="125" r="G108"/>
      <c s="125" r="H108"/>
      <c s="125" r="I108"/>
      <c s="822" r="J108"/>
      <c s="429" r="K108"/>
      <c s="458" r="L108"/>
      <c s="104" r="M108"/>
      <c s="458" r="N108"/>
      <c t="str" s="589" r="O108">
        <f>IF((AH$28=2),IF(ISBLANK(N108),O107,N108),IF(ISNUMBER(N108),(MAX(O$44:O107)+N108),O107))</f>
        <v/>
      </c>
      <c s="228" r="P108"/>
      <c s="273" r="Q108">
        <f>IF(ISNUMBER(P108),((Q107+P108)-R107),Q107)</f>
        <v>100</v>
      </c>
      <c s="228" r="R108"/>
      <c s="610" r="S108"/>
      <c s="458" r="T108"/>
      <c s="458" r="U108"/>
      <c s="458" r="V108"/>
      <c s="458" r="W108"/>
      <c s="458" r="X108"/>
      <c s="458" r="Y108"/>
      <c t="str" s="620" r="Z108">
        <f>IF(ISNUMBER(S108),(Q108-S108),NA())</f>
        <v>#N/A:explicit</v>
      </c>
      <c t="str" s="620" r="AA108">
        <f>IF(ISNUMBER(T108),IF((AH$22=1),(Z108+T108),(Q108-T108)),NA())</f>
        <v>#N/A:explicit</v>
      </c>
      <c t="str" s="620" r="AB108">
        <f>IF(ISNUMBER(U108),(Q108-U108),NA())</f>
        <v>#N/A:explicit</v>
      </c>
      <c t="str" s="620" r="AC108">
        <f>IF(ISNUMBER(V108),(Q108-V108),NA())</f>
        <v>#N/A:explicit</v>
      </c>
      <c t="str" s="620" r="AD108">
        <f>IF(ISNUMBER(W108),(Q108-W108),NA())</f>
        <v>#N/A:explicit</v>
      </c>
      <c t="str" s="620" r="AE108">
        <f>IF(ISNUMBER(X108),(Q108-X108),NA())</f>
        <v>#N/A:explicit</v>
      </c>
      <c t="str" s="552" r="AF108">
        <f>IF(ISNUMBER(Z108),Z108,"---")</f>
        <v>---</v>
      </c>
      <c s="142" r="AG108"/>
      <c t="str" s="142" r="AH108">
        <f>IF(ISBLANK(L108),NA(),MIN(AF$44:AF$361))</f>
        <v>#N/A:explicit</v>
      </c>
      <c t="str" s="142" r="AI108">
        <f>IF(ISNA(AA108),Z108,AA108)</f>
        <v>#N/A:explicit</v>
      </c>
      <c s="142" r="AJ108">
        <f>MIN(AF$44:AF$361)</f>
        <v>0</v>
      </c>
      <c s="142" r="AK108"/>
      <c t="str" s="142" r="AL108">
        <f>IF(ISNUMBER(AB108),O108,"---")</f>
        <v>---</v>
      </c>
      <c t="str" s="80" r="AM108">
        <f>IF(ISNUMBER(AB108),AB108,"---")</f>
        <v>---</v>
      </c>
      <c s="80" r="AN108"/>
      <c t="str" s="142" r="AO108">
        <f>IF((M108="r"),Z108,NA())</f>
        <v>#N/A:explicit</v>
      </c>
      <c t="str" s="142" r="AP108">
        <f>IF((M108="p"),Z108,NA())</f>
        <v>#N/A:explicit</v>
      </c>
      <c t="str" s="142" r="AQ108">
        <f>IF((M108="n"),Z108,NA())</f>
        <v>#N/A:explicit</v>
      </c>
      <c t="str" s="142" r="AR108">
        <f>IF((M108="g"),Z108,NA())</f>
        <v>#N/A:explicit</v>
      </c>
      <c s="142" r="AS108"/>
      <c t="str" s="142" r="AT108">
        <f>IF((COUNTA($M108:$M$361)=0),"---",IF(AND(($M108="r"),(COUNTA($M109:$M$361)&gt;0)),(MAX(AT$44:AT107)+1),IF(OR(($M107="p"),($M107="n"),($M107="g")),"---",AT107)))</f>
        <v>---</v>
      </c>
      <c t="str" s="142" r="AU108">
        <f>IF((COUNTA($M108:$M$361)=0),"---",IF(AND(($M108="p"),(COUNTA($M109:$M$361)&gt;0)),(MAX(AU$44:AU107)+1),IF(OR(($M107="r"),($M107="n"),($M107="g")),"---",AU107)))</f>
        <v>---</v>
      </c>
      <c t="str" s="142" r="AV108">
        <f>IF((COUNTA($M108:$M$361)=0),"---",IF(AND(($M108="n"),(COUNTA($M109:$M$361)&gt;0)),(MAX(AV$44:AV107)+1),IF(OR(($M107="r"),($M107="p"),($M107="g")),"---",AV107)))</f>
        <v>---</v>
      </c>
      <c t="str" s="142" r="AW108">
        <f>IF((COUNTA($M108:$M$361)=0),"---",IF(AND(($M108="g"),(COUNTA($M109:$M$361)&gt;0)),(MAX(AW$44:AW107)+1),IF(OR(($M107="r"),($M107="p"),($M107="n")),"---",AW107)))</f>
        <v>---</v>
      </c>
      <c s="676" r="AX108">
        <f>IF((M108="p"),(1+MAX(AX$44:AX107)),0)</f>
        <v>0</v>
      </c>
      <c s="51" r="AY108"/>
      <c s="761" r="AZ108"/>
      <c s="761" r="BA108"/>
      <c s="125" r="BB108"/>
      <c s="125" r="BC108"/>
      <c s="125" r="BD108"/>
      <c s="125" r="BE108"/>
      <c s="125" r="BF108"/>
      <c s="125" r="BG108"/>
      <c s="125" r="BH108"/>
      <c s="125" r="BI108"/>
    </row>
    <row r="109">
      <c s="125" r="A109"/>
      <c s="125" r="B109"/>
      <c s="125" r="C109"/>
      <c s="125" r="D109"/>
      <c s="125" r="E109"/>
      <c s="125" r="F109"/>
      <c s="125" r="G109"/>
      <c s="125" r="H109"/>
      <c s="125" r="I109"/>
      <c s="822" r="J109"/>
      <c s="429" r="K109"/>
      <c s="458" r="L109"/>
      <c s="104" r="M109"/>
      <c s="458" r="N109"/>
      <c t="str" s="589" r="O109">
        <f>IF((AH$28=2),IF(ISBLANK(N109),O108,N109),IF(ISNUMBER(N109),(MAX(O$44:O108)+N109),O108))</f>
        <v/>
      </c>
      <c s="228" r="P109"/>
      <c s="273" r="Q109">
        <f>IF(ISNUMBER(P109),((Q108+P109)-R108),Q108)</f>
        <v>100</v>
      </c>
      <c s="228" r="R109"/>
      <c s="610" r="S109"/>
      <c s="458" r="T109"/>
      <c s="458" r="U109"/>
      <c s="458" r="V109"/>
      <c s="458" r="W109"/>
      <c s="458" r="X109"/>
      <c s="458" r="Y109"/>
      <c t="str" s="620" r="Z109">
        <f>IF(ISNUMBER(S109),(Q109-S109),NA())</f>
        <v>#N/A:explicit</v>
      </c>
      <c t="str" s="620" r="AA109">
        <f>IF(ISNUMBER(T109),IF((AH$22=1),(Z109+T109),(Q109-T109)),NA())</f>
        <v>#N/A:explicit</v>
      </c>
      <c t="str" s="620" r="AB109">
        <f>IF(ISNUMBER(U109),(Q109-U109),NA())</f>
        <v>#N/A:explicit</v>
      </c>
      <c t="str" s="620" r="AC109">
        <f>IF(ISNUMBER(V109),(Q109-V109),NA())</f>
        <v>#N/A:explicit</v>
      </c>
      <c t="str" s="620" r="AD109">
        <f>IF(ISNUMBER(W109),(Q109-W109),NA())</f>
        <v>#N/A:explicit</v>
      </c>
      <c t="str" s="620" r="AE109">
        <f>IF(ISNUMBER(X109),(Q109-X109),NA())</f>
        <v>#N/A:explicit</v>
      </c>
      <c t="str" s="552" r="AF109">
        <f>IF(ISNUMBER(Z109),Z109,"---")</f>
        <v>---</v>
      </c>
      <c s="142" r="AG109"/>
      <c t="str" s="142" r="AH109">
        <f>IF(ISBLANK(L109),NA(),MIN(AF$44:AF$361))</f>
        <v>#N/A:explicit</v>
      </c>
      <c t="str" s="142" r="AI109">
        <f>IF(ISNA(AA109),Z109,AA109)</f>
        <v>#N/A:explicit</v>
      </c>
      <c s="142" r="AJ109">
        <f>MIN(AF$44:AF$361)</f>
        <v>0</v>
      </c>
      <c s="142" r="AK109"/>
      <c t="str" s="142" r="AL109">
        <f>IF(ISNUMBER(AB109),O109,"---")</f>
        <v>---</v>
      </c>
      <c t="str" s="80" r="AM109">
        <f>IF(ISNUMBER(AB109),AB109,"---")</f>
        <v>---</v>
      </c>
      <c s="80" r="AN109"/>
      <c t="str" s="142" r="AO109">
        <f>IF((M109="r"),Z109,NA())</f>
        <v>#N/A:explicit</v>
      </c>
      <c t="str" s="142" r="AP109">
        <f>IF((M109="p"),Z109,NA())</f>
        <v>#N/A:explicit</v>
      </c>
      <c t="str" s="142" r="AQ109">
        <f>IF((M109="n"),Z109,NA())</f>
        <v>#N/A:explicit</v>
      </c>
      <c t="str" s="142" r="AR109">
        <f>IF((M109="g"),Z109,NA())</f>
        <v>#N/A:explicit</v>
      </c>
      <c s="142" r="AS109"/>
      <c t="str" s="142" r="AT109">
        <f>IF((COUNTA($M109:$M$361)=0),"---",IF(AND(($M109="r"),(COUNTA($M110:$M$361)&gt;0)),(MAX(AT$44:AT108)+1),IF(OR(($M108="p"),($M108="n"),($M108="g")),"---",AT108)))</f>
        <v>---</v>
      </c>
      <c t="str" s="142" r="AU109">
        <f>IF((COUNTA($M109:$M$361)=0),"---",IF(AND(($M109="p"),(COUNTA($M110:$M$361)&gt;0)),(MAX(AU$44:AU108)+1),IF(OR(($M108="r"),($M108="n"),($M108="g")),"---",AU108)))</f>
        <v>---</v>
      </c>
      <c t="str" s="142" r="AV109">
        <f>IF((COUNTA($M109:$M$361)=0),"---",IF(AND(($M109="n"),(COUNTA($M110:$M$361)&gt;0)),(MAX(AV$44:AV108)+1),IF(OR(($M108="r"),($M108="p"),($M108="g")),"---",AV108)))</f>
        <v>---</v>
      </c>
      <c t="str" s="142" r="AW109">
        <f>IF((COUNTA($M109:$M$361)=0),"---",IF(AND(($M109="g"),(COUNTA($M110:$M$361)&gt;0)),(MAX(AW$44:AW108)+1),IF(OR(($M108="r"),($M108="p"),($M108="n")),"---",AW108)))</f>
        <v>---</v>
      </c>
      <c s="676" r="AX109">
        <f>IF((M109="p"),(1+MAX(AX$44:AX108)),0)</f>
        <v>0</v>
      </c>
      <c s="51" r="AY109"/>
      <c s="761" r="AZ109"/>
      <c s="761" r="BA109"/>
      <c s="125" r="BB109"/>
      <c s="125" r="BC109"/>
      <c s="125" r="BD109"/>
      <c s="125" r="BE109"/>
      <c s="125" r="BF109"/>
      <c s="125" r="BG109"/>
      <c s="125" r="BH109"/>
      <c s="125" r="BI109"/>
    </row>
    <row r="110">
      <c s="125" r="A110"/>
      <c s="125" r="B110"/>
      <c s="125" r="C110"/>
      <c s="125" r="D110"/>
      <c s="125" r="E110"/>
      <c s="125" r="F110"/>
      <c s="125" r="G110"/>
      <c s="125" r="H110"/>
      <c s="125" r="I110"/>
      <c s="822" r="J110"/>
      <c s="429" r="K110"/>
      <c s="458" r="L110"/>
      <c s="104" r="M110"/>
      <c s="458" r="N110"/>
      <c t="str" s="589" r="O110">
        <f>IF((AH$28=2),IF(ISBLANK(N110),O109,N110),IF(ISNUMBER(N110),(MAX(O$44:O109)+N110),O109))</f>
        <v/>
      </c>
      <c s="228" r="P110"/>
      <c s="273" r="Q110">
        <f>IF(ISNUMBER(P110),((Q109+P110)-R109),Q109)</f>
        <v>100</v>
      </c>
      <c s="228" r="R110"/>
      <c s="610" r="S110"/>
      <c s="458" r="T110"/>
      <c s="458" r="U110"/>
      <c s="458" r="V110"/>
      <c s="458" r="W110"/>
      <c s="458" r="X110"/>
      <c s="458" r="Y110"/>
      <c t="str" s="620" r="Z110">
        <f>IF(ISNUMBER(S110),(Q110-S110),NA())</f>
        <v>#N/A:explicit</v>
      </c>
      <c t="str" s="620" r="AA110">
        <f>IF(ISNUMBER(T110),IF((AH$22=1),(Z110+T110),(Q110-T110)),NA())</f>
        <v>#N/A:explicit</v>
      </c>
      <c t="str" s="620" r="AB110">
        <f>IF(ISNUMBER(U110),(Q110-U110),NA())</f>
        <v>#N/A:explicit</v>
      </c>
      <c t="str" s="620" r="AC110">
        <f>IF(ISNUMBER(V110),(Q110-V110),NA())</f>
        <v>#N/A:explicit</v>
      </c>
      <c t="str" s="620" r="AD110">
        <f>IF(ISNUMBER(W110),(Q110-W110),NA())</f>
        <v>#N/A:explicit</v>
      </c>
      <c t="str" s="620" r="AE110">
        <f>IF(ISNUMBER(X110),(Q110-X110),NA())</f>
        <v>#N/A:explicit</v>
      </c>
      <c t="str" s="552" r="AF110">
        <f>IF(ISNUMBER(Z110),Z110,"---")</f>
        <v>---</v>
      </c>
      <c s="142" r="AG110"/>
      <c t="str" s="142" r="AH110">
        <f>IF(ISBLANK(L110),NA(),MIN(AF$44:AF$361))</f>
        <v>#N/A:explicit</v>
      </c>
      <c t="str" s="142" r="AI110">
        <f>IF(ISNA(AA110),Z110,AA110)</f>
        <v>#N/A:explicit</v>
      </c>
      <c s="142" r="AJ110">
        <f>MIN(AF$44:AF$361)</f>
        <v>0</v>
      </c>
      <c s="142" r="AK110"/>
      <c t="str" s="142" r="AL110">
        <f>IF(ISNUMBER(AB110),O110,"---")</f>
        <v>---</v>
      </c>
      <c t="str" s="80" r="AM110">
        <f>IF(ISNUMBER(AB110),AB110,"---")</f>
        <v>---</v>
      </c>
      <c s="80" r="AN110"/>
      <c t="str" s="142" r="AO110">
        <f>IF((M110="r"),Z110,NA())</f>
        <v>#N/A:explicit</v>
      </c>
      <c t="str" s="142" r="AP110">
        <f>IF((M110="p"),Z110,NA())</f>
        <v>#N/A:explicit</v>
      </c>
      <c t="str" s="142" r="AQ110">
        <f>IF((M110="n"),Z110,NA())</f>
        <v>#N/A:explicit</v>
      </c>
      <c t="str" s="142" r="AR110">
        <f>IF((M110="g"),Z110,NA())</f>
        <v>#N/A:explicit</v>
      </c>
      <c s="142" r="AS110"/>
      <c t="str" s="142" r="AT110">
        <f>IF((COUNTA($M110:$M$361)=0),"---",IF(AND(($M110="r"),(COUNTA($M111:$M$361)&gt;0)),(MAX(AT$44:AT109)+1),IF(OR(($M109="p"),($M109="n"),($M109="g")),"---",AT109)))</f>
        <v>---</v>
      </c>
      <c t="str" s="142" r="AU110">
        <f>IF((COUNTA($M110:$M$361)=0),"---",IF(AND(($M110="p"),(COUNTA($M111:$M$361)&gt;0)),(MAX(AU$44:AU109)+1),IF(OR(($M109="r"),($M109="n"),($M109="g")),"---",AU109)))</f>
        <v>---</v>
      </c>
      <c t="str" s="142" r="AV110">
        <f>IF((COUNTA($M110:$M$361)=0),"---",IF(AND(($M110="n"),(COUNTA($M111:$M$361)&gt;0)),(MAX(AV$44:AV109)+1),IF(OR(($M109="r"),($M109="p"),($M109="g")),"---",AV109)))</f>
        <v>---</v>
      </c>
      <c t="str" s="142" r="AW110">
        <f>IF((COUNTA($M110:$M$361)=0),"---",IF(AND(($M110="g"),(COUNTA($M111:$M$361)&gt;0)),(MAX(AW$44:AW109)+1),IF(OR(($M109="r"),($M109="p"),($M109="n")),"---",AW109)))</f>
        <v>---</v>
      </c>
      <c s="676" r="AX110">
        <f>IF((M110="p"),(1+MAX(AX$44:AX109)),0)</f>
        <v>0</v>
      </c>
      <c s="51" r="AY110"/>
      <c s="761" r="AZ110"/>
      <c s="761" r="BA110"/>
      <c s="125" r="BB110"/>
      <c s="125" r="BC110"/>
      <c s="125" r="BD110"/>
      <c s="125" r="BE110"/>
      <c s="125" r="BF110"/>
      <c s="125" r="BG110"/>
      <c s="125" r="BH110"/>
      <c s="125" r="BI110"/>
    </row>
    <row r="111">
      <c s="125" r="A111"/>
      <c s="125" r="B111"/>
      <c s="125" r="C111"/>
      <c s="125" r="D111"/>
      <c s="125" r="E111"/>
      <c s="125" r="F111"/>
      <c s="125" r="G111"/>
      <c s="125" r="H111"/>
      <c s="125" r="I111"/>
      <c s="822" r="J111"/>
      <c s="848" r="K111"/>
      <c s="550" r="L111"/>
      <c s="104" r="M111"/>
      <c s="550" r="N111"/>
      <c t="str" s="589" r="O111">
        <f>IF((AH$28=2),IF(ISBLANK(N111),O110,N111),IF(ISNUMBER(N111),(MAX(O$44:O110)+N111),O110))</f>
        <v/>
      </c>
      <c s="694" r="P111"/>
      <c s="273" r="Q111">
        <f>IF(ISNUMBER(P111),((Q110+P111)-R110),Q110)</f>
        <v>100</v>
      </c>
      <c s="694" r="R111"/>
      <c s="821" r="S111"/>
      <c s="550" r="T111"/>
      <c s="550" r="U111"/>
      <c s="550" r="V111"/>
      <c s="550" r="W111"/>
      <c s="550" r="X111"/>
      <c s="550" r="Y111"/>
      <c t="str" s="470" r="Z111">
        <f>IF(ISNUMBER(S111),(Q111-S111),NA())</f>
        <v>#N/A:explicit</v>
      </c>
      <c t="str" s="470" r="AA111">
        <f>IF(ISNUMBER(T111),IF((AH$22=1),(Z111+T111),(Q111-T111)),NA())</f>
        <v>#N/A:explicit</v>
      </c>
      <c t="str" s="470" r="AB111">
        <f>IF(ISNUMBER(U111),(Q111-U111),NA())</f>
        <v>#N/A:explicit</v>
      </c>
      <c t="str" s="470" r="AC111">
        <f>IF(ISNUMBER(V111),(Q111-V111),NA())</f>
        <v>#N/A:explicit</v>
      </c>
      <c t="str" s="470" r="AD111">
        <f>IF(ISNUMBER(W111),(Q111-W111),NA())</f>
        <v>#N/A:explicit</v>
      </c>
      <c t="str" s="470" r="AE111">
        <f>IF(ISNUMBER(X111),(Q111-X111),NA())</f>
        <v>#N/A:explicit</v>
      </c>
      <c t="str" s="552" r="AF111">
        <f>IF(ISNUMBER(Z111),Z111,"---")</f>
        <v>---</v>
      </c>
      <c s="142" r="AG111"/>
      <c t="str" s="142" r="AH111">
        <f>IF(ISBLANK(L111),NA(),MIN(AF$44:AF$361))</f>
        <v>#N/A:explicit</v>
      </c>
      <c t="str" s="142" r="AI111">
        <f>IF(ISNA(AA111),Z111,AA111)</f>
        <v>#N/A:explicit</v>
      </c>
      <c s="142" r="AJ111">
        <f>MIN(AF$44:AF$361)</f>
        <v>0</v>
      </c>
      <c s="142" r="AK111"/>
      <c t="str" s="142" r="AL111">
        <f>IF(ISNUMBER(AB111),O111,"---")</f>
        <v>---</v>
      </c>
      <c t="str" s="80" r="AM111">
        <f>IF(ISNUMBER(AB111),AB111,"---")</f>
        <v>---</v>
      </c>
      <c s="80" r="AN111"/>
      <c t="str" s="142" r="AO111">
        <f>IF((M111="r"),Z111,NA())</f>
        <v>#N/A:explicit</v>
      </c>
      <c t="str" s="142" r="AP111">
        <f>IF((M111="p"),Z111,NA())</f>
        <v>#N/A:explicit</v>
      </c>
      <c t="str" s="142" r="AQ111">
        <f>IF((M111="n"),Z111,NA())</f>
        <v>#N/A:explicit</v>
      </c>
      <c t="str" s="142" r="AR111">
        <f>IF((M111="g"),Z111,NA())</f>
        <v>#N/A:explicit</v>
      </c>
      <c s="142" r="AS111"/>
      <c t="str" s="142" r="AT111">
        <f>IF((COUNTA($M111:$M$361)=0),"---",IF(AND(($M111="r"),(COUNTA($M112:$M$361)&gt;0)),(MAX(AT$44:AT110)+1),IF(OR(($M110="p"),($M110="n"),($M110="g")),"---",AT110)))</f>
        <v>---</v>
      </c>
      <c t="str" s="142" r="AU111">
        <f>IF((COUNTA($M111:$M$361)=0),"---",IF(AND(($M111="p"),(COUNTA($M112:$M$361)&gt;0)),(MAX(AU$44:AU110)+1),IF(OR(($M110="r"),($M110="n"),($M110="g")),"---",AU110)))</f>
        <v>---</v>
      </c>
      <c t="str" s="142" r="AV111">
        <f>IF((COUNTA($M111:$M$361)=0),"---",IF(AND(($M111="n"),(COUNTA($M112:$M$361)&gt;0)),(MAX(AV$44:AV110)+1),IF(OR(($M110="r"),($M110="p"),($M110="g")),"---",AV110)))</f>
        <v>---</v>
      </c>
      <c t="str" s="142" r="AW111">
        <f>IF((COUNTA($M111:$M$361)=0),"---",IF(AND(($M111="g"),(COUNTA($M112:$M$361)&gt;0)),(MAX(AW$44:AW110)+1),IF(OR(($M110="r"),($M110="p"),($M110="n")),"---",AW110)))</f>
        <v>---</v>
      </c>
      <c s="676" r="AX111">
        <f>IF((M111="p"),(1+MAX(AX$44:AX110)),0)</f>
        <v>0</v>
      </c>
      <c s="51" r="AY111"/>
      <c s="761" r="AZ111"/>
      <c s="761" r="BA111"/>
      <c s="125" r="BB111"/>
      <c s="125" r="BC111"/>
      <c s="125" r="BD111"/>
      <c s="125" r="BE111"/>
      <c s="125" r="BF111"/>
      <c s="125" r="BG111"/>
      <c s="125" r="BH111"/>
      <c s="125" r="BI111"/>
    </row>
    <row r="112">
      <c s="125" r="A112"/>
      <c s="125" r="B112"/>
      <c s="125" r="C112"/>
      <c s="125" r="D112"/>
      <c s="125" r="E112"/>
      <c s="125" r="F112"/>
      <c s="125" r="G112"/>
      <c s="125" r="H112"/>
      <c s="125" r="I112"/>
      <c s="822" r="J112"/>
      <c s="848" r="K112"/>
      <c s="550" r="L112"/>
      <c s="104" r="M112"/>
      <c s="550" r="N112"/>
      <c t="str" s="589" r="O112">
        <f>IF((AH$28=2),IF(ISBLANK(N112),O111,N112),IF(ISNUMBER(N112),(MAX(O$44:O111)+N112),O111))</f>
        <v/>
      </c>
      <c s="694" r="P112"/>
      <c s="273" r="Q112">
        <f>IF(ISNUMBER(P112),((Q111+P112)-R111),Q111)</f>
        <v>100</v>
      </c>
      <c s="694" r="R112"/>
      <c s="821" r="S112"/>
      <c s="550" r="T112"/>
      <c s="550" r="U112"/>
      <c s="550" r="V112"/>
      <c s="550" r="W112"/>
      <c s="550" r="X112"/>
      <c s="550" r="Y112"/>
      <c t="str" s="470" r="Z112">
        <f>IF(ISNUMBER(S112),(Q112-S112),NA())</f>
        <v>#N/A:explicit</v>
      </c>
      <c t="str" s="470" r="AA112">
        <f>IF(ISNUMBER(T112),IF((AH$22=1),(Z112+T112),(Q112-T112)),NA())</f>
        <v>#N/A:explicit</v>
      </c>
      <c t="str" s="470" r="AB112">
        <f>IF(ISNUMBER(U112),(Q112-U112),NA())</f>
        <v>#N/A:explicit</v>
      </c>
      <c t="str" s="470" r="AC112">
        <f>IF(ISNUMBER(V112),(Q112-V112),NA())</f>
        <v>#N/A:explicit</v>
      </c>
      <c t="str" s="470" r="AD112">
        <f>IF(ISNUMBER(W112),(Q112-W112),NA())</f>
        <v>#N/A:explicit</v>
      </c>
      <c t="str" s="470" r="AE112">
        <f>IF(ISNUMBER(X112),(Q112-X112),NA())</f>
        <v>#N/A:explicit</v>
      </c>
      <c t="str" s="552" r="AF112">
        <f>IF(ISNUMBER(Z112),Z112,"---")</f>
        <v>---</v>
      </c>
      <c s="142" r="AG112"/>
      <c t="str" s="142" r="AH112">
        <f>IF(ISBLANK(L112),NA(),MIN(AF$44:AF$361))</f>
        <v>#N/A:explicit</v>
      </c>
      <c t="str" s="142" r="AI112">
        <f>IF(ISNA(AA112),Z112,AA112)</f>
        <v>#N/A:explicit</v>
      </c>
      <c s="142" r="AJ112">
        <f>MIN(AF$44:AF$361)</f>
        <v>0</v>
      </c>
      <c s="142" r="AK112"/>
      <c t="str" s="142" r="AL112">
        <f>IF(ISNUMBER(AB112),O112,"---")</f>
        <v>---</v>
      </c>
      <c t="str" s="80" r="AM112">
        <f>IF(ISNUMBER(AB112),AB112,"---")</f>
        <v>---</v>
      </c>
      <c s="80" r="AN112"/>
      <c t="str" s="142" r="AO112">
        <f>IF((M112="r"),Z112,NA())</f>
        <v>#N/A:explicit</v>
      </c>
      <c t="str" s="142" r="AP112">
        <f>IF((M112="p"),Z112,NA())</f>
        <v>#N/A:explicit</v>
      </c>
      <c t="str" s="142" r="AQ112">
        <f>IF((M112="n"),Z112,NA())</f>
        <v>#N/A:explicit</v>
      </c>
      <c t="str" s="142" r="AR112">
        <f>IF((M112="g"),Z112,NA())</f>
        <v>#N/A:explicit</v>
      </c>
      <c s="142" r="AS112"/>
      <c t="str" s="142" r="AT112">
        <f>IF((COUNTA($M112:$M$361)=0),"---",IF(AND(($M112="r"),(COUNTA($M113:$M$361)&gt;0)),(MAX(AT$44:AT111)+1),IF(OR(($M111="p"),($M111="n"),($M111="g")),"---",AT111)))</f>
        <v>---</v>
      </c>
      <c t="str" s="142" r="AU112">
        <f>IF((COUNTA($M112:$M$361)=0),"---",IF(AND(($M112="p"),(COUNTA($M113:$M$361)&gt;0)),(MAX(AU$44:AU111)+1),IF(OR(($M111="r"),($M111="n"),($M111="g")),"---",AU111)))</f>
        <v>---</v>
      </c>
      <c t="str" s="142" r="AV112">
        <f>IF((COUNTA($M112:$M$361)=0),"---",IF(AND(($M112="n"),(COUNTA($M113:$M$361)&gt;0)),(MAX(AV$44:AV111)+1),IF(OR(($M111="r"),($M111="p"),($M111="g")),"---",AV111)))</f>
        <v>---</v>
      </c>
      <c t="str" s="142" r="AW112">
        <f>IF((COUNTA($M112:$M$361)=0),"---",IF(AND(($M112="g"),(COUNTA($M113:$M$361)&gt;0)),(MAX(AW$44:AW111)+1),IF(OR(($M111="r"),($M111="p"),($M111="n")),"---",AW111)))</f>
        <v>---</v>
      </c>
      <c s="676" r="AX112">
        <f>IF((M112="p"),(1+MAX(AX$44:AX111)),0)</f>
        <v>0</v>
      </c>
      <c s="51" r="AY112"/>
      <c s="761" r="AZ112"/>
      <c s="761" r="BA112"/>
      <c s="125" r="BB112"/>
      <c s="125" r="BC112"/>
      <c s="125" r="BD112"/>
      <c s="125" r="BE112"/>
      <c s="125" r="BF112"/>
      <c s="125" r="BG112"/>
      <c s="125" r="BH112"/>
      <c s="125" r="BI112"/>
    </row>
    <row r="113">
      <c s="125" r="A113"/>
      <c s="125" r="B113"/>
      <c s="125" r="C113"/>
      <c s="125" r="D113"/>
      <c s="125" r="E113"/>
      <c s="125" r="F113"/>
      <c s="125" r="G113"/>
      <c s="125" r="H113"/>
      <c s="125" r="I113"/>
      <c s="822" r="J113"/>
      <c s="848" r="K113"/>
      <c s="550" r="L113"/>
      <c s="104" r="M113"/>
      <c s="550" r="N113"/>
      <c t="str" s="589" r="O113">
        <f>IF((AH$28=2),IF(ISBLANK(N113),O112,N113),IF(ISNUMBER(N113),(MAX(O$44:O112)+N113),O112))</f>
        <v/>
      </c>
      <c s="694" r="P113"/>
      <c s="273" r="Q113">
        <f>IF(ISNUMBER(P113),((Q112+P113)-R112),Q112)</f>
        <v>100</v>
      </c>
      <c s="694" r="R113"/>
      <c s="821" r="S113"/>
      <c s="550" r="T113"/>
      <c s="550" r="U113"/>
      <c s="550" r="V113"/>
      <c s="550" r="W113"/>
      <c s="550" r="X113"/>
      <c s="550" r="Y113"/>
      <c t="str" s="470" r="Z113">
        <f>IF(ISNUMBER(S113),(Q113-S113),NA())</f>
        <v>#N/A:explicit</v>
      </c>
      <c t="str" s="470" r="AA113">
        <f>IF(ISNUMBER(T113),IF((AH$22=1),(Z113+T113),(Q113-T113)),NA())</f>
        <v>#N/A:explicit</v>
      </c>
      <c t="str" s="470" r="AB113">
        <f>IF(ISNUMBER(U113),(Q113-U113),NA())</f>
        <v>#N/A:explicit</v>
      </c>
      <c t="str" s="470" r="AC113">
        <f>IF(ISNUMBER(V113),(Q113-V113),NA())</f>
        <v>#N/A:explicit</v>
      </c>
      <c t="str" s="470" r="AD113">
        <f>IF(ISNUMBER(W113),(Q113-W113),NA())</f>
        <v>#N/A:explicit</v>
      </c>
      <c t="str" s="470" r="AE113">
        <f>IF(ISNUMBER(X113),(Q113-X113),NA())</f>
        <v>#N/A:explicit</v>
      </c>
      <c t="str" s="552" r="AF113">
        <f>IF(ISNUMBER(Z113),Z113,"---")</f>
        <v>---</v>
      </c>
      <c s="142" r="AG113"/>
      <c t="str" s="142" r="AH113">
        <f>IF(ISBLANK(L113),NA(),MIN(AF$44:AF$361))</f>
        <v>#N/A:explicit</v>
      </c>
      <c t="str" s="142" r="AI113">
        <f>IF(ISNA(AA113),Z113,AA113)</f>
        <v>#N/A:explicit</v>
      </c>
      <c s="142" r="AJ113">
        <f>MIN(AF$44:AF$361)</f>
        <v>0</v>
      </c>
      <c s="142" r="AK113"/>
      <c t="str" s="142" r="AL113">
        <f>IF(ISNUMBER(AB113),O113,"---")</f>
        <v>---</v>
      </c>
      <c t="str" s="80" r="AM113">
        <f>IF(ISNUMBER(AB113),AB113,"---")</f>
        <v>---</v>
      </c>
      <c s="80" r="AN113"/>
      <c t="str" s="142" r="AO113">
        <f>IF((M113="r"),Z113,NA())</f>
        <v>#N/A:explicit</v>
      </c>
      <c t="str" s="142" r="AP113">
        <f>IF((M113="p"),Z113,NA())</f>
        <v>#N/A:explicit</v>
      </c>
      <c t="str" s="142" r="AQ113">
        <f>IF((M113="n"),Z113,NA())</f>
        <v>#N/A:explicit</v>
      </c>
      <c t="str" s="142" r="AR113">
        <f>IF((M113="g"),Z113,NA())</f>
        <v>#N/A:explicit</v>
      </c>
      <c s="142" r="AS113"/>
      <c t="str" s="142" r="AT113">
        <f>IF((COUNTA($M113:$M$361)=0),"---",IF(AND(($M113="r"),(COUNTA($M114:$M$361)&gt;0)),(MAX(AT$44:AT112)+1),IF(OR(($M112="p"),($M112="n"),($M112="g")),"---",AT112)))</f>
        <v>---</v>
      </c>
      <c t="str" s="142" r="AU113">
        <f>IF((COUNTA($M113:$M$361)=0),"---",IF(AND(($M113="p"),(COUNTA($M114:$M$361)&gt;0)),(MAX(AU$44:AU112)+1),IF(OR(($M112="r"),($M112="n"),($M112="g")),"---",AU112)))</f>
        <v>---</v>
      </c>
      <c t="str" s="142" r="AV113">
        <f>IF((COUNTA($M113:$M$361)=0),"---",IF(AND(($M113="n"),(COUNTA($M114:$M$361)&gt;0)),(MAX(AV$44:AV112)+1),IF(OR(($M112="r"),($M112="p"),($M112="g")),"---",AV112)))</f>
        <v>---</v>
      </c>
      <c t="str" s="142" r="AW113">
        <f>IF((COUNTA($M113:$M$361)=0),"---",IF(AND(($M113="g"),(COUNTA($M114:$M$361)&gt;0)),(MAX(AW$44:AW112)+1),IF(OR(($M112="r"),($M112="p"),($M112="n")),"---",AW112)))</f>
        <v>---</v>
      </c>
      <c s="676" r="AX113">
        <f>IF((M113="p"),(1+MAX(AX$44:AX112)),0)</f>
        <v>0</v>
      </c>
      <c s="51" r="AY113"/>
      <c s="761" r="AZ113"/>
      <c s="761" r="BA113"/>
      <c s="125" r="BB113"/>
      <c s="125" r="BC113"/>
      <c s="125" r="BD113"/>
      <c s="125" r="BE113"/>
      <c s="125" r="BF113"/>
      <c s="125" r="BG113"/>
      <c s="125" r="BH113"/>
      <c s="125" r="BI113"/>
    </row>
    <row r="114">
      <c s="125" r="A114"/>
      <c s="125" r="B114"/>
      <c s="125" r="C114"/>
      <c s="125" r="D114"/>
      <c s="125" r="E114"/>
      <c s="125" r="F114"/>
      <c s="125" r="G114"/>
      <c s="125" r="H114"/>
      <c s="125" r="I114"/>
      <c s="822" r="J114"/>
      <c s="429" r="K114"/>
      <c s="458" r="L114"/>
      <c s="104" r="M114"/>
      <c s="458" r="N114"/>
      <c t="str" s="589" r="O114">
        <f>IF((AH$28=2),IF(ISBLANK(N114),O113,N114),IF(ISNUMBER(N114),(MAX(O$44:O113)+N114),O113))</f>
        <v/>
      </c>
      <c s="228" r="P114"/>
      <c s="273" r="Q114">
        <f>IF(ISNUMBER(P114),((Q113+P114)-R113),Q113)</f>
        <v>100</v>
      </c>
      <c s="228" r="R114"/>
      <c s="610" r="S114"/>
      <c s="458" r="T114"/>
      <c s="458" r="U114"/>
      <c s="458" r="V114"/>
      <c s="458" r="W114"/>
      <c s="458" r="X114"/>
      <c s="458" r="Y114"/>
      <c t="str" s="620" r="Z114">
        <f>IF(ISNUMBER(S114),(Q114-S114),NA())</f>
        <v>#N/A:explicit</v>
      </c>
      <c t="str" s="620" r="AA114">
        <f>IF(ISNUMBER(T114),IF((AH$22=1),(Z114+T114),(Q114-T114)),NA())</f>
        <v>#N/A:explicit</v>
      </c>
      <c t="str" s="620" r="AB114">
        <f>IF(ISNUMBER(U114),(Q114-U114),NA())</f>
        <v>#N/A:explicit</v>
      </c>
      <c t="str" s="620" r="AC114">
        <f>IF(ISNUMBER(V114),(Q114-V114),NA())</f>
        <v>#N/A:explicit</v>
      </c>
      <c t="str" s="620" r="AD114">
        <f>IF(ISNUMBER(W114),(Q114-W114),NA())</f>
        <v>#N/A:explicit</v>
      </c>
      <c t="str" s="620" r="AE114">
        <f>IF(ISNUMBER(X114),(Q114-X114),NA())</f>
        <v>#N/A:explicit</v>
      </c>
      <c t="str" s="552" r="AF114">
        <f>IF(ISNUMBER(Z114),Z114,"---")</f>
        <v>---</v>
      </c>
      <c s="142" r="AG114"/>
      <c t="str" s="142" r="AH114">
        <f>IF(ISBLANK(L114),NA(),MIN(AF$44:AF$361))</f>
        <v>#N/A:explicit</v>
      </c>
      <c t="str" s="142" r="AI114">
        <f>IF(ISNA(AA114),Z114,AA114)</f>
        <v>#N/A:explicit</v>
      </c>
      <c s="142" r="AJ114">
        <f>MIN(AF$44:AF$361)</f>
        <v>0</v>
      </c>
      <c s="142" r="AK114"/>
      <c t="str" s="142" r="AL114">
        <f>IF(ISNUMBER(AB114),O114,"---")</f>
        <v>---</v>
      </c>
      <c t="str" s="80" r="AM114">
        <f>IF(ISNUMBER(AB114),AB114,"---")</f>
        <v>---</v>
      </c>
      <c s="80" r="AN114"/>
      <c t="str" s="142" r="AO114">
        <f>IF((M114="r"),Z114,NA())</f>
        <v>#N/A:explicit</v>
      </c>
      <c t="str" s="142" r="AP114">
        <f>IF((M114="p"),Z114,NA())</f>
        <v>#N/A:explicit</v>
      </c>
      <c t="str" s="142" r="AQ114">
        <f>IF((M114="n"),Z114,NA())</f>
        <v>#N/A:explicit</v>
      </c>
      <c t="str" s="142" r="AR114">
        <f>IF((M114="g"),Z114,NA())</f>
        <v>#N/A:explicit</v>
      </c>
      <c s="142" r="AS114"/>
      <c t="str" s="142" r="AT114">
        <f>IF((COUNTA($M114:$M$361)=0),"---",IF(AND(($M114="r"),(COUNTA($M115:$M$361)&gt;0)),(MAX(AT$44:AT113)+1),IF(OR(($M113="p"),($M113="n"),($M113="g")),"---",AT113)))</f>
        <v>---</v>
      </c>
      <c t="str" s="142" r="AU114">
        <f>IF((COUNTA($M114:$M$361)=0),"---",IF(AND(($M114="p"),(COUNTA($M115:$M$361)&gt;0)),(MAX(AU$44:AU113)+1),IF(OR(($M113="r"),($M113="n"),($M113="g")),"---",AU113)))</f>
        <v>---</v>
      </c>
      <c t="str" s="142" r="AV114">
        <f>IF((COUNTA($M114:$M$361)=0),"---",IF(AND(($M114="n"),(COUNTA($M115:$M$361)&gt;0)),(MAX(AV$44:AV113)+1),IF(OR(($M113="r"),($M113="p"),($M113="g")),"---",AV113)))</f>
        <v>---</v>
      </c>
      <c t="str" s="142" r="AW114">
        <f>IF((COUNTA($M114:$M$361)=0),"---",IF(AND(($M114="g"),(COUNTA($M115:$M$361)&gt;0)),(MAX(AW$44:AW113)+1),IF(OR(($M113="r"),($M113="p"),($M113="n")),"---",AW113)))</f>
        <v>---</v>
      </c>
      <c s="676" r="AX114">
        <f>IF((M114="p"),(1+MAX(AX$44:AX113)),0)</f>
        <v>0</v>
      </c>
      <c s="51" r="AY114"/>
      <c s="761" r="AZ114"/>
      <c s="761" r="BA114"/>
      <c s="125" r="BB114"/>
      <c s="125" r="BC114"/>
      <c s="125" r="BD114"/>
      <c s="125" r="BE114"/>
      <c s="125" r="BF114"/>
      <c s="125" r="BG114"/>
      <c s="125" r="BH114"/>
      <c s="125" r="BI114"/>
    </row>
    <row r="115">
      <c s="125" r="A115"/>
      <c s="125" r="B115"/>
      <c s="125" r="C115"/>
      <c s="125" r="D115"/>
      <c s="125" r="E115"/>
      <c s="125" r="F115"/>
      <c s="125" r="G115"/>
      <c s="125" r="H115"/>
      <c s="125" r="I115"/>
      <c s="822" r="J115"/>
      <c s="429" r="K115"/>
      <c s="458" r="L115"/>
      <c s="104" r="M115"/>
      <c s="458" r="N115"/>
      <c t="str" s="589" r="O115">
        <f>IF((AH$28=2),IF(ISBLANK(N115),O114,N115),IF(ISNUMBER(N115),(MAX(O$44:O114)+N115),O114))</f>
        <v/>
      </c>
      <c s="228" r="P115"/>
      <c s="273" r="Q115">
        <f>IF(ISNUMBER(P115),((Q114+P115)-R114),Q114)</f>
        <v>100</v>
      </c>
      <c s="228" r="R115"/>
      <c s="610" r="S115"/>
      <c s="458" r="T115"/>
      <c s="458" r="U115"/>
      <c s="458" r="V115"/>
      <c s="458" r="W115"/>
      <c s="458" r="X115"/>
      <c s="458" r="Y115"/>
      <c t="str" s="620" r="Z115">
        <f>IF(ISNUMBER(S115),(Q115-S115),NA())</f>
        <v>#N/A:explicit</v>
      </c>
      <c t="str" s="620" r="AA115">
        <f>IF(ISNUMBER(T115),IF((AH$22=1),(Z115+T115),(Q115-T115)),NA())</f>
        <v>#N/A:explicit</v>
      </c>
      <c t="str" s="620" r="AB115">
        <f>IF(ISNUMBER(U115),(Q115-U115),NA())</f>
        <v>#N/A:explicit</v>
      </c>
      <c t="str" s="620" r="AC115">
        <f>IF(ISNUMBER(V115),(Q115-V115),NA())</f>
        <v>#N/A:explicit</v>
      </c>
      <c t="str" s="620" r="AD115">
        <f>IF(ISNUMBER(W115),(Q115-W115),NA())</f>
        <v>#N/A:explicit</v>
      </c>
      <c t="str" s="620" r="AE115">
        <f>IF(ISNUMBER(X115),(Q115-X115),NA())</f>
        <v>#N/A:explicit</v>
      </c>
      <c t="str" s="552" r="AF115">
        <f>IF(ISNUMBER(Z115),Z115,"---")</f>
        <v>---</v>
      </c>
      <c s="142" r="AG115"/>
      <c t="str" s="142" r="AH115">
        <f>IF(ISBLANK(L115),NA(),MIN(AF$44:AF$361))</f>
        <v>#N/A:explicit</v>
      </c>
      <c t="str" s="142" r="AI115">
        <f>IF(ISNA(AA115),Z115,AA115)</f>
        <v>#N/A:explicit</v>
      </c>
      <c s="142" r="AJ115">
        <f>MIN(AF$44:AF$361)</f>
        <v>0</v>
      </c>
      <c s="142" r="AK115"/>
      <c t="str" s="142" r="AL115">
        <f>IF(ISNUMBER(AB115),O115,"---")</f>
        <v>---</v>
      </c>
      <c t="str" s="80" r="AM115">
        <f>IF(ISNUMBER(AB115),AB115,"---")</f>
        <v>---</v>
      </c>
      <c s="80" r="AN115"/>
      <c t="str" s="142" r="AO115">
        <f>IF((M115="r"),Z115,NA())</f>
        <v>#N/A:explicit</v>
      </c>
      <c t="str" s="142" r="AP115">
        <f>IF((M115="p"),Z115,NA())</f>
        <v>#N/A:explicit</v>
      </c>
      <c t="str" s="142" r="AQ115">
        <f>IF((M115="n"),Z115,NA())</f>
        <v>#N/A:explicit</v>
      </c>
      <c t="str" s="142" r="AR115">
        <f>IF((M115="g"),Z115,NA())</f>
        <v>#N/A:explicit</v>
      </c>
      <c s="142" r="AS115"/>
      <c t="str" s="142" r="AT115">
        <f>IF((COUNTA($M115:$M$361)=0),"---",IF(AND(($M115="r"),(COUNTA($M116:$M$361)&gt;0)),(MAX(AT$44:AT114)+1),IF(OR(($M114="p"),($M114="n"),($M114="g")),"---",AT114)))</f>
        <v>---</v>
      </c>
      <c t="str" s="142" r="AU115">
        <f>IF((COUNTA($M115:$M$361)=0),"---",IF(AND(($M115="p"),(COUNTA($M116:$M$361)&gt;0)),(MAX(AU$44:AU114)+1),IF(OR(($M114="r"),($M114="n"),($M114="g")),"---",AU114)))</f>
        <v>---</v>
      </c>
      <c t="str" s="142" r="AV115">
        <f>IF((COUNTA($M115:$M$361)=0),"---",IF(AND(($M115="n"),(COUNTA($M116:$M$361)&gt;0)),(MAX(AV$44:AV114)+1),IF(OR(($M114="r"),($M114="p"),($M114="g")),"---",AV114)))</f>
        <v>---</v>
      </c>
      <c t="str" s="142" r="AW115">
        <f>IF((COUNTA($M115:$M$361)=0),"---",IF(AND(($M115="g"),(COUNTA($M116:$M$361)&gt;0)),(MAX(AW$44:AW114)+1),IF(OR(($M114="r"),($M114="p"),($M114="n")),"---",AW114)))</f>
        <v>---</v>
      </c>
      <c s="676" r="AX115">
        <f>IF((M115="p"),(1+MAX(AX$44:AX114)),0)</f>
        <v>0</v>
      </c>
      <c s="51" r="AY115"/>
      <c s="761" r="AZ115"/>
      <c s="761" r="BA115"/>
      <c s="125" r="BB115"/>
      <c s="125" r="BC115"/>
      <c s="125" r="BD115"/>
      <c s="125" r="BE115"/>
      <c s="125" r="BF115"/>
      <c s="125" r="BG115"/>
      <c s="125" r="BH115"/>
      <c s="125" r="BI115"/>
    </row>
    <row r="116">
      <c s="125" r="A116"/>
      <c s="125" r="B116"/>
      <c s="125" r="C116"/>
      <c s="125" r="D116"/>
      <c s="125" r="E116"/>
      <c s="125" r="F116"/>
      <c s="125" r="G116"/>
      <c s="125" r="H116"/>
      <c s="125" r="I116"/>
      <c s="822" r="J116"/>
      <c s="429" r="K116"/>
      <c s="458" r="L116"/>
      <c s="104" r="M116"/>
      <c s="458" r="N116"/>
      <c t="str" s="589" r="O116">
        <f>IF((AH$28=2),IF(ISBLANK(N116),O115,N116),IF(ISNUMBER(N116),(MAX(O$44:O115)+N116),O115))</f>
        <v/>
      </c>
      <c s="228" r="P116"/>
      <c s="273" r="Q116">
        <f>IF(ISNUMBER(P116),((Q115+P116)-R115),Q115)</f>
        <v>100</v>
      </c>
      <c s="228" r="R116"/>
      <c s="610" r="S116"/>
      <c s="458" r="T116"/>
      <c s="458" r="U116"/>
      <c s="458" r="V116"/>
      <c s="458" r="W116"/>
      <c s="458" r="X116"/>
      <c s="458" r="Y116"/>
      <c t="str" s="620" r="Z116">
        <f>IF(ISNUMBER(S116),(Q116-S116),NA())</f>
        <v>#N/A:explicit</v>
      </c>
      <c t="str" s="620" r="AA116">
        <f>IF(ISNUMBER(T116),IF((AH$22=1),(Z116+T116),(Q116-T116)),NA())</f>
        <v>#N/A:explicit</v>
      </c>
      <c t="str" s="620" r="AB116">
        <f>IF(ISNUMBER(U116),(Q116-U116),NA())</f>
        <v>#N/A:explicit</v>
      </c>
      <c t="str" s="620" r="AC116">
        <f>IF(ISNUMBER(V116),(Q116-V116),NA())</f>
        <v>#N/A:explicit</v>
      </c>
      <c t="str" s="620" r="AD116">
        <f>IF(ISNUMBER(W116),(Q116-W116),NA())</f>
        <v>#N/A:explicit</v>
      </c>
      <c t="str" s="620" r="AE116">
        <f>IF(ISNUMBER(X116),(Q116-X116),NA())</f>
        <v>#N/A:explicit</v>
      </c>
      <c t="str" s="552" r="AF116">
        <f>IF(ISNUMBER(Z116),Z116,"---")</f>
        <v>---</v>
      </c>
      <c s="142" r="AG116"/>
      <c t="str" s="142" r="AH116">
        <f>IF(ISBLANK(L116),NA(),MIN(AF$44:AF$361))</f>
        <v>#N/A:explicit</v>
      </c>
      <c t="str" s="142" r="AI116">
        <f>IF(ISNA(AA116),Z116,AA116)</f>
        <v>#N/A:explicit</v>
      </c>
      <c s="142" r="AJ116">
        <f>MIN(AF$44:AF$361)</f>
        <v>0</v>
      </c>
      <c s="142" r="AK116"/>
      <c t="str" s="142" r="AL116">
        <f>IF(ISNUMBER(AB116),O116,"---")</f>
        <v>---</v>
      </c>
      <c t="str" s="80" r="AM116">
        <f>IF(ISNUMBER(AB116),AB116,"---")</f>
        <v>---</v>
      </c>
      <c s="80" r="AN116"/>
      <c t="str" s="142" r="AO116">
        <f>IF((M116="r"),Z116,NA())</f>
        <v>#N/A:explicit</v>
      </c>
      <c t="str" s="142" r="AP116">
        <f>IF((M116="p"),Z116,NA())</f>
        <v>#N/A:explicit</v>
      </c>
      <c t="str" s="142" r="AQ116">
        <f>IF((M116="n"),Z116,NA())</f>
        <v>#N/A:explicit</v>
      </c>
      <c t="str" s="142" r="AR116">
        <f>IF((M116="g"),Z116,NA())</f>
        <v>#N/A:explicit</v>
      </c>
      <c s="142" r="AS116"/>
      <c t="str" s="142" r="AT116">
        <f>IF((COUNTA($M116:$M$361)=0),"---",IF(AND(($M116="r"),(COUNTA($M117:$M$361)&gt;0)),(MAX(AT$44:AT115)+1),IF(OR(($M115="p"),($M115="n"),($M115="g")),"---",AT115)))</f>
        <v>---</v>
      </c>
      <c t="str" s="142" r="AU116">
        <f>IF((COUNTA($M116:$M$361)=0),"---",IF(AND(($M116="p"),(COUNTA($M117:$M$361)&gt;0)),(MAX(AU$44:AU115)+1),IF(OR(($M115="r"),($M115="n"),($M115="g")),"---",AU115)))</f>
        <v>---</v>
      </c>
      <c t="str" s="142" r="AV116">
        <f>IF((COUNTA($M116:$M$361)=0),"---",IF(AND(($M116="n"),(COUNTA($M117:$M$361)&gt;0)),(MAX(AV$44:AV115)+1),IF(OR(($M115="r"),($M115="p"),($M115="g")),"---",AV115)))</f>
        <v>---</v>
      </c>
      <c t="str" s="142" r="AW116">
        <f>IF((COUNTA($M116:$M$361)=0),"---",IF(AND(($M116="g"),(COUNTA($M117:$M$361)&gt;0)),(MAX(AW$44:AW115)+1),IF(OR(($M115="r"),($M115="p"),($M115="n")),"---",AW115)))</f>
        <v>---</v>
      </c>
      <c s="676" r="AX116">
        <f>IF((M116="p"),(1+MAX(AX$44:AX115)),0)</f>
        <v>0</v>
      </c>
      <c s="51" r="AY116"/>
      <c s="761" r="AZ116"/>
      <c s="761" r="BA116"/>
      <c s="125" r="BB116"/>
      <c s="125" r="BC116"/>
      <c s="125" r="BD116"/>
      <c s="125" r="BE116"/>
      <c s="125" r="BF116"/>
      <c s="125" r="BG116"/>
      <c s="125" r="BH116"/>
      <c s="125" r="BI116"/>
    </row>
    <row r="117">
      <c s="125" r="A117"/>
      <c s="125" r="B117"/>
      <c s="125" r="C117"/>
      <c s="125" r="D117"/>
      <c s="125" r="E117"/>
      <c s="125" r="F117"/>
      <c s="125" r="G117"/>
      <c s="125" r="H117"/>
      <c s="125" r="I117"/>
      <c s="822" r="J117"/>
      <c s="848" r="K117"/>
      <c s="550" r="L117"/>
      <c s="104" r="M117"/>
      <c s="550" r="N117"/>
      <c t="str" s="589" r="O117">
        <f>IF((AH$28=2),IF(ISBLANK(N117),O116,N117),IF(ISNUMBER(N117),(MAX(O$44:O116)+N117),O116))</f>
        <v/>
      </c>
      <c s="694" r="P117"/>
      <c s="273" r="Q117">
        <f>IF(ISNUMBER(P117),((Q116+P117)-R116),Q116)</f>
        <v>100</v>
      </c>
      <c s="694" r="R117"/>
      <c s="821" r="S117"/>
      <c s="550" r="T117"/>
      <c s="550" r="U117"/>
      <c s="550" r="V117"/>
      <c s="550" r="W117"/>
      <c s="550" r="X117"/>
      <c s="550" r="Y117"/>
      <c t="str" s="470" r="Z117">
        <f>IF(ISNUMBER(S117),(Q117-S117),NA())</f>
        <v>#N/A:explicit</v>
      </c>
      <c t="str" s="470" r="AA117">
        <f>IF(ISNUMBER(T117),IF((AH$22=1),(Z117+T117),(Q117-T117)),NA())</f>
        <v>#N/A:explicit</v>
      </c>
      <c t="str" s="470" r="AB117">
        <f>IF(ISNUMBER(U117),(Q117-U117),NA())</f>
        <v>#N/A:explicit</v>
      </c>
      <c t="str" s="470" r="AC117">
        <f>IF(ISNUMBER(V117),(Q117-V117),NA())</f>
        <v>#N/A:explicit</v>
      </c>
      <c t="str" s="470" r="AD117">
        <f>IF(ISNUMBER(W117),(Q117-W117),NA())</f>
        <v>#N/A:explicit</v>
      </c>
      <c t="str" s="470" r="AE117">
        <f>IF(ISNUMBER(X117),(Q117-X117),NA())</f>
        <v>#N/A:explicit</v>
      </c>
      <c t="str" s="552" r="AF117">
        <f>IF(ISNUMBER(Z117),Z117,"---")</f>
        <v>---</v>
      </c>
      <c s="142" r="AG117"/>
      <c t="str" s="142" r="AH117">
        <f>IF(ISBLANK(L117),NA(),MIN(AF$44:AF$361))</f>
        <v>#N/A:explicit</v>
      </c>
      <c t="str" s="142" r="AI117">
        <f>IF(ISNA(AA117),Z117,AA117)</f>
        <v>#N/A:explicit</v>
      </c>
      <c s="142" r="AJ117">
        <f>MIN(AF$44:AF$361)</f>
        <v>0</v>
      </c>
      <c s="142" r="AK117"/>
      <c t="str" s="142" r="AL117">
        <f>IF(ISNUMBER(AB117),O117,"---")</f>
        <v>---</v>
      </c>
      <c t="str" s="80" r="AM117">
        <f>IF(ISNUMBER(AB117),AB117,"---")</f>
        <v>---</v>
      </c>
      <c s="80" r="AN117"/>
      <c t="str" s="142" r="AO117">
        <f>IF((M117="r"),Z117,NA())</f>
        <v>#N/A:explicit</v>
      </c>
      <c t="str" s="142" r="AP117">
        <f>IF((M117="p"),Z117,NA())</f>
        <v>#N/A:explicit</v>
      </c>
      <c t="str" s="142" r="AQ117">
        <f>IF((M117="n"),Z117,NA())</f>
        <v>#N/A:explicit</v>
      </c>
      <c t="str" s="142" r="AR117">
        <f>IF((M117="g"),Z117,NA())</f>
        <v>#N/A:explicit</v>
      </c>
      <c s="142" r="AS117"/>
      <c t="str" s="142" r="AT117">
        <f>IF((COUNTA($M117:$M$361)=0),"---",IF(AND(($M117="r"),(COUNTA($M118:$M$361)&gt;0)),(MAX(AT$44:AT116)+1),IF(OR(($M116="p"),($M116="n"),($M116="g")),"---",AT116)))</f>
        <v>---</v>
      </c>
      <c t="str" s="142" r="AU117">
        <f>IF((COUNTA($M117:$M$361)=0),"---",IF(AND(($M117="p"),(COUNTA($M118:$M$361)&gt;0)),(MAX(AU$44:AU116)+1),IF(OR(($M116="r"),($M116="n"),($M116="g")),"---",AU116)))</f>
        <v>---</v>
      </c>
      <c t="str" s="142" r="AV117">
        <f>IF((COUNTA($M117:$M$361)=0),"---",IF(AND(($M117="n"),(COUNTA($M118:$M$361)&gt;0)),(MAX(AV$44:AV116)+1),IF(OR(($M116="r"),($M116="p"),($M116="g")),"---",AV116)))</f>
        <v>---</v>
      </c>
      <c t="str" s="142" r="AW117">
        <f>IF((COUNTA($M117:$M$361)=0),"---",IF(AND(($M117="g"),(COUNTA($M118:$M$361)&gt;0)),(MAX(AW$44:AW116)+1),IF(OR(($M116="r"),($M116="p"),($M116="n")),"---",AW116)))</f>
        <v>---</v>
      </c>
      <c s="676" r="AX117">
        <f>IF((M117="p"),(1+MAX(AX$44:AX116)),0)</f>
        <v>0</v>
      </c>
      <c s="51" r="AY117"/>
      <c s="761" r="AZ117"/>
      <c s="761" r="BA117"/>
      <c s="125" r="BB117"/>
      <c s="125" r="BC117"/>
      <c s="125" r="BD117"/>
      <c s="125" r="BE117"/>
      <c s="125" r="BF117"/>
      <c s="125" r="BG117"/>
      <c s="125" r="BH117"/>
      <c s="125" r="BI117"/>
    </row>
    <row r="118">
      <c s="125" r="A118"/>
      <c s="125" r="B118"/>
      <c s="125" r="C118"/>
      <c s="125" r="D118"/>
      <c s="125" r="E118"/>
      <c s="125" r="F118"/>
      <c s="125" r="G118"/>
      <c s="125" r="H118"/>
      <c s="125" r="I118"/>
      <c s="822" r="J118"/>
      <c s="848" r="K118"/>
      <c s="550" r="L118"/>
      <c s="104" r="M118"/>
      <c s="550" r="N118"/>
      <c t="str" s="589" r="O118">
        <f>IF((AH$28=2),IF(ISBLANK(N118),O117,N118),IF(ISNUMBER(N118),(MAX(O$44:O117)+N118),O117))</f>
        <v/>
      </c>
      <c s="694" r="P118"/>
      <c s="273" r="Q118">
        <f>IF(ISNUMBER(P118),((Q117+P118)-R117),Q117)</f>
        <v>100</v>
      </c>
      <c s="694" r="R118"/>
      <c s="821" r="S118"/>
      <c s="550" r="T118"/>
      <c s="550" r="U118"/>
      <c s="550" r="V118"/>
      <c s="550" r="W118"/>
      <c s="550" r="X118"/>
      <c s="550" r="Y118"/>
      <c t="str" s="470" r="Z118">
        <f>IF(ISNUMBER(S118),(Q118-S118),NA())</f>
        <v>#N/A:explicit</v>
      </c>
      <c t="str" s="470" r="AA118">
        <f>IF(ISNUMBER(T118),IF((AH$22=1),(Z118+T118),(Q118-T118)),NA())</f>
        <v>#N/A:explicit</v>
      </c>
      <c t="str" s="470" r="AB118">
        <f>IF(ISNUMBER(U118),(Q118-U118),NA())</f>
        <v>#N/A:explicit</v>
      </c>
      <c t="str" s="470" r="AC118">
        <f>IF(ISNUMBER(V118),(Q118-V118),NA())</f>
        <v>#N/A:explicit</v>
      </c>
      <c t="str" s="470" r="AD118">
        <f>IF(ISNUMBER(W118),(Q118-W118),NA())</f>
        <v>#N/A:explicit</v>
      </c>
      <c t="str" s="470" r="AE118">
        <f>IF(ISNUMBER(X118),(Q118-X118),NA())</f>
        <v>#N/A:explicit</v>
      </c>
      <c t="str" s="552" r="AF118">
        <f>IF(ISNUMBER(Z118),Z118,"---")</f>
        <v>---</v>
      </c>
      <c s="142" r="AG118"/>
      <c t="str" s="142" r="AH118">
        <f>IF(ISBLANK(L118),NA(),MIN(AF$44:AF$361))</f>
        <v>#N/A:explicit</v>
      </c>
      <c t="str" s="142" r="AI118">
        <f>IF(ISNA(AA118),Z118,AA118)</f>
        <v>#N/A:explicit</v>
      </c>
      <c s="142" r="AJ118">
        <f>MIN(AF$44:AF$361)</f>
        <v>0</v>
      </c>
      <c s="142" r="AK118"/>
      <c t="str" s="142" r="AL118">
        <f>IF(ISNUMBER(AB118),O118,"---")</f>
        <v>---</v>
      </c>
      <c t="str" s="80" r="AM118">
        <f>IF(ISNUMBER(AB118),AB118,"---")</f>
        <v>---</v>
      </c>
      <c s="80" r="AN118"/>
      <c t="str" s="142" r="AO118">
        <f>IF((M118="r"),Z118,NA())</f>
        <v>#N/A:explicit</v>
      </c>
      <c t="str" s="142" r="AP118">
        <f>IF((M118="p"),Z118,NA())</f>
        <v>#N/A:explicit</v>
      </c>
      <c t="str" s="142" r="AQ118">
        <f>IF((M118="n"),Z118,NA())</f>
        <v>#N/A:explicit</v>
      </c>
      <c t="str" s="142" r="AR118">
        <f>IF((M118="g"),Z118,NA())</f>
        <v>#N/A:explicit</v>
      </c>
      <c s="142" r="AS118"/>
      <c t="str" s="142" r="AT118">
        <f>IF((COUNTA($M118:$M$361)=0),"---",IF(AND(($M118="r"),(COUNTA($M119:$M$361)&gt;0)),(MAX(AT$44:AT117)+1),IF(OR(($M117="p"),($M117="n"),($M117="g")),"---",AT117)))</f>
        <v>---</v>
      </c>
      <c t="str" s="142" r="AU118">
        <f>IF((COUNTA($M118:$M$361)=0),"---",IF(AND(($M118="p"),(COUNTA($M119:$M$361)&gt;0)),(MAX(AU$44:AU117)+1),IF(OR(($M117="r"),($M117="n"),($M117="g")),"---",AU117)))</f>
        <v>---</v>
      </c>
      <c t="str" s="142" r="AV118">
        <f>IF((COUNTA($M118:$M$361)=0),"---",IF(AND(($M118="n"),(COUNTA($M119:$M$361)&gt;0)),(MAX(AV$44:AV117)+1),IF(OR(($M117="r"),($M117="p"),($M117="g")),"---",AV117)))</f>
        <v>---</v>
      </c>
      <c t="str" s="142" r="AW118">
        <f>IF((COUNTA($M118:$M$361)=0),"---",IF(AND(($M118="g"),(COUNTA($M119:$M$361)&gt;0)),(MAX(AW$44:AW117)+1),IF(OR(($M117="r"),($M117="p"),($M117="n")),"---",AW117)))</f>
        <v>---</v>
      </c>
      <c s="676" r="AX118">
        <f>IF((M118="p"),(1+MAX(AX$44:AX117)),0)</f>
        <v>0</v>
      </c>
      <c s="51" r="AY118"/>
      <c s="761" r="AZ118"/>
      <c s="761" r="BA118"/>
      <c s="125" r="BB118"/>
      <c s="125" r="BC118"/>
      <c s="125" r="BD118"/>
      <c s="125" r="BE118"/>
      <c s="125" r="BF118"/>
      <c s="125" r="BG118"/>
      <c s="125" r="BH118"/>
      <c s="125" r="BI118"/>
    </row>
    <row r="119">
      <c s="125" r="A119"/>
      <c s="125" r="B119"/>
      <c s="125" r="C119"/>
      <c s="125" r="D119"/>
      <c s="125" r="E119"/>
      <c s="125" r="F119"/>
      <c s="125" r="G119"/>
      <c s="125" r="H119"/>
      <c s="125" r="I119"/>
      <c s="822" r="J119"/>
      <c s="848" r="K119"/>
      <c s="550" r="L119"/>
      <c s="104" r="M119"/>
      <c s="550" r="N119"/>
      <c t="str" s="589" r="O119">
        <f>IF((AH$28=2),IF(ISBLANK(N119),O118,N119),IF(ISNUMBER(N119),(MAX(O$44:O118)+N119),O118))</f>
        <v/>
      </c>
      <c s="694" r="P119"/>
      <c s="273" r="Q119">
        <f>IF(ISNUMBER(P119),((Q118+P119)-R118),Q118)</f>
        <v>100</v>
      </c>
      <c s="694" r="R119"/>
      <c s="821" r="S119"/>
      <c s="550" r="T119"/>
      <c s="550" r="U119"/>
      <c s="550" r="V119"/>
      <c s="550" r="W119"/>
      <c s="550" r="X119"/>
      <c s="550" r="Y119"/>
      <c t="str" s="470" r="Z119">
        <f>IF(ISNUMBER(S119),(Q119-S119),NA())</f>
        <v>#N/A:explicit</v>
      </c>
      <c t="str" s="470" r="AA119">
        <f>IF(ISNUMBER(T119),IF((AH$22=1),(Z119+T119),(Q119-T119)),NA())</f>
        <v>#N/A:explicit</v>
      </c>
      <c t="str" s="470" r="AB119">
        <f>IF(ISNUMBER(U119),(Q119-U119),NA())</f>
        <v>#N/A:explicit</v>
      </c>
      <c t="str" s="470" r="AC119">
        <f>IF(ISNUMBER(V119),(Q119-V119),NA())</f>
        <v>#N/A:explicit</v>
      </c>
      <c t="str" s="470" r="AD119">
        <f>IF(ISNUMBER(W119),(Q119-W119),NA())</f>
        <v>#N/A:explicit</v>
      </c>
      <c t="str" s="470" r="AE119">
        <f>IF(ISNUMBER(X119),(Q119-X119),NA())</f>
        <v>#N/A:explicit</v>
      </c>
      <c t="str" s="552" r="AF119">
        <f>IF(ISNUMBER(Z119),Z119,"---")</f>
        <v>---</v>
      </c>
      <c s="142" r="AG119"/>
      <c t="str" s="142" r="AH119">
        <f>IF(ISBLANK(L119),NA(),MIN(AF$44:AF$361))</f>
        <v>#N/A:explicit</v>
      </c>
      <c t="str" s="142" r="AI119">
        <f>IF(ISNA(AA119),Z119,AA119)</f>
        <v>#N/A:explicit</v>
      </c>
      <c s="142" r="AJ119">
        <f>MIN(AF$44:AF$361)</f>
        <v>0</v>
      </c>
      <c s="142" r="AK119"/>
      <c t="str" s="142" r="AL119">
        <f>IF(ISNUMBER(AB119),O119,"---")</f>
        <v>---</v>
      </c>
      <c t="str" s="80" r="AM119">
        <f>IF(ISNUMBER(AB119),AB119,"---")</f>
        <v>---</v>
      </c>
      <c s="80" r="AN119"/>
      <c t="str" s="142" r="AO119">
        <f>IF((M119="r"),Z119,NA())</f>
        <v>#N/A:explicit</v>
      </c>
      <c t="str" s="142" r="AP119">
        <f>IF((M119="p"),Z119,NA())</f>
        <v>#N/A:explicit</v>
      </c>
      <c t="str" s="142" r="AQ119">
        <f>IF((M119="n"),Z119,NA())</f>
        <v>#N/A:explicit</v>
      </c>
      <c t="str" s="142" r="AR119">
        <f>IF((M119="g"),Z119,NA())</f>
        <v>#N/A:explicit</v>
      </c>
      <c s="142" r="AS119"/>
      <c t="str" s="142" r="AT119">
        <f>IF((COUNTA($M119:$M$361)=0),"---",IF(AND(($M119="r"),(COUNTA($M120:$M$361)&gt;0)),(MAX(AT$44:AT118)+1),IF(OR(($M118="p"),($M118="n"),($M118="g")),"---",AT118)))</f>
        <v>---</v>
      </c>
      <c t="str" s="142" r="AU119">
        <f>IF((COUNTA($M119:$M$361)=0),"---",IF(AND(($M119="p"),(COUNTA($M120:$M$361)&gt;0)),(MAX(AU$44:AU118)+1),IF(OR(($M118="r"),($M118="n"),($M118="g")),"---",AU118)))</f>
        <v>---</v>
      </c>
      <c t="str" s="142" r="AV119">
        <f>IF((COUNTA($M119:$M$361)=0),"---",IF(AND(($M119="n"),(COUNTA($M120:$M$361)&gt;0)),(MAX(AV$44:AV118)+1),IF(OR(($M118="r"),($M118="p"),($M118="g")),"---",AV118)))</f>
        <v>---</v>
      </c>
      <c t="str" s="142" r="AW119">
        <f>IF((COUNTA($M119:$M$361)=0),"---",IF(AND(($M119="g"),(COUNTA($M120:$M$361)&gt;0)),(MAX(AW$44:AW118)+1),IF(OR(($M118="r"),($M118="p"),($M118="n")),"---",AW118)))</f>
        <v>---</v>
      </c>
      <c s="676" r="AX119">
        <f>IF((M119="p"),(1+MAX(AX$44:AX118)),0)</f>
        <v>0</v>
      </c>
      <c s="51" r="AY119"/>
      <c s="761" r="AZ119"/>
      <c s="761" r="BA119"/>
      <c s="125" r="BB119"/>
      <c s="125" r="BC119"/>
      <c s="125" r="BD119"/>
      <c s="125" r="BE119"/>
      <c s="125" r="BF119"/>
      <c s="125" r="BG119"/>
      <c s="125" r="BH119"/>
      <c s="125" r="BI119"/>
    </row>
    <row r="120">
      <c s="125" r="A120"/>
      <c s="125" r="B120"/>
      <c s="125" r="C120"/>
      <c s="125" r="D120"/>
      <c s="125" r="E120"/>
      <c s="125" r="F120"/>
      <c s="125" r="G120"/>
      <c s="125" r="H120"/>
      <c s="125" r="I120"/>
      <c s="822" r="J120"/>
      <c s="429" r="K120"/>
      <c s="458" r="L120"/>
      <c s="104" r="M120"/>
      <c s="458" r="N120"/>
      <c t="str" s="589" r="O120">
        <f>IF((AH$28=2),IF(ISBLANK(N120),O119,N120),IF(ISNUMBER(N120),(MAX(O$44:O119)+N120),O119))</f>
        <v/>
      </c>
      <c s="228" r="P120"/>
      <c s="273" r="Q120">
        <f>IF(ISNUMBER(P120),((Q119+P120)-R119),Q119)</f>
        <v>100</v>
      </c>
      <c s="228" r="R120"/>
      <c s="610" r="S120"/>
      <c s="458" r="T120"/>
      <c s="458" r="U120"/>
      <c s="458" r="V120"/>
      <c s="458" r="W120"/>
      <c s="458" r="X120"/>
      <c s="458" r="Y120"/>
      <c t="str" s="620" r="Z120">
        <f>IF(ISNUMBER(S120),(Q120-S120),NA())</f>
        <v>#N/A:explicit</v>
      </c>
      <c t="str" s="620" r="AA120">
        <f>IF(ISNUMBER(T120),IF((AH$22=1),(Z120+T120),(Q120-T120)),NA())</f>
        <v>#N/A:explicit</v>
      </c>
      <c t="str" s="620" r="AB120">
        <f>IF(ISNUMBER(U120),(Q120-U120),NA())</f>
        <v>#N/A:explicit</v>
      </c>
      <c t="str" s="620" r="AC120">
        <f>IF(ISNUMBER(V120),(Q120-V120),NA())</f>
        <v>#N/A:explicit</v>
      </c>
      <c t="str" s="620" r="AD120">
        <f>IF(ISNUMBER(W120),(Q120-W120),NA())</f>
        <v>#N/A:explicit</v>
      </c>
      <c t="str" s="620" r="AE120">
        <f>IF(ISNUMBER(X120),(Q120-X120),NA())</f>
        <v>#N/A:explicit</v>
      </c>
      <c t="str" s="552" r="AF120">
        <f>IF(ISNUMBER(Z120),Z120,"---")</f>
        <v>---</v>
      </c>
      <c s="142" r="AG120"/>
      <c t="str" s="142" r="AH120">
        <f>IF(ISBLANK(L120),NA(),MIN(AF$44:AF$361))</f>
        <v>#N/A:explicit</v>
      </c>
      <c t="str" s="142" r="AI120">
        <f>IF(ISNA(AA120),Z120,AA120)</f>
        <v>#N/A:explicit</v>
      </c>
      <c s="142" r="AJ120">
        <f>MIN(AF$44:AF$361)</f>
        <v>0</v>
      </c>
      <c s="142" r="AK120"/>
      <c t="str" s="142" r="AL120">
        <f>IF(ISNUMBER(AB120),O120,"---")</f>
        <v>---</v>
      </c>
      <c t="str" s="80" r="AM120">
        <f>IF(ISNUMBER(AB120),AB120,"---")</f>
        <v>---</v>
      </c>
      <c s="80" r="AN120"/>
      <c t="str" s="142" r="AO120">
        <f>IF((M120="r"),Z120,NA())</f>
        <v>#N/A:explicit</v>
      </c>
      <c t="str" s="142" r="AP120">
        <f>IF((M120="p"),Z120,NA())</f>
        <v>#N/A:explicit</v>
      </c>
      <c t="str" s="142" r="AQ120">
        <f>IF((M120="n"),Z120,NA())</f>
        <v>#N/A:explicit</v>
      </c>
      <c t="str" s="142" r="AR120">
        <f>IF((M120="g"),Z120,NA())</f>
        <v>#N/A:explicit</v>
      </c>
      <c s="142" r="AS120"/>
      <c t="str" s="142" r="AT120">
        <f>IF((COUNTA($M120:$M$361)=0),"---",IF(AND(($M120="r"),(COUNTA($M121:$M$361)&gt;0)),(MAX(AT$44:AT119)+1),IF(OR(($M119="p"),($M119="n"),($M119="g")),"---",AT119)))</f>
        <v>---</v>
      </c>
      <c t="str" s="142" r="AU120">
        <f>IF((COUNTA($M120:$M$361)=0),"---",IF(AND(($M120="p"),(COUNTA($M121:$M$361)&gt;0)),(MAX(AU$44:AU119)+1),IF(OR(($M119="r"),($M119="n"),($M119="g")),"---",AU119)))</f>
        <v>---</v>
      </c>
      <c t="str" s="142" r="AV120">
        <f>IF((COUNTA($M120:$M$361)=0),"---",IF(AND(($M120="n"),(COUNTA($M121:$M$361)&gt;0)),(MAX(AV$44:AV119)+1),IF(OR(($M119="r"),($M119="p"),($M119="g")),"---",AV119)))</f>
        <v>---</v>
      </c>
      <c t="str" s="142" r="AW120">
        <f>IF((COUNTA($M120:$M$361)=0),"---",IF(AND(($M120="g"),(COUNTA($M121:$M$361)&gt;0)),(MAX(AW$44:AW119)+1),IF(OR(($M119="r"),($M119="p"),($M119="n")),"---",AW119)))</f>
        <v>---</v>
      </c>
      <c s="676" r="AX120">
        <f>IF((M120="p"),(1+MAX(AX$44:AX119)),0)</f>
        <v>0</v>
      </c>
      <c s="51" r="AY120"/>
      <c s="761" r="AZ120"/>
      <c s="761" r="BA120"/>
      <c s="125" r="BB120"/>
      <c s="125" r="BC120"/>
      <c s="125" r="BD120"/>
      <c s="125" r="BE120"/>
      <c s="125" r="BF120"/>
      <c s="125" r="BG120"/>
      <c s="125" r="BH120"/>
      <c s="125" r="BI120"/>
    </row>
    <row r="121">
      <c s="125" r="A121"/>
      <c s="125" r="B121"/>
      <c s="125" r="C121"/>
      <c s="125" r="D121"/>
      <c s="125" r="E121"/>
      <c s="125" r="F121"/>
      <c s="125" r="G121"/>
      <c s="125" r="H121"/>
      <c s="125" r="I121"/>
      <c s="822" r="J121"/>
      <c s="429" r="K121"/>
      <c s="458" r="L121"/>
      <c s="104" r="M121"/>
      <c s="458" r="N121"/>
      <c t="str" s="589" r="O121">
        <f>IF((AH$28=2),IF(ISBLANK(N121),O120,N121),IF(ISNUMBER(N121),(MAX(O$44:O120)+N121),O120))</f>
        <v/>
      </c>
      <c s="228" r="P121"/>
      <c s="273" r="Q121">
        <f>IF(ISNUMBER(P121),((Q120+P121)-R120),Q120)</f>
        <v>100</v>
      </c>
      <c s="228" r="R121"/>
      <c s="610" r="S121"/>
      <c s="458" r="T121"/>
      <c s="458" r="U121"/>
      <c s="458" r="V121"/>
      <c s="458" r="W121"/>
      <c s="458" r="X121"/>
      <c s="458" r="Y121"/>
      <c t="str" s="620" r="Z121">
        <f>IF(ISNUMBER(S121),(Q121-S121),NA())</f>
        <v>#N/A:explicit</v>
      </c>
      <c t="str" s="620" r="AA121">
        <f>IF(ISNUMBER(T121),IF((AH$22=1),(Z121+T121),(Q121-T121)),NA())</f>
        <v>#N/A:explicit</v>
      </c>
      <c t="str" s="620" r="AB121">
        <f>IF(ISNUMBER(U121),(Q121-U121),NA())</f>
        <v>#N/A:explicit</v>
      </c>
      <c t="str" s="620" r="AC121">
        <f>IF(ISNUMBER(V121),(Q121-V121),NA())</f>
        <v>#N/A:explicit</v>
      </c>
      <c t="str" s="620" r="AD121">
        <f>IF(ISNUMBER(W121),(Q121-W121),NA())</f>
        <v>#N/A:explicit</v>
      </c>
      <c t="str" s="620" r="AE121">
        <f>IF(ISNUMBER(X121),(Q121-X121),NA())</f>
        <v>#N/A:explicit</v>
      </c>
      <c t="str" s="552" r="AF121">
        <f>IF(ISNUMBER(Z121),Z121,"---")</f>
        <v>---</v>
      </c>
      <c s="142" r="AG121"/>
      <c t="str" s="142" r="AH121">
        <f>IF(ISBLANK(L121),NA(),MIN(AF$44:AF$361))</f>
        <v>#N/A:explicit</v>
      </c>
      <c t="str" s="142" r="AI121">
        <f>IF(ISNA(AA121),Z121,AA121)</f>
        <v>#N/A:explicit</v>
      </c>
      <c s="142" r="AJ121">
        <f>MIN(AF$44:AF$361)</f>
        <v>0</v>
      </c>
      <c s="142" r="AK121"/>
      <c t="str" s="142" r="AL121">
        <f>IF(ISNUMBER(AB121),O121,"---")</f>
        <v>---</v>
      </c>
      <c t="str" s="80" r="AM121">
        <f>IF(ISNUMBER(AB121),AB121,"---")</f>
        <v>---</v>
      </c>
      <c s="80" r="AN121"/>
      <c t="str" s="142" r="AO121">
        <f>IF((M121="r"),Z121,NA())</f>
        <v>#N/A:explicit</v>
      </c>
      <c t="str" s="142" r="AP121">
        <f>IF((M121="p"),Z121,NA())</f>
        <v>#N/A:explicit</v>
      </c>
      <c t="str" s="142" r="AQ121">
        <f>IF((M121="n"),Z121,NA())</f>
        <v>#N/A:explicit</v>
      </c>
      <c t="str" s="142" r="AR121">
        <f>IF((M121="g"),Z121,NA())</f>
        <v>#N/A:explicit</v>
      </c>
      <c s="142" r="AS121"/>
      <c t="str" s="142" r="AT121">
        <f>IF((COUNTA($M121:$M$361)=0),"---",IF(AND(($M121="r"),(COUNTA($M122:$M$361)&gt;0)),(MAX(AT$44:AT120)+1),IF(OR(($M120="p"),($M120="n"),($M120="g")),"---",AT120)))</f>
        <v>---</v>
      </c>
      <c t="str" s="142" r="AU121">
        <f>IF((COUNTA($M121:$M$361)=0),"---",IF(AND(($M121="p"),(COUNTA($M122:$M$361)&gt;0)),(MAX(AU$44:AU120)+1),IF(OR(($M120="r"),($M120="n"),($M120="g")),"---",AU120)))</f>
        <v>---</v>
      </c>
      <c t="str" s="142" r="AV121">
        <f>IF((COUNTA($M121:$M$361)=0),"---",IF(AND(($M121="n"),(COUNTA($M122:$M$361)&gt;0)),(MAX(AV$44:AV120)+1),IF(OR(($M120="r"),($M120="p"),($M120="g")),"---",AV120)))</f>
        <v>---</v>
      </c>
      <c t="str" s="142" r="AW121">
        <f>IF((COUNTA($M121:$M$361)=0),"---",IF(AND(($M121="g"),(COUNTA($M122:$M$361)&gt;0)),(MAX(AW$44:AW120)+1),IF(OR(($M120="r"),($M120="p"),($M120="n")),"---",AW120)))</f>
        <v>---</v>
      </c>
      <c s="676" r="AX121">
        <f>IF((M121="p"),(1+MAX(AX$44:AX120)),0)</f>
        <v>0</v>
      </c>
      <c s="51" r="AY121"/>
      <c s="761" r="AZ121"/>
      <c s="761" r="BA121"/>
      <c s="125" r="BB121"/>
      <c s="125" r="BC121"/>
      <c s="125" r="BD121"/>
      <c s="125" r="BE121"/>
      <c s="125" r="BF121"/>
      <c s="125" r="BG121"/>
      <c s="125" r="BH121"/>
      <c s="125" r="BI121"/>
    </row>
    <row r="122">
      <c s="125" r="A122"/>
      <c s="125" r="B122"/>
      <c s="125" r="C122"/>
      <c s="125" r="D122"/>
      <c s="125" r="E122"/>
      <c s="125" r="F122"/>
      <c s="125" r="G122"/>
      <c s="125" r="H122"/>
      <c s="125" r="I122"/>
      <c s="822" r="J122"/>
      <c s="429" r="K122"/>
      <c s="458" r="L122"/>
      <c s="104" r="M122"/>
      <c s="458" r="N122"/>
      <c t="str" s="589" r="O122">
        <f>IF((AH$28=2),IF(ISBLANK(N122),O121,N122),IF(ISNUMBER(N122),(MAX(O$44:O121)+N122),O121))</f>
        <v/>
      </c>
      <c s="228" r="P122"/>
      <c s="273" r="Q122">
        <f>IF(ISNUMBER(P122),((Q121+P122)-R121),Q121)</f>
        <v>100</v>
      </c>
      <c s="228" r="R122"/>
      <c s="610" r="S122"/>
      <c s="458" r="T122"/>
      <c s="458" r="U122"/>
      <c s="458" r="V122"/>
      <c s="458" r="W122"/>
      <c s="458" r="X122"/>
      <c s="458" r="Y122"/>
      <c t="str" s="620" r="Z122">
        <f>IF(ISNUMBER(S122),(Q122-S122),NA())</f>
        <v>#N/A:explicit</v>
      </c>
      <c t="str" s="620" r="AA122">
        <f>IF(ISNUMBER(T122),IF((AH$22=1),(Z122+T122),(Q122-T122)),NA())</f>
        <v>#N/A:explicit</v>
      </c>
      <c t="str" s="620" r="AB122">
        <f>IF(ISNUMBER(U122),(Q122-U122),NA())</f>
        <v>#N/A:explicit</v>
      </c>
      <c t="str" s="620" r="AC122">
        <f>IF(ISNUMBER(V122),(Q122-V122),NA())</f>
        <v>#N/A:explicit</v>
      </c>
      <c t="str" s="620" r="AD122">
        <f>IF(ISNUMBER(W122),(Q122-W122),NA())</f>
        <v>#N/A:explicit</v>
      </c>
      <c t="str" s="620" r="AE122">
        <f>IF(ISNUMBER(X122),(Q122-X122),NA())</f>
        <v>#N/A:explicit</v>
      </c>
      <c t="str" s="552" r="AF122">
        <f>IF(ISNUMBER(Z122),Z122,"---")</f>
        <v>---</v>
      </c>
      <c s="142" r="AG122"/>
      <c t="str" s="142" r="AH122">
        <f>IF(ISBLANK(L122),NA(),MIN(AF$44:AF$361))</f>
        <v>#N/A:explicit</v>
      </c>
      <c t="str" s="142" r="AI122">
        <f>IF(ISNA(AA122),Z122,AA122)</f>
        <v>#N/A:explicit</v>
      </c>
      <c s="142" r="AJ122">
        <f>MIN(AF$44:AF$361)</f>
        <v>0</v>
      </c>
      <c s="142" r="AK122"/>
      <c t="str" s="142" r="AL122">
        <f>IF(ISNUMBER(AB122),O122,"---")</f>
        <v>---</v>
      </c>
      <c t="str" s="80" r="AM122">
        <f>IF(ISNUMBER(AB122),AB122,"---")</f>
        <v>---</v>
      </c>
      <c s="80" r="AN122"/>
      <c t="str" s="142" r="AO122">
        <f>IF((M122="r"),Z122,NA())</f>
        <v>#N/A:explicit</v>
      </c>
      <c t="str" s="142" r="AP122">
        <f>IF((M122="p"),Z122,NA())</f>
        <v>#N/A:explicit</v>
      </c>
      <c t="str" s="142" r="AQ122">
        <f>IF((M122="n"),Z122,NA())</f>
        <v>#N/A:explicit</v>
      </c>
      <c t="str" s="142" r="AR122">
        <f>IF((M122="g"),Z122,NA())</f>
        <v>#N/A:explicit</v>
      </c>
      <c s="142" r="AS122"/>
      <c t="str" s="142" r="AT122">
        <f>IF((COUNTA($M122:$M$361)=0),"---",IF(AND(($M122="r"),(COUNTA($M123:$M$361)&gt;0)),(MAX(AT$44:AT121)+1),IF(OR(($M121="p"),($M121="n"),($M121="g")),"---",AT121)))</f>
        <v>---</v>
      </c>
      <c t="str" s="142" r="AU122">
        <f>IF((COUNTA($M122:$M$361)=0),"---",IF(AND(($M122="p"),(COUNTA($M123:$M$361)&gt;0)),(MAX(AU$44:AU121)+1),IF(OR(($M121="r"),($M121="n"),($M121="g")),"---",AU121)))</f>
        <v>---</v>
      </c>
      <c t="str" s="142" r="AV122">
        <f>IF((COUNTA($M122:$M$361)=0),"---",IF(AND(($M122="n"),(COUNTA($M123:$M$361)&gt;0)),(MAX(AV$44:AV121)+1),IF(OR(($M121="r"),($M121="p"),($M121="g")),"---",AV121)))</f>
        <v>---</v>
      </c>
      <c t="str" s="142" r="AW122">
        <f>IF((COUNTA($M122:$M$361)=0),"---",IF(AND(($M122="g"),(COUNTA($M123:$M$361)&gt;0)),(MAX(AW$44:AW121)+1),IF(OR(($M121="r"),($M121="p"),($M121="n")),"---",AW121)))</f>
        <v>---</v>
      </c>
      <c s="676" r="AX122">
        <f>IF((M122="p"),(1+MAX(AX$44:AX121)),0)</f>
        <v>0</v>
      </c>
      <c s="51" r="AY122"/>
      <c s="761" r="AZ122"/>
      <c s="761" r="BA122"/>
      <c s="125" r="BB122"/>
      <c s="125" r="BC122"/>
      <c s="125" r="BD122"/>
      <c s="125" r="BE122"/>
      <c s="125" r="BF122"/>
      <c s="125" r="BG122"/>
      <c s="125" r="BH122"/>
      <c s="125" r="BI122"/>
    </row>
    <row r="123">
      <c s="125" r="A123"/>
      <c s="125" r="B123"/>
      <c s="125" r="C123"/>
      <c s="125" r="D123"/>
      <c s="125" r="E123"/>
      <c s="125" r="F123"/>
      <c s="125" r="G123"/>
      <c s="125" r="H123"/>
      <c s="125" r="I123"/>
      <c s="822" r="J123"/>
      <c s="848" r="K123"/>
      <c s="550" r="L123"/>
      <c s="104" r="M123"/>
      <c s="550" r="N123"/>
      <c t="str" s="589" r="O123">
        <f>IF((AH$28=2),IF(ISBLANK(N123),O122,N123),IF(ISNUMBER(N123),(MAX(O$44:O122)+N123),O122))</f>
        <v/>
      </c>
      <c s="694" r="P123"/>
      <c s="273" r="Q123">
        <f>IF(ISNUMBER(P123),((Q122+P123)-R122),Q122)</f>
        <v>100</v>
      </c>
      <c s="694" r="R123"/>
      <c s="821" r="S123"/>
      <c s="550" r="T123"/>
      <c s="550" r="U123"/>
      <c s="550" r="V123"/>
      <c s="550" r="W123"/>
      <c s="550" r="X123"/>
      <c s="550" r="Y123"/>
      <c t="str" s="470" r="Z123">
        <f>IF(ISNUMBER(S123),(Q123-S123),NA())</f>
        <v>#N/A:explicit</v>
      </c>
      <c t="str" s="470" r="AA123">
        <f>IF(ISNUMBER(T123),IF((AH$22=1),(Z123+T123),(Q123-T123)),NA())</f>
        <v>#N/A:explicit</v>
      </c>
      <c t="str" s="470" r="AB123">
        <f>IF(ISNUMBER(U123),(Q123-U123),NA())</f>
        <v>#N/A:explicit</v>
      </c>
      <c t="str" s="470" r="AC123">
        <f>IF(ISNUMBER(V123),(Q123-V123),NA())</f>
        <v>#N/A:explicit</v>
      </c>
      <c t="str" s="470" r="AD123">
        <f>IF(ISNUMBER(W123),(Q123-W123),NA())</f>
        <v>#N/A:explicit</v>
      </c>
      <c t="str" s="470" r="AE123">
        <f>IF(ISNUMBER(X123),(Q123-X123),NA())</f>
        <v>#N/A:explicit</v>
      </c>
      <c t="str" s="552" r="AF123">
        <f>IF(ISNUMBER(Z123),Z123,"---")</f>
        <v>---</v>
      </c>
      <c s="142" r="AG123"/>
      <c t="str" s="142" r="AH123">
        <f>IF(ISBLANK(L123),NA(),MIN(AF$44:AF$361))</f>
        <v>#N/A:explicit</v>
      </c>
      <c t="str" s="142" r="AI123">
        <f>IF(ISNA(AA123),Z123,AA123)</f>
        <v>#N/A:explicit</v>
      </c>
      <c s="142" r="AJ123">
        <f>MIN(AF$44:AF$361)</f>
        <v>0</v>
      </c>
      <c s="142" r="AK123"/>
      <c t="str" s="142" r="AL123">
        <f>IF(ISNUMBER(AB123),O123,"---")</f>
        <v>---</v>
      </c>
      <c t="str" s="80" r="AM123">
        <f>IF(ISNUMBER(AB123),AB123,"---")</f>
        <v>---</v>
      </c>
      <c s="80" r="AN123"/>
      <c t="str" s="142" r="AO123">
        <f>IF((M123="r"),Z123,NA())</f>
        <v>#N/A:explicit</v>
      </c>
      <c t="str" s="142" r="AP123">
        <f>IF((M123="p"),Z123,NA())</f>
        <v>#N/A:explicit</v>
      </c>
      <c t="str" s="142" r="AQ123">
        <f>IF((M123="n"),Z123,NA())</f>
        <v>#N/A:explicit</v>
      </c>
      <c t="str" s="142" r="AR123">
        <f>IF((M123="g"),Z123,NA())</f>
        <v>#N/A:explicit</v>
      </c>
      <c s="142" r="AS123"/>
      <c t="str" s="142" r="AT123">
        <f>IF((COUNTA($M123:$M$361)=0),"---",IF(AND(($M123="r"),(COUNTA($M124:$M$361)&gt;0)),(MAX(AT$44:AT122)+1),IF(OR(($M122="p"),($M122="n"),($M122="g")),"---",AT122)))</f>
        <v>---</v>
      </c>
      <c t="str" s="142" r="AU123">
        <f>IF((COUNTA($M123:$M$361)=0),"---",IF(AND(($M123="p"),(COUNTA($M124:$M$361)&gt;0)),(MAX(AU$44:AU122)+1),IF(OR(($M122="r"),($M122="n"),($M122="g")),"---",AU122)))</f>
        <v>---</v>
      </c>
      <c t="str" s="142" r="AV123">
        <f>IF((COUNTA($M123:$M$361)=0),"---",IF(AND(($M123="n"),(COUNTA($M124:$M$361)&gt;0)),(MAX(AV$44:AV122)+1),IF(OR(($M122="r"),($M122="p"),($M122="g")),"---",AV122)))</f>
        <v>---</v>
      </c>
      <c t="str" s="142" r="AW123">
        <f>IF((COUNTA($M123:$M$361)=0),"---",IF(AND(($M123="g"),(COUNTA($M124:$M$361)&gt;0)),(MAX(AW$44:AW122)+1),IF(OR(($M122="r"),($M122="p"),($M122="n")),"---",AW122)))</f>
        <v>---</v>
      </c>
      <c s="676" r="AX123">
        <f>IF((M123="p"),(1+MAX(AX$44:AX122)),0)</f>
        <v>0</v>
      </c>
      <c s="51" r="AY123"/>
      <c s="761" r="AZ123"/>
      <c s="761" r="BA123"/>
      <c s="125" r="BB123"/>
      <c s="125" r="BC123"/>
      <c s="125" r="BD123"/>
      <c s="125" r="BE123"/>
      <c s="125" r="BF123"/>
      <c s="125" r="BG123"/>
      <c s="125" r="BH123"/>
      <c s="125" r="BI123"/>
    </row>
    <row r="124">
      <c s="125" r="A124"/>
      <c s="125" r="B124"/>
      <c s="125" r="C124"/>
      <c s="125" r="D124"/>
      <c s="125" r="E124"/>
      <c s="125" r="F124"/>
      <c s="125" r="G124"/>
      <c s="125" r="H124"/>
      <c s="125" r="I124"/>
      <c s="822" r="J124"/>
      <c s="848" r="K124"/>
      <c s="550" r="L124"/>
      <c s="104" r="M124"/>
      <c s="550" r="N124"/>
      <c t="str" s="589" r="O124">
        <f>IF((AH$28=2),IF(ISBLANK(N124),O123,N124),IF(ISNUMBER(N124),(MAX(O$44:O123)+N124),O123))</f>
        <v/>
      </c>
      <c s="694" r="P124"/>
      <c s="273" r="Q124">
        <f>IF(ISNUMBER(P124),((Q123+P124)-R123),Q123)</f>
        <v>100</v>
      </c>
      <c s="694" r="R124"/>
      <c s="821" r="S124"/>
      <c s="550" r="T124"/>
      <c s="550" r="U124"/>
      <c s="550" r="V124"/>
      <c s="550" r="W124"/>
      <c s="550" r="X124"/>
      <c s="550" r="Y124"/>
      <c t="str" s="470" r="Z124">
        <f>IF(ISNUMBER(S124),(Q124-S124),NA())</f>
        <v>#N/A:explicit</v>
      </c>
      <c t="str" s="470" r="AA124">
        <f>IF(ISNUMBER(T124),IF((AH$22=1),(Z124+T124),(Q124-T124)),NA())</f>
        <v>#N/A:explicit</v>
      </c>
      <c t="str" s="470" r="AB124">
        <f>IF(ISNUMBER(U124),(Q124-U124),NA())</f>
        <v>#N/A:explicit</v>
      </c>
      <c t="str" s="470" r="AC124">
        <f>IF(ISNUMBER(V124),(Q124-V124),NA())</f>
        <v>#N/A:explicit</v>
      </c>
      <c t="str" s="470" r="AD124">
        <f>IF(ISNUMBER(W124),(Q124-W124),NA())</f>
        <v>#N/A:explicit</v>
      </c>
      <c t="str" s="470" r="AE124">
        <f>IF(ISNUMBER(X124),(Q124-X124),NA())</f>
        <v>#N/A:explicit</v>
      </c>
      <c t="str" s="552" r="AF124">
        <f>IF(ISNUMBER(Z124),Z124,"---")</f>
        <v>---</v>
      </c>
      <c s="142" r="AG124"/>
      <c t="str" s="142" r="AH124">
        <f>IF(ISBLANK(L124),NA(),MIN(AF$44:AF$361))</f>
        <v>#N/A:explicit</v>
      </c>
      <c t="str" s="142" r="AI124">
        <f>IF(ISNA(AA124),Z124,AA124)</f>
        <v>#N/A:explicit</v>
      </c>
      <c s="142" r="AJ124">
        <f>MIN(AF$44:AF$361)</f>
        <v>0</v>
      </c>
      <c s="142" r="AK124"/>
      <c t="str" s="142" r="AL124">
        <f>IF(ISNUMBER(AB124),O124,"---")</f>
        <v>---</v>
      </c>
      <c t="str" s="80" r="AM124">
        <f>IF(ISNUMBER(AB124),AB124,"---")</f>
        <v>---</v>
      </c>
      <c s="80" r="AN124"/>
      <c t="str" s="142" r="AO124">
        <f>IF((M124="r"),Z124,NA())</f>
        <v>#N/A:explicit</v>
      </c>
      <c t="str" s="142" r="AP124">
        <f>IF((M124="p"),Z124,NA())</f>
        <v>#N/A:explicit</v>
      </c>
      <c t="str" s="142" r="AQ124">
        <f>IF((M124="n"),Z124,NA())</f>
        <v>#N/A:explicit</v>
      </c>
      <c t="str" s="142" r="AR124">
        <f>IF((M124="g"),Z124,NA())</f>
        <v>#N/A:explicit</v>
      </c>
      <c s="142" r="AS124"/>
      <c t="str" s="142" r="AT124">
        <f>IF((COUNTA($M124:$M$361)=0),"---",IF(AND(($M124="r"),(COUNTA($M125:$M$361)&gt;0)),(MAX(AT$44:AT123)+1),IF(OR(($M123="p"),($M123="n"),($M123="g")),"---",AT123)))</f>
        <v>---</v>
      </c>
      <c t="str" s="142" r="AU124">
        <f>IF((COUNTA($M124:$M$361)=0),"---",IF(AND(($M124="p"),(COUNTA($M125:$M$361)&gt;0)),(MAX(AU$44:AU123)+1),IF(OR(($M123="r"),($M123="n"),($M123="g")),"---",AU123)))</f>
        <v>---</v>
      </c>
      <c t="str" s="142" r="AV124">
        <f>IF((COUNTA($M124:$M$361)=0),"---",IF(AND(($M124="n"),(COUNTA($M125:$M$361)&gt;0)),(MAX(AV$44:AV123)+1),IF(OR(($M123="r"),($M123="p"),($M123="g")),"---",AV123)))</f>
        <v>---</v>
      </c>
      <c t="str" s="142" r="AW124">
        <f>IF((COUNTA($M124:$M$361)=0),"---",IF(AND(($M124="g"),(COUNTA($M125:$M$361)&gt;0)),(MAX(AW$44:AW123)+1),IF(OR(($M123="r"),($M123="p"),($M123="n")),"---",AW123)))</f>
        <v>---</v>
      </c>
      <c s="676" r="AX124">
        <f>IF((M124="p"),(1+MAX(AX$44:AX123)),0)</f>
        <v>0</v>
      </c>
      <c s="51" r="AY124"/>
      <c s="761" r="AZ124"/>
      <c s="761" r="BA124"/>
      <c s="125" r="BB124"/>
      <c s="125" r="BC124"/>
      <c s="125" r="BD124"/>
      <c s="125" r="BE124"/>
      <c s="125" r="BF124"/>
      <c s="125" r="BG124"/>
      <c s="125" r="BH124"/>
      <c s="125" r="BI124"/>
    </row>
    <row r="125">
      <c s="125" r="A125"/>
      <c s="125" r="B125"/>
      <c s="125" r="C125"/>
      <c s="125" r="D125"/>
      <c s="125" r="E125"/>
      <c s="125" r="F125"/>
      <c s="125" r="G125"/>
      <c s="125" r="H125"/>
      <c s="125" r="I125"/>
      <c s="822" r="J125"/>
      <c s="848" r="K125"/>
      <c s="550" r="L125"/>
      <c s="104" r="M125"/>
      <c s="550" r="N125"/>
      <c t="str" s="589" r="O125">
        <f>IF((AH$28=2),IF(ISBLANK(N125),O124,N125),IF(ISNUMBER(N125),(MAX(O$44:O124)+N125),O124))</f>
        <v/>
      </c>
      <c s="694" r="P125"/>
      <c s="273" r="Q125">
        <f>IF(ISNUMBER(P125),((Q124+P125)-R124),Q124)</f>
        <v>100</v>
      </c>
      <c s="694" r="R125"/>
      <c s="821" r="S125"/>
      <c s="550" r="T125"/>
      <c s="550" r="U125"/>
      <c s="550" r="V125"/>
      <c s="550" r="W125"/>
      <c s="550" r="X125"/>
      <c s="550" r="Y125"/>
      <c t="str" s="470" r="Z125">
        <f>IF(ISNUMBER(S125),(Q125-S125),NA())</f>
        <v>#N/A:explicit</v>
      </c>
      <c t="str" s="470" r="AA125">
        <f>IF(ISNUMBER(T125),IF((AH$22=1),(Z125+T125),(Q125-T125)),NA())</f>
        <v>#N/A:explicit</v>
      </c>
      <c t="str" s="470" r="AB125">
        <f>IF(ISNUMBER(U125),(Q125-U125),NA())</f>
        <v>#N/A:explicit</v>
      </c>
      <c t="str" s="470" r="AC125">
        <f>IF(ISNUMBER(V125),(Q125-V125),NA())</f>
        <v>#N/A:explicit</v>
      </c>
      <c t="str" s="470" r="AD125">
        <f>IF(ISNUMBER(W125),(Q125-W125),NA())</f>
        <v>#N/A:explicit</v>
      </c>
      <c t="str" s="470" r="AE125">
        <f>IF(ISNUMBER(X125),(Q125-X125),NA())</f>
        <v>#N/A:explicit</v>
      </c>
      <c t="str" s="552" r="AF125">
        <f>IF(ISNUMBER(Z125),Z125,"---")</f>
        <v>---</v>
      </c>
      <c s="142" r="AG125"/>
      <c t="str" s="142" r="AH125">
        <f>IF(ISBLANK(L125),NA(),MIN(AF$44:AF$361))</f>
        <v>#N/A:explicit</v>
      </c>
      <c t="str" s="142" r="AI125">
        <f>IF(ISNA(AA125),Z125,AA125)</f>
        <v>#N/A:explicit</v>
      </c>
      <c s="142" r="AJ125">
        <f>MIN(AF$44:AF$361)</f>
        <v>0</v>
      </c>
      <c s="142" r="AK125"/>
      <c t="str" s="142" r="AL125">
        <f>IF(ISNUMBER(AB125),O125,"---")</f>
        <v>---</v>
      </c>
      <c t="str" s="80" r="AM125">
        <f>IF(ISNUMBER(AB125),AB125,"---")</f>
        <v>---</v>
      </c>
      <c s="80" r="AN125"/>
      <c t="str" s="142" r="AO125">
        <f>IF((M125="r"),Z125,NA())</f>
        <v>#N/A:explicit</v>
      </c>
      <c t="str" s="142" r="AP125">
        <f>IF((M125="p"),Z125,NA())</f>
        <v>#N/A:explicit</v>
      </c>
      <c t="str" s="142" r="AQ125">
        <f>IF((M125="n"),Z125,NA())</f>
        <v>#N/A:explicit</v>
      </c>
      <c t="str" s="142" r="AR125">
        <f>IF((M125="g"),Z125,NA())</f>
        <v>#N/A:explicit</v>
      </c>
      <c s="142" r="AS125"/>
      <c t="str" s="142" r="AT125">
        <f>IF((COUNTA($M125:$M$361)=0),"---",IF(AND(($M125="r"),(COUNTA($M126:$M$361)&gt;0)),(MAX(AT$44:AT124)+1),IF(OR(($M124="p"),($M124="n"),($M124="g")),"---",AT124)))</f>
        <v>---</v>
      </c>
      <c t="str" s="142" r="AU125">
        <f>IF((COUNTA($M125:$M$361)=0),"---",IF(AND(($M125="p"),(COUNTA($M126:$M$361)&gt;0)),(MAX(AU$44:AU124)+1),IF(OR(($M124="r"),($M124="n"),($M124="g")),"---",AU124)))</f>
        <v>---</v>
      </c>
      <c t="str" s="142" r="AV125">
        <f>IF((COUNTA($M125:$M$361)=0),"---",IF(AND(($M125="n"),(COUNTA($M126:$M$361)&gt;0)),(MAX(AV$44:AV124)+1),IF(OR(($M124="r"),($M124="p"),($M124="g")),"---",AV124)))</f>
        <v>---</v>
      </c>
      <c t="str" s="142" r="AW125">
        <f>IF((COUNTA($M125:$M$361)=0),"---",IF(AND(($M125="g"),(COUNTA($M126:$M$361)&gt;0)),(MAX(AW$44:AW124)+1),IF(OR(($M124="r"),($M124="p"),($M124="n")),"---",AW124)))</f>
        <v>---</v>
      </c>
      <c s="676" r="AX125">
        <f>IF((M125="p"),(1+MAX(AX$44:AX124)),0)</f>
        <v>0</v>
      </c>
      <c s="51" r="AY125"/>
      <c s="761" r="AZ125"/>
      <c s="761" r="BA125"/>
      <c s="125" r="BB125"/>
      <c s="125" r="BC125"/>
      <c s="125" r="BD125"/>
      <c s="125" r="BE125"/>
      <c s="125" r="BF125"/>
      <c s="125" r="BG125"/>
      <c s="125" r="BH125"/>
      <c s="125" r="BI125"/>
    </row>
    <row r="126">
      <c s="125" r="A126"/>
      <c s="125" r="B126"/>
      <c s="125" r="C126"/>
      <c s="125" r="D126"/>
      <c s="125" r="E126"/>
      <c s="125" r="F126"/>
      <c s="125" r="G126"/>
      <c s="125" r="H126"/>
      <c s="125" r="I126"/>
      <c s="822" r="J126"/>
      <c s="429" r="K126"/>
      <c s="458" r="L126"/>
      <c s="104" r="M126"/>
      <c s="458" r="N126"/>
      <c t="str" s="589" r="O126">
        <f>IF((AH$28=2),IF(ISBLANK(N126),O125,N126),IF(ISNUMBER(N126),(MAX(O$44:O125)+N126),O125))</f>
        <v/>
      </c>
      <c s="228" r="P126"/>
      <c s="273" r="Q126">
        <f>IF(ISNUMBER(P126),((Q125+P126)-R125),Q125)</f>
        <v>100</v>
      </c>
      <c s="228" r="R126"/>
      <c s="610" r="S126"/>
      <c s="458" r="T126"/>
      <c s="458" r="U126"/>
      <c s="458" r="V126"/>
      <c s="458" r="W126"/>
      <c s="458" r="X126"/>
      <c s="458" r="Y126"/>
      <c t="str" s="620" r="Z126">
        <f>IF(ISNUMBER(S126),(Q126-S126),NA())</f>
        <v>#N/A:explicit</v>
      </c>
      <c t="str" s="620" r="AA126">
        <f>IF(ISNUMBER(T126),IF((AH$22=1),(Z126+T126),(Q126-T126)),NA())</f>
        <v>#N/A:explicit</v>
      </c>
      <c t="str" s="620" r="AB126">
        <f>IF(ISNUMBER(U126),(Q126-U126),NA())</f>
        <v>#N/A:explicit</v>
      </c>
      <c t="str" s="620" r="AC126">
        <f>IF(ISNUMBER(V126),(Q126-V126),NA())</f>
        <v>#N/A:explicit</v>
      </c>
      <c t="str" s="620" r="AD126">
        <f>IF(ISNUMBER(W126),(Q126-W126),NA())</f>
        <v>#N/A:explicit</v>
      </c>
      <c t="str" s="620" r="AE126">
        <f>IF(ISNUMBER(X126),(Q126-X126),NA())</f>
        <v>#N/A:explicit</v>
      </c>
      <c t="str" s="552" r="AF126">
        <f>IF(ISNUMBER(Z126),Z126,"---")</f>
        <v>---</v>
      </c>
      <c s="142" r="AG126"/>
      <c t="str" s="142" r="AH126">
        <f>IF(ISBLANK(L126),NA(),MIN(AF$44:AF$361))</f>
        <v>#N/A:explicit</v>
      </c>
      <c t="str" s="142" r="AI126">
        <f>IF(ISNA(AA126),Z126,AA126)</f>
        <v>#N/A:explicit</v>
      </c>
      <c s="142" r="AJ126">
        <f>MIN(AF$44:AF$361)</f>
        <v>0</v>
      </c>
      <c s="142" r="AK126"/>
      <c t="str" s="142" r="AL126">
        <f>IF(ISNUMBER(AB126),O126,"---")</f>
        <v>---</v>
      </c>
      <c t="str" s="80" r="AM126">
        <f>IF(ISNUMBER(AB126),AB126,"---")</f>
        <v>---</v>
      </c>
      <c s="80" r="AN126"/>
      <c t="str" s="142" r="AO126">
        <f>IF((M126="r"),Z126,NA())</f>
        <v>#N/A:explicit</v>
      </c>
      <c t="str" s="142" r="AP126">
        <f>IF((M126="p"),Z126,NA())</f>
        <v>#N/A:explicit</v>
      </c>
      <c t="str" s="142" r="AQ126">
        <f>IF((M126="n"),Z126,NA())</f>
        <v>#N/A:explicit</v>
      </c>
      <c t="str" s="142" r="AR126">
        <f>IF((M126="g"),Z126,NA())</f>
        <v>#N/A:explicit</v>
      </c>
      <c s="142" r="AS126"/>
      <c t="str" s="142" r="AT126">
        <f>IF((COUNTA($M126:$M$361)=0),"---",IF(AND(($M126="r"),(COUNTA($M127:$M$361)&gt;0)),(MAX(AT$44:AT125)+1),IF(OR(($M125="p"),($M125="n"),($M125="g")),"---",AT125)))</f>
        <v>---</v>
      </c>
      <c t="str" s="142" r="AU126">
        <f>IF((COUNTA($M126:$M$361)=0),"---",IF(AND(($M126="p"),(COUNTA($M127:$M$361)&gt;0)),(MAX(AU$44:AU125)+1),IF(OR(($M125="r"),($M125="n"),($M125="g")),"---",AU125)))</f>
        <v>---</v>
      </c>
      <c t="str" s="142" r="AV126">
        <f>IF((COUNTA($M126:$M$361)=0),"---",IF(AND(($M126="n"),(COUNTA($M127:$M$361)&gt;0)),(MAX(AV$44:AV125)+1),IF(OR(($M125="r"),($M125="p"),($M125="g")),"---",AV125)))</f>
        <v>---</v>
      </c>
      <c t="str" s="142" r="AW126">
        <f>IF((COUNTA($M126:$M$361)=0),"---",IF(AND(($M126="g"),(COUNTA($M127:$M$361)&gt;0)),(MAX(AW$44:AW125)+1),IF(OR(($M125="r"),($M125="p"),($M125="n")),"---",AW125)))</f>
        <v>---</v>
      </c>
      <c s="676" r="AX126">
        <f>IF((M126="p"),(1+MAX(AX$44:AX125)),0)</f>
        <v>0</v>
      </c>
      <c s="51" r="AY126"/>
      <c s="761" r="AZ126"/>
      <c s="761" r="BA126"/>
      <c s="125" r="BB126"/>
      <c s="125" r="BC126"/>
      <c s="125" r="BD126"/>
      <c s="125" r="BE126"/>
      <c s="125" r="BF126"/>
      <c s="125" r="BG126"/>
      <c s="125" r="BH126"/>
      <c s="125" r="BI126"/>
    </row>
    <row r="127">
      <c s="125" r="A127"/>
      <c s="125" r="B127"/>
      <c s="125" r="C127"/>
      <c s="125" r="D127"/>
      <c s="125" r="E127"/>
      <c s="125" r="F127"/>
      <c s="125" r="G127"/>
      <c s="125" r="H127"/>
      <c s="125" r="I127"/>
      <c s="822" r="J127"/>
      <c s="429" r="K127"/>
      <c s="458" r="L127"/>
      <c s="104" r="M127"/>
      <c s="458" r="N127"/>
      <c t="str" s="589" r="O127">
        <f>IF((AH$28=2),IF(ISBLANK(N127),O126,N127),IF(ISNUMBER(N127),(MAX(O$44:O126)+N127),O126))</f>
        <v/>
      </c>
      <c s="228" r="P127"/>
      <c s="273" r="Q127">
        <f>IF(ISNUMBER(P127),((Q126+P127)-R126),Q126)</f>
        <v>100</v>
      </c>
      <c s="228" r="R127"/>
      <c s="610" r="S127"/>
      <c s="458" r="T127"/>
      <c s="458" r="U127"/>
      <c s="458" r="V127"/>
      <c s="458" r="W127"/>
      <c s="458" r="X127"/>
      <c s="458" r="Y127"/>
      <c t="str" s="620" r="Z127">
        <f>IF(ISNUMBER(S127),(Q127-S127),NA())</f>
        <v>#N/A:explicit</v>
      </c>
      <c t="str" s="620" r="AA127">
        <f>IF(ISNUMBER(T127),IF((AH$22=1),(Z127+T127),(Q127-T127)),NA())</f>
        <v>#N/A:explicit</v>
      </c>
      <c t="str" s="620" r="AB127">
        <f>IF(ISNUMBER(U127),(Q127-U127),NA())</f>
        <v>#N/A:explicit</v>
      </c>
      <c t="str" s="620" r="AC127">
        <f>IF(ISNUMBER(V127),(Q127-V127),NA())</f>
        <v>#N/A:explicit</v>
      </c>
      <c t="str" s="620" r="AD127">
        <f>IF(ISNUMBER(W127),(Q127-W127),NA())</f>
        <v>#N/A:explicit</v>
      </c>
      <c t="str" s="620" r="AE127">
        <f>IF(ISNUMBER(X127),(Q127-X127),NA())</f>
        <v>#N/A:explicit</v>
      </c>
      <c t="str" s="552" r="AF127">
        <f>IF(ISNUMBER(Z127),Z127,"---")</f>
        <v>---</v>
      </c>
      <c s="142" r="AG127"/>
      <c t="str" s="142" r="AH127">
        <f>IF(ISBLANK(L127),NA(),MIN(AF$44:AF$361))</f>
        <v>#N/A:explicit</v>
      </c>
      <c t="str" s="142" r="AI127">
        <f>IF(ISNA(AA127),Z127,AA127)</f>
        <v>#N/A:explicit</v>
      </c>
      <c s="142" r="AJ127">
        <f>MIN(AF$44:AF$361)</f>
        <v>0</v>
      </c>
      <c s="142" r="AK127"/>
      <c t="str" s="142" r="AL127">
        <f>IF(ISNUMBER(AB127),O127,"---")</f>
        <v>---</v>
      </c>
      <c t="str" s="80" r="AM127">
        <f>IF(ISNUMBER(AB127),AB127,"---")</f>
        <v>---</v>
      </c>
      <c s="80" r="AN127"/>
      <c t="str" s="142" r="AO127">
        <f>IF((M127="r"),Z127,NA())</f>
        <v>#N/A:explicit</v>
      </c>
      <c t="str" s="142" r="AP127">
        <f>IF((M127="p"),Z127,NA())</f>
        <v>#N/A:explicit</v>
      </c>
      <c t="str" s="142" r="AQ127">
        <f>IF((M127="n"),Z127,NA())</f>
        <v>#N/A:explicit</v>
      </c>
      <c t="str" s="142" r="AR127">
        <f>IF((M127="g"),Z127,NA())</f>
        <v>#N/A:explicit</v>
      </c>
      <c s="142" r="AS127"/>
      <c t="str" s="142" r="AT127">
        <f>IF((COUNTA($M127:$M$361)=0),"---",IF(AND(($M127="r"),(COUNTA($M128:$M$361)&gt;0)),(MAX(AT$44:AT126)+1),IF(OR(($M126="p"),($M126="n"),($M126="g")),"---",AT126)))</f>
        <v>---</v>
      </c>
      <c t="str" s="142" r="AU127">
        <f>IF((COUNTA($M127:$M$361)=0),"---",IF(AND(($M127="p"),(COUNTA($M128:$M$361)&gt;0)),(MAX(AU$44:AU126)+1),IF(OR(($M126="r"),($M126="n"),($M126="g")),"---",AU126)))</f>
        <v>---</v>
      </c>
      <c t="str" s="142" r="AV127">
        <f>IF((COUNTA($M127:$M$361)=0),"---",IF(AND(($M127="n"),(COUNTA($M128:$M$361)&gt;0)),(MAX(AV$44:AV126)+1),IF(OR(($M126="r"),($M126="p"),($M126="g")),"---",AV126)))</f>
        <v>---</v>
      </c>
      <c t="str" s="142" r="AW127">
        <f>IF((COUNTA($M127:$M$361)=0),"---",IF(AND(($M127="g"),(COUNTA($M128:$M$361)&gt;0)),(MAX(AW$44:AW126)+1),IF(OR(($M126="r"),($M126="p"),($M126="n")),"---",AW126)))</f>
        <v>---</v>
      </c>
      <c s="676" r="AX127">
        <f>IF((M127="p"),(1+MAX(AX$44:AX126)),0)</f>
        <v>0</v>
      </c>
      <c s="51" r="AY127"/>
      <c s="761" r="AZ127"/>
      <c s="761" r="BA127"/>
      <c s="125" r="BB127"/>
      <c s="125" r="BC127"/>
      <c s="125" r="BD127"/>
      <c s="125" r="BE127"/>
      <c s="125" r="BF127"/>
      <c s="125" r="BG127"/>
      <c s="125" r="BH127"/>
      <c s="125" r="BI127"/>
    </row>
    <row r="128">
      <c s="125" r="A128"/>
      <c s="125" r="B128"/>
      <c s="125" r="C128"/>
      <c s="125" r="D128"/>
      <c s="125" r="E128"/>
      <c s="125" r="F128"/>
      <c s="125" r="G128"/>
      <c s="125" r="H128"/>
      <c s="125" r="I128"/>
      <c s="822" r="J128"/>
      <c s="429" r="K128"/>
      <c s="458" r="L128"/>
      <c s="104" r="M128"/>
      <c s="458" r="N128"/>
      <c t="str" s="589" r="O128">
        <f>IF((AH$28=2),IF(ISBLANK(N128),O127,N128),IF(ISNUMBER(N128),(MAX(O$44:O127)+N128),O127))</f>
        <v/>
      </c>
      <c s="228" r="P128"/>
      <c s="273" r="Q128">
        <f>IF(ISNUMBER(P128),((Q127+P128)-R127),Q127)</f>
        <v>100</v>
      </c>
      <c s="228" r="R128"/>
      <c s="610" r="S128"/>
      <c s="458" r="T128"/>
      <c s="458" r="U128"/>
      <c s="458" r="V128"/>
      <c s="458" r="W128"/>
      <c s="458" r="X128"/>
      <c s="458" r="Y128"/>
      <c t="str" s="620" r="Z128">
        <f>IF(ISNUMBER(S128),(Q128-S128),NA())</f>
        <v>#N/A:explicit</v>
      </c>
      <c t="str" s="620" r="AA128">
        <f>IF(ISNUMBER(T128),IF((AH$22=1),(Z128+T128),(Q128-T128)),NA())</f>
        <v>#N/A:explicit</v>
      </c>
      <c t="str" s="620" r="AB128">
        <f>IF(ISNUMBER(U128),(Q128-U128),NA())</f>
        <v>#N/A:explicit</v>
      </c>
      <c t="str" s="620" r="AC128">
        <f>IF(ISNUMBER(V128),(Q128-V128),NA())</f>
        <v>#N/A:explicit</v>
      </c>
      <c t="str" s="620" r="AD128">
        <f>IF(ISNUMBER(W128),(Q128-W128),NA())</f>
        <v>#N/A:explicit</v>
      </c>
      <c t="str" s="620" r="AE128">
        <f>IF(ISNUMBER(X128),(Q128-X128),NA())</f>
        <v>#N/A:explicit</v>
      </c>
      <c t="str" s="552" r="AF128">
        <f>IF(ISNUMBER(Z128),Z128,"---")</f>
        <v>---</v>
      </c>
      <c s="142" r="AG128"/>
      <c t="str" s="142" r="AH128">
        <f>IF(ISBLANK(L128),NA(),MIN(AF$44:AF$361))</f>
        <v>#N/A:explicit</v>
      </c>
      <c t="str" s="142" r="AI128">
        <f>IF(ISNA(AA128),Z128,AA128)</f>
        <v>#N/A:explicit</v>
      </c>
      <c s="142" r="AJ128">
        <f>MIN(AF$44:AF$361)</f>
        <v>0</v>
      </c>
      <c s="142" r="AK128"/>
      <c t="str" s="142" r="AL128">
        <f>IF(ISNUMBER(AB128),O128,"---")</f>
        <v>---</v>
      </c>
      <c t="str" s="80" r="AM128">
        <f>IF(ISNUMBER(AB128),AB128,"---")</f>
        <v>---</v>
      </c>
      <c s="80" r="AN128"/>
      <c t="str" s="142" r="AO128">
        <f>IF((M128="r"),Z128,NA())</f>
        <v>#N/A:explicit</v>
      </c>
      <c t="str" s="142" r="AP128">
        <f>IF((M128="p"),Z128,NA())</f>
        <v>#N/A:explicit</v>
      </c>
      <c t="str" s="142" r="AQ128">
        <f>IF((M128="n"),Z128,NA())</f>
        <v>#N/A:explicit</v>
      </c>
      <c t="str" s="142" r="AR128">
        <f>IF((M128="g"),Z128,NA())</f>
        <v>#N/A:explicit</v>
      </c>
      <c s="142" r="AS128"/>
      <c t="str" s="142" r="AT128">
        <f>IF((COUNTA($M128:$M$361)=0),"---",IF(AND(($M128="r"),(COUNTA($M129:$M$361)&gt;0)),(MAX(AT$44:AT127)+1),IF(OR(($M127="p"),($M127="n"),($M127="g")),"---",AT127)))</f>
        <v>---</v>
      </c>
      <c t="str" s="142" r="AU128">
        <f>IF((COUNTA($M128:$M$361)=0),"---",IF(AND(($M128="p"),(COUNTA($M129:$M$361)&gt;0)),(MAX(AU$44:AU127)+1),IF(OR(($M127="r"),($M127="n"),($M127="g")),"---",AU127)))</f>
        <v>---</v>
      </c>
      <c t="str" s="142" r="AV128">
        <f>IF((COUNTA($M128:$M$361)=0),"---",IF(AND(($M128="n"),(COUNTA($M129:$M$361)&gt;0)),(MAX(AV$44:AV127)+1),IF(OR(($M127="r"),($M127="p"),($M127="g")),"---",AV127)))</f>
        <v>---</v>
      </c>
      <c t="str" s="142" r="AW128">
        <f>IF((COUNTA($M128:$M$361)=0),"---",IF(AND(($M128="g"),(COUNTA($M129:$M$361)&gt;0)),(MAX(AW$44:AW127)+1),IF(OR(($M127="r"),($M127="p"),($M127="n")),"---",AW127)))</f>
        <v>---</v>
      </c>
      <c s="676" r="AX128">
        <f>IF((M128="p"),(1+MAX(AX$44:AX127)),0)</f>
        <v>0</v>
      </c>
      <c s="51" r="AY128"/>
      <c s="761" r="AZ128"/>
      <c s="761" r="BA128"/>
      <c s="125" r="BB128"/>
      <c s="125" r="BC128"/>
      <c s="125" r="BD128"/>
      <c s="125" r="BE128"/>
      <c s="125" r="BF128"/>
      <c s="125" r="BG128"/>
      <c s="125" r="BH128"/>
      <c s="125" r="BI128"/>
    </row>
    <row r="129">
      <c s="125" r="A129"/>
      <c s="125" r="B129"/>
      <c s="125" r="C129"/>
      <c s="125" r="D129"/>
      <c s="125" r="E129"/>
      <c s="125" r="F129"/>
      <c s="125" r="G129"/>
      <c s="125" r="H129"/>
      <c s="125" r="I129"/>
      <c s="822" r="J129"/>
      <c s="848" r="K129"/>
      <c s="550" r="L129"/>
      <c s="104" r="M129"/>
      <c s="550" r="N129"/>
      <c t="str" s="589" r="O129">
        <f>IF((AH$28=2),IF(ISBLANK(N129),O128,N129),IF(ISNUMBER(N129),(MAX(O$44:O128)+N129),O128))</f>
        <v/>
      </c>
      <c s="694" r="P129"/>
      <c s="273" r="Q129">
        <f>IF(ISNUMBER(P129),((Q128+P129)-R128),Q128)</f>
        <v>100</v>
      </c>
      <c s="694" r="R129"/>
      <c s="821" r="S129"/>
      <c s="550" r="T129"/>
      <c s="550" r="U129"/>
      <c s="550" r="V129"/>
      <c s="550" r="W129"/>
      <c s="550" r="X129"/>
      <c s="550" r="Y129"/>
      <c t="str" s="470" r="Z129">
        <f>IF(ISNUMBER(S129),(Q129-S129),NA())</f>
        <v>#N/A:explicit</v>
      </c>
      <c t="str" s="470" r="AA129">
        <f>IF(ISNUMBER(T129),IF((AH$22=1),(Z129+T129),(Q129-T129)),NA())</f>
        <v>#N/A:explicit</v>
      </c>
      <c t="str" s="470" r="AB129">
        <f>IF(ISNUMBER(U129),(Q129-U129),NA())</f>
        <v>#N/A:explicit</v>
      </c>
      <c t="str" s="470" r="AC129">
        <f>IF(ISNUMBER(V129),(Q129-V129),NA())</f>
        <v>#N/A:explicit</v>
      </c>
      <c t="str" s="470" r="AD129">
        <f>IF(ISNUMBER(W129),(Q129-W129),NA())</f>
        <v>#N/A:explicit</v>
      </c>
      <c t="str" s="470" r="AE129">
        <f>IF(ISNUMBER(X129),(Q129-X129),NA())</f>
        <v>#N/A:explicit</v>
      </c>
      <c t="str" s="552" r="AF129">
        <f>IF(ISNUMBER(Z129),Z129,"---")</f>
        <v>---</v>
      </c>
      <c s="142" r="AG129"/>
      <c t="str" s="142" r="AH129">
        <f>IF(ISBLANK(L129),NA(),MIN(AF$44:AF$361))</f>
        <v>#N/A:explicit</v>
      </c>
      <c t="str" s="142" r="AI129">
        <f>IF(ISNA(AA129),Z129,AA129)</f>
        <v>#N/A:explicit</v>
      </c>
      <c s="142" r="AJ129">
        <f>MIN(AF$44:AF$361)</f>
        <v>0</v>
      </c>
      <c s="142" r="AK129"/>
      <c t="str" s="142" r="AL129">
        <f>IF(ISNUMBER(AB129),O129,"---")</f>
        <v>---</v>
      </c>
      <c t="str" s="80" r="AM129">
        <f>IF(ISNUMBER(AB129),AB129,"---")</f>
        <v>---</v>
      </c>
      <c s="80" r="AN129"/>
      <c t="str" s="142" r="AO129">
        <f>IF((M129="r"),Z129,NA())</f>
        <v>#N/A:explicit</v>
      </c>
      <c t="str" s="142" r="AP129">
        <f>IF((M129="p"),Z129,NA())</f>
        <v>#N/A:explicit</v>
      </c>
      <c t="str" s="142" r="AQ129">
        <f>IF((M129="n"),Z129,NA())</f>
        <v>#N/A:explicit</v>
      </c>
      <c t="str" s="142" r="AR129">
        <f>IF((M129="g"),Z129,NA())</f>
        <v>#N/A:explicit</v>
      </c>
      <c s="142" r="AS129"/>
      <c t="str" s="142" r="AT129">
        <f>IF((COUNTA($M129:$M$361)=0),"---",IF(AND(($M129="r"),(COUNTA($M130:$M$361)&gt;0)),(MAX(AT$44:AT128)+1),IF(OR(($M128="p"),($M128="n"),($M128="g")),"---",AT128)))</f>
        <v>---</v>
      </c>
      <c t="str" s="142" r="AU129">
        <f>IF((COUNTA($M129:$M$361)=0),"---",IF(AND(($M129="p"),(COUNTA($M130:$M$361)&gt;0)),(MAX(AU$44:AU128)+1),IF(OR(($M128="r"),($M128="n"),($M128="g")),"---",AU128)))</f>
        <v>---</v>
      </c>
      <c t="str" s="142" r="AV129">
        <f>IF((COUNTA($M129:$M$361)=0),"---",IF(AND(($M129="n"),(COUNTA($M130:$M$361)&gt;0)),(MAX(AV$44:AV128)+1),IF(OR(($M128="r"),($M128="p"),($M128="g")),"---",AV128)))</f>
        <v>---</v>
      </c>
      <c t="str" s="142" r="AW129">
        <f>IF((COUNTA($M129:$M$361)=0),"---",IF(AND(($M129="g"),(COUNTA($M130:$M$361)&gt;0)),(MAX(AW$44:AW128)+1),IF(OR(($M128="r"),($M128="p"),($M128="n")),"---",AW128)))</f>
        <v>---</v>
      </c>
      <c s="676" r="AX129">
        <f>IF((M129="p"),(1+MAX(AX$44:AX128)),0)</f>
        <v>0</v>
      </c>
      <c s="51" r="AY129"/>
      <c s="761" r="AZ129"/>
      <c s="761" r="BA129"/>
      <c s="125" r="BB129"/>
      <c s="125" r="BC129"/>
      <c s="125" r="BD129"/>
      <c s="125" r="BE129"/>
      <c s="125" r="BF129"/>
      <c s="125" r="BG129"/>
      <c s="125" r="BH129"/>
      <c s="125" r="BI129"/>
    </row>
    <row r="130">
      <c s="125" r="A130"/>
      <c s="125" r="B130"/>
      <c s="125" r="C130"/>
      <c s="125" r="D130"/>
      <c s="125" r="E130"/>
      <c s="125" r="F130"/>
      <c s="125" r="G130"/>
      <c s="125" r="H130"/>
      <c s="125" r="I130"/>
      <c s="822" r="J130"/>
      <c s="848" r="K130"/>
      <c s="550" r="L130"/>
      <c s="104" r="M130"/>
      <c s="550" r="N130"/>
      <c t="str" s="589" r="O130">
        <f>IF((AH$28=2),IF(ISBLANK(N130),O129,N130),IF(ISNUMBER(N130),(MAX(O$44:O129)+N130),O129))</f>
        <v/>
      </c>
      <c s="694" r="P130"/>
      <c s="273" r="Q130">
        <f>IF(ISNUMBER(P130),((Q129+P130)-R129),Q129)</f>
        <v>100</v>
      </c>
      <c s="694" r="R130"/>
      <c s="821" r="S130"/>
      <c s="550" r="T130"/>
      <c s="550" r="U130"/>
      <c s="550" r="V130"/>
      <c s="550" r="W130"/>
      <c s="550" r="X130"/>
      <c s="550" r="Y130"/>
      <c t="str" s="470" r="Z130">
        <f>IF(ISNUMBER(S130),(Q130-S130),NA())</f>
        <v>#N/A:explicit</v>
      </c>
      <c t="str" s="470" r="AA130">
        <f>IF(ISNUMBER(T130),IF((AH$22=1),(Z130+T130),(Q130-T130)),NA())</f>
        <v>#N/A:explicit</v>
      </c>
      <c t="str" s="470" r="AB130">
        <f>IF(ISNUMBER(U130),(Q130-U130),NA())</f>
        <v>#N/A:explicit</v>
      </c>
      <c t="str" s="470" r="AC130">
        <f>IF(ISNUMBER(V130),(Q130-V130),NA())</f>
        <v>#N/A:explicit</v>
      </c>
      <c t="str" s="470" r="AD130">
        <f>IF(ISNUMBER(W130),(Q130-W130),NA())</f>
        <v>#N/A:explicit</v>
      </c>
      <c t="str" s="470" r="AE130">
        <f>IF(ISNUMBER(X130),(Q130-X130),NA())</f>
        <v>#N/A:explicit</v>
      </c>
      <c t="str" s="552" r="AF130">
        <f>IF(ISNUMBER(Z130),Z130,"---")</f>
        <v>---</v>
      </c>
      <c s="142" r="AG130"/>
      <c t="str" s="142" r="AH130">
        <f>IF(ISBLANK(L130),NA(),MIN(AF$44:AF$361))</f>
        <v>#N/A:explicit</v>
      </c>
      <c t="str" s="142" r="AI130">
        <f>IF(ISNA(AA130),Z130,AA130)</f>
        <v>#N/A:explicit</v>
      </c>
      <c s="142" r="AJ130">
        <f>MIN(AF$44:AF$361)</f>
        <v>0</v>
      </c>
      <c s="142" r="AK130"/>
      <c t="str" s="142" r="AL130">
        <f>IF(ISNUMBER(AB130),O130,"---")</f>
        <v>---</v>
      </c>
      <c t="str" s="80" r="AM130">
        <f>IF(ISNUMBER(AB130),AB130,"---")</f>
        <v>---</v>
      </c>
      <c s="80" r="AN130"/>
      <c t="str" s="142" r="AO130">
        <f>IF((M130="r"),Z130,NA())</f>
        <v>#N/A:explicit</v>
      </c>
      <c t="str" s="142" r="AP130">
        <f>IF((M130="p"),Z130,NA())</f>
        <v>#N/A:explicit</v>
      </c>
      <c t="str" s="142" r="AQ130">
        <f>IF((M130="n"),Z130,NA())</f>
        <v>#N/A:explicit</v>
      </c>
      <c t="str" s="142" r="AR130">
        <f>IF((M130="g"),Z130,NA())</f>
        <v>#N/A:explicit</v>
      </c>
      <c s="142" r="AS130"/>
      <c t="str" s="142" r="AT130">
        <f>IF((COUNTA($M130:$M$361)=0),"---",IF(AND(($M130="r"),(COUNTA($M131:$M$361)&gt;0)),(MAX(AT$44:AT129)+1),IF(OR(($M129="p"),($M129="n"),($M129="g")),"---",AT129)))</f>
        <v>---</v>
      </c>
      <c t="str" s="142" r="AU130">
        <f>IF((COUNTA($M130:$M$361)=0),"---",IF(AND(($M130="p"),(COUNTA($M131:$M$361)&gt;0)),(MAX(AU$44:AU129)+1),IF(OR(($M129="r"),($M129="n"),($M129="g")),"---",AU129)))</f>
        <v>---</v>
      </c>
      <c t="str" s="142" r="AV130">
        <f>IF((COUNTA($M130:$M$361)=0),"---",IF(AND(($M130="n"),(COUNTA($M131:$M$361)&gt;0)),(MAX(AV$44:AV129)+1),IF(OR(($M129="r"),($M129="p"),($M129="g")),"---",AV129)))</f>
        <v>---</v>
      </c>
      <c t="str" s="142" r="AW130">
        <f>IF((COUNTA($M130:$M$361)=0),"---",IF(AND(($M130="g"),(COUNTA($M131:$M$361)&gt;0)),(MAX(AW$44:AW129)+1),IF(OR(($M129="r"),($M129="p"),($M129="n")),"---",AW129)))</f>
        <v>---</v>
      </c>
      <c s="676" r="AX130">
        <f>IF((M130="p"),(1+MAX(AX$44:AX129)),0)</f>
        <v>0</v>
      </c>
      <c s="51" r="AY130"/>
      <c s="761" r="AZ130"/>
      <c s="761" r="BA130"/>
      <c s="125" r="BB130"/>
      <c s="125" r="BC130"/>
      <c s="125" r="BD130"/>
      <c s="125" r="BE130"/>
      <c s="125" r="BF130"/>
      <c s="125" r="BG130"/>
      <c s="125" r="BH130"/>
      <c s="125" r="BI130"/>
    </row>
    <row r="131">
      <c s="125" r="A131"/>
      <c s="125" r="B131"/>
      <c s="125" r="C131"/>
      <c s="125" r="D131"/>
      <c s="125" r="E131"/>
      <c s="125" r="F131"/>
      <c s="125" r="G131"/>
      <c s="125" r="H131"/>
      <c s="125" r="I131"/>
      <c s="822" r="J131"/>
      <c s="848" r="K131"/>
      <c s="550" r="L131"/>
      <c s="104" r="M131"/>
      <c s="550" r="N131"/>
      <c t="str" s="589" r="O131">
        <f>IF((AH$28=2),IF(ISBLANK(N131),O130,N131),IF(ISNUMBER(N131),(MAX(O$44:O130)+N131),O130))</f>
        <v/>
      </c>
      <c s="694" r="P131"/>
      <c s="273" r="Q131">
        <f>IF(ISNUMBER(P131),((Q130+P131)-R130),Q130)</f>
        <v>100</v>
      </c>
      <c s="694" r="R131"/>
      <c s="821" r="S131"/>
      <c s="550" r="T131"/>
      <c s="550" r="U131"/>
      <c s="550" r="V131"/>
      <c s="550" r="W131"/>
      <c s="550" r="X131"/>
      <c s="550" r="Y131"/>
      <c t="str" s="470" r="Z131">
        <f>IF(ISNUMBER(S131),(Q131-S131),NA())</f>
        <v>#N/A:explicit</v>
      </c>
      <c t="str" s="470" r="AA131">
        <f>IF(ISNUMBER(T131),IF((AH$22=1),(Z131+T131),(Q131-T131)),NA())</f>
        <v>#N/A:explicit</v>
      </c>
      <c t="str" s="470" r="AB131">
        <f>IF(ISNUMBER(U131),(Q131-U131),NA())</f>
        <v>#N/A:explicit</v>
      </c>
      <c t="str" s="470" r="AC131">
        <f>IF(ISNUMBER(V131),(Q131-V131),NA())</f>
        <v>#N/A:explicit</v>
      </c>
      <c t="str" s="470" r="AD131">
        <f>IF(ISNUMBER(W131),(Q131-W131),NA())</f>
        <v>#N/A:explicit</v>
      </c>
      <c t="str" s="470" r="AE131">
        <f>IF(ISNUMBER(X131),(Q131-X131),NA())</f>
        <v>#N/A:explicit</v>
      </c>
      <c t="str" s="552" r="AF131">
        <f>IF(ISNUMBER(Z131),Z131,"---")</f>
        <v>---</v>
      </c>
      <c s="142" r="AG131"/>
      <c t="str" s="142" r="AH131">
        <f>IF(ISBLANK(L131),NA(),MIN(AF$44:AF$361))</f>
        <v>#N/A:explicit</v>
      </c>
      <c t="str" s="142" r="AI131">
        <f>IF(ISNA(AA131),Z131,AA131)</f>
        <v>#N/A:explicit</v>
      </c>
      <c s="142" r="AJ131">
        <f>MIN(AF$44:AF$361)</f>
        <v>0</v>
      </c>
      <c s="142" r="AK131"/>
      <c t="str" s="142" r="AL131">
        <f>IF(ISNUMBER(AB131),O131,"---")</f>
        <v>---</v>
      </c>
      <c t="str" s="80" r="AM131">
        <f>IF(ISNUMBER(AB131),AB131,"---")</f>
        <v>---</v>
      </c>
      <c s="80" r="AN131"/>
      <c t="str" s="142" r="AO131">
        <f>IF((M131="r"),Z131,NA())</f>
        <v>#N/A:explicit</v>
      </c>
      <c t="str" s="142" r="AP131">
        <f>IF((M131="p"),Z131,NA())</f>
        <v>#N/A:explicit</v>
      </c>
      <c t="str" s="142" r="AQ131">
        <f>IF((M131="n"),Z131,NA())</f>
        <v>#N/A:explicit</v>
      </c>
      <c t="str" s="142" r="AR131">
        <f>IF((M131="g"),Z131,NA())</f>
        <v>#N/A:explicit</v>
      </c>
      <c s="142" r="AS131"/>
      <c t="str" s="142" r="AT131">
        <f>IF((COUNTA($M131:$M$361)=0),"---",IF(AND(($M131="r"),(COUNTA($M132:$M$361)&gt;0)),(MAX(AT$44:AT130)+1),IF(OR(($M130="p"),($M130="n"),($M130="g")),"---",AT130)))</f>
        <v>---</v>
      </c>
      <c t="str" s="142" r="AU131">
        <f>IF((COUNTA($M131:$M$361)=0),"---",IF(AND(($M131="p"),(COUNTA($M132:$M$361)&gt;0)),(MAX(AU$44:AU130)+1),IF(OR(($M130="r"),($M130="n"),($M130="g")),"---",AU130)))</f>
        <v>---</v>
      </c>
      <c t="str" s="142" r="AV131">
        <f>IF((COUNTA($M131:$M$361)=0),"---",IF(AND(($M131="n"),(COUNTA($M132:$M$361)&gt;0)),(MAX(AV$44:AV130)+1),IF(OR(($M130="r"),($M130="p"),($M130="g")),"---",AV130)))</f>
        <v>---</v>
      </c>
      <c t="str" s="142" r="AW131">
        <f>IF((COUNTA($M131:$M$361)=0),"---",IF(AND(($M131="g"),(COUNTA($M132:$M$361)&gt;0)),(MAX(AW$44:AW130)+1),IF(OR(($M130="r"),($M130="p"),($M130="n")),"---",AW130)))</f>
        <v>---</v>
      </c>
      <c s="676" r="AX131">
        <f>IF((M131="p"),(1+MAX(AX$44:AX130)),0)</f>
        <v>0</v>
      </c>
      <c s="51" r="AY131"/>
      <c s="761" r="AZ131"/>
      <c s="761" r="BA131"/>
      <c s="125" r="BB131"/>
      <c s="125" r="BC131"/>
      <c s="125" r="BD131"/>
      <c s="125" r="BE131"/>
      <c s="125" r="BF131"/>
      <c s="125" r="BG131"/>
      <c s="125" r="BH131"/>
      <c s="125" r="BI131"/>
    </row>
    <row r="132">
      <c s="125" r="A132"/>
      <c s="125" r="B132"/>
      <c s="125" r="C132"/>
      <c s="125" r="D132"/>
      <c s="125" r="E132"/>
      <c s="125" r="F132"/>
      <c s="125" r="G132"/>
      <c s="125" r="H132"/>
      <c s="125" r="I132"/>
      <c s="822" r="J132"/>
      <c s="429" r="K132"/>
      <c s="458" r="L132"/>
      <c s="104" r="M132"/>
      <c s="458" r="N132"/>
      <c t="str" s="589" r="O132">
        <f>IF((AH$28=2),IF(ISBLANK(N132),O131,N132),IF(ISNUMBER(N132),(MAX(O$44:O131)+N132),O131))</f>
        <v/>
      </c>
      <c s="228" r="P132"/>
      <c s="273" r="Q132">
        <f>IF(ISNUMBER(P132),((Q131+P132)-R131),Q131)</f>
        <v>100</v>
      </c>
      <c s="228" r="R132"/>
      <c s="610" r="S132"/>
      <c s="458" r="T132"/>
      <c s="458" r="U132"/>
      <c s="458" r="V132"/>
      <c s="458" r="W132"/>
      <c s="458" r="X132"/>
      <c s="458" r="Y132"/>
      <c t="str" s="620" r="Z132">
        <f>IF(ISNUMBER(S132),(Q132-S132),NA())</f>
        <v>#N/A:explicit</v>
      </c>
      <c t="str" s="620" r="AA132">
        <f>IF(ISNUMBER(T132),IF((AH$22=1),(Z132+T132),(Q132-T132)),NA())</f>
        <v>#N/A:explicit</v>
      </c>
      <c t="str" s="620" r="AB132">
        <f>IF(ISNUMBER(U132),(Q132-U132),NA())</f>
        <v>#N/A:explicit</v>
      </c>
      <c t="str" s="620" r="AC132">
        <f>IF(ISNUMBER(V132),(Q132-V132),NA())</f>
        <v>#N/A:explicit</v>
      </c>
      <c t="str" s="620" r="AD132">
        <f>IF(ISNUMBER(W132),(Q132-W132),NA())</f>
        <v>#N/A:explicit</v>
      </c>
      <c t="str" s="620" r="AE132">
        <f>IF(ISNUMBER(X132),(Q132-X132),NA())</f>
        <v>#N/A:explicit</v>
      </c>
      <c t="str" s="552" r="AF132">
        <f>IF(ISNUMBER(Z132),Z132,"---")</f>
        <v>---</v>
      </c>
      <c s="142" r="AG132"/>
      <c t="str" s="142" r="AH132">
        <f>IF(ISBLANK(L132),NA(),MIN(AF$44:AF$361))</f>
        <v>#N/A:explicit</v>
      </c>
      <c t="str" s="142" r="AI132">
        <f>IF(ISNA(AA132),Z132,AA132)</f>
        <v>#N/A:explicit</v>
      </c>
      <c s="142" r="AJ132">
        <f>MIN(AF$44:AF$361)</f>
        <v>0</v>
      </c>
      <c s="142" r="AK132"/>
      <c t="str" s="142" r="AL132">
        <f>IF(ISNUMBER(AB132),O132,"---")</f>
        <v>---</v>
      </c>
      <c t="str" s="80" r="AM132">
        <f>IF(ISNUMBER(AB132),AB132,"---")</f>
        <v>---</v>
      </c>
      <c s="80" r="AN132"/>
      <c t="str" s="142" r="AO132">
        <f>IF((M132="r"),Z132,NA())</f>
        <v>#N/A:explicit</v>
      </c>
      <c t="str" s="142" r="AP132">
        <f>IF((M132="p"),Z132,NA())</f>
        <v>#N/A:explicit</v>
      </c>
      <c t="str" s="142" r="AQ132">
        <f>IF((M132="n"),Z132,NA())</f>
        <v>#N/A:explicit</v>
      </c>
      <c t="str" s="142" r="AR132">
        <f>IF((M132="g"),Z132,NA())</f>
        <v>#N/A:explicit</v>
      </c>
      <c s="142" r="AS132"/>
      <c t="str" s="142" r="AT132">
        <f>IF((COUNTA($M132:$M$361)=0),"---",IF(AND(($M132="r"),(COUNTA($M133:$M$361)&gt;0)),(MAX(AT$44:AT131)+1),IF(OR(($M131="p"),($M131="n"),($M131="g")),"---",AT131)))</f>
        <v>---</v>
      </c>
      <c t="str" s="142" r="AU132">
        <f>IF((COUNTA($M132:$M$361)=0),"---",IF(AND(($M132="p"),(COUNTA($M133:$M$361)&gt;0)),(MAX(AU$44:AU131)+1),IF(OR(($M131="r"),($M131="n"),($M131="g")),"---",AU131)))</f>
        <v>---</v>
      </c>
      <c t="str" s="142" r="AV132">
        <f>IF((COUNTA($M132:$M$361)=0),"---",IF(AND(($M132="n"),(COUNTA($M133:$M$361)&gt;0)),(MAX(AV$44:AV131)+1),IF(OR(($M131="r"),($M131="p"),($M131="g")),"---",AV131)))</f>
        <v>---</v>
      </c>
      <c t="str" s="142" r="AW132">
        <f>IF((COUNTA($M132:$M$361)=0),"---",IF(AND(($M132="g"),(COUNTA($M133:$M$361)&gt;0)),(MAX(AW$44:AW131)+1),IF(OR(($M131="r"),($M131="p"),($M131="n")),"---",AW131)))</f>
        <v>---</v>
      </c>
      <c s="676" r="AX132">
        <f>IF((M132="p"),(1+MAX(AX$44:AX131)),0)</f>
        <v>0</v>
      </c>
      <c s="51" r="AY132"/>
      <c s="761" r="AZ132"/>
      <c s="761" r="BA132"/>
      <c s="125" r="BB132"/>
      <c s="125" r="BC132"/>
      <c s="125" r="BD132"/>
      <c s="125" r="BE132"/>
      <c s="125" r="BF132"/>
      <c s="125" r="BG132"/>
      <c s="125" r="BH132"/>
      <c s="125" r="BI132"/>
    </row>
    <row r="133">
      <c s="125" r="A133"/>
      <c s="125" r="B133"/>
      <c s="125" r="C133"/>
      <c s="125" r="D133"/>
      <c s="125" r="E133"/>
      <c s="125" r="F133"/>
      <c s="125" r="G133"/>
      <c s="125" r="H133"/>
      <c s="125" r="I133"/>
      <c s="822" r="J133"/>
      <c s="429" r="K133"/>
      <c s="458" r="L133"/>
      <c s="104" r="M133"/>
      <c s="458" r="N133"/>
      <c t="str" s="589" r="O133">
        <f>IF((AH$28=2),IF(ISBLANK(N133),O132,N133),IF(ISNUMBER(N133),(MAX(O$44:O132)+N133),O132))</f>
        <v/>
      </c>
      <c s="228" r="P133"/>
      <c s="273" r="Q133">
        <f>IF(ISNUMBER(P133),((Q132+P133)-R132),Q132)</f>
        <v>100</v>
      </c>
      <c s="228" r="R133"/>
      <c s="610" r="S133"/>
      <c s="458" r="T133"/>
      <c s="458" r="U133"/>
      <c s="458" r="V133"/>
      <c s="458" r="W133"/>
      <c s="458" r="X133"/>
      <c s="458" r="Y133"/>
      <c t="str" s="620" r="Z133">
        <f>IF(ISNUMBER(S133),(Q133-S133),NA())</f>
        <v>#N/A:explicit</v>
      </c>
      <c t="str" s="620" r="AA133">
        <f>IF(ISNUMBER(T133),IF((AH$22=1),(Z133+T133),(Q133-T133)),NA())</f>
        <v>#N/A:explicit</v>
      </c>
      <c t="str" s="620" r="AB133">
        <f>IF(ISNUMBER(U133),(Q133-U133),NA())</f>
        <v>#N/A:explicit</v>
      </c>
      <c t="str" s="620" r="AC133">
        <f>IF(ISNUMBER(V133),(Q133-V133),NA())</f>
        <v>#N/A:explicit</v>
      </c>
      <c t="str" s="620" r="AD133">
        <f>IF(ISNUMBER(W133),(Q133-W133),NA())</f>
        <v>#N/A:explicit</v>
      </c>
      <c t="str" s="620" r="AE133">
        <f>IF(ISNUMBER(X133),(Q133-X133),NA())</f>
        <v>#N/A:explicit</v>
      </c>
      <c t="str" s="552" r="AF133">
        <f>IF(ISNUMBER(Z133),Z133,"---")</f>
        <v>---</v>
      </c>
      <c s="142" r="AG133"/>
      <c t="str" s="142" r="AH133">
        <f>IF(ISBLANK(L133),NA(),MIN(AF$44:AF$361))</f>
        <v>#N/A:explicit</v>
      </c>
      <c t="str" s="142" r="AI133">
        <f>IF(ISNA(AA133),Z133,AA133)</f>
        <v>#N/A:explicit</v>
      </c>
      <c s="142" r="AJ133">
        <f>MIN(AF$44:AF$361)</f>
        <v>0</v>
      </c>
      <c s="142" r="AK133"/>
      <c t="str" s="142" r="AL133">
        <f>IF(ISNUMBER(AB133),O133,"---")</f>
        <v>---</v>
      </c>
      <c t="str" s="80" r="AM133">
        <f>IF(ISNUMBER(AB133),AB133,"---")</f>
        <v>---</v>
      </c>
      <c s="80" r="AN133"/>
      <c t="str" s="142" r="AO133">
        <f>IF((M133="r"),Z133,NA())</f>
        <v>#N/A:explicit</v>
      </c>
      <c t="str" s="142" r="AP133">
        <f>IF((M133="p"),Z133,NA())</f>
        <v>#N/A:explicit</v>
      </c>
      <c t="str" s="142" r="AQ133">
        <f>IF((M133="n"),Z133,NA())</f>
        <v>#N/A:explicit</v>
      </c>
      <c t="str" s="142" r="AR133">
        <f>IF((M133="g"),Z133,NA())</f>
        <v>#N/A:explicit</v>
      </c>
      <c s="142" r="AS133"/>
      <c t="str" s="142" r="AT133">
        <f>IF((COUNTA($M133:$M$361)=0),"---",IF(AND(($M133="r"),(COUNTA($M134:$M$361)&gt;0)),(MAX(AT$44:AT132)+1),IF(OR(($M132="p"),($M132="n"),($M132="g")),"---",AT132)))</f>
        <v>---</v>
      </c>
      <c t="str" s="142" r="AU133">
        <f>IF((COUNTA($M133:$M$361)=0),"---",IF(AND(($M133="p"),(COUNTA($M134:$M$361)&gt;0)),(MAX(AU$44:AU132)+1),IF(OR(($M132="r"),($M132="n"),($M132="g")),"---",AU132)))</f>
        <v>---</v>
      </c>
      <c t="str" s="142" r="AV133">
        <f>IF((COUNTA($M133:$M$361)=0),"---",IF(AND(($M133="n"),(COUNTA($M134:$M$361)&gt;0)),(MAX(AV$44:AV132)+1),IF(OR(($M132="r"),($M132="p"),($M132="g")),"---",AV132)))</f>
        <v>---</v>
      </c>
      <c t="str" s="142" r="AW133">
        <f>IF((COUNTA($M133:$M$361)=0),"---",IF(AND(($M133="g"),(COUNTA($M134:$M$361)&gt;0)),(MAX(AW$44:AW132)+1),IF(OR(($M132="r"),($M132="p"),($M132="n")),"---",AW132)))</f>
        <v>---</v>
      </c>
      <c s="676" r="AX133">
        <f>IF((M133="p"),(1+MAX(AX$44:AX132)),0)</f>
        <v>0</v>
      </c>
      <c s="51" r="AY133"/>
      <c s="761" r="AZ133"/>
      <c s="761" r="BA133"/>
      <c s="125" r="BB133"/>
      <c s="125" r="BC133"/>
      <c s="125" r="BD133"/>
      <c s="125" r="BE133"/>
      <c s="125" r="BF133"/>
      <c s="125" r="BG133"/>
      <c s="125" r="BH133"/>
      <c s="125" r="BI133"/>
    </row>
    <row r="134">
      <c s="125" r="A134"/>
      <c s="125" r="B134"/>
      <c s="125" r="C134"/>
      <c s="125" r="D134"/>
      <c s="125" r="E134"/>
      <c s="125" r="F134"/>
      <c s="125" r="G134"/>
      <c s="125" r="H134"/>
      <c s="125" r="I134"/>
      <c s="822" r="J134"/>
      <c s="429" r="K134"/>
      <c s="458" r="L134"/>
      <c s="104" r="M134"/>
      <c s="458" r="N134"/>
      <c t="str" s="589" r="O134">
        <f>IF((AH$28=2),IF(ISBLANK(N134),O133,N134),IF(ISNUMBER(N134),(MAX(O$44:O133)+N134),O133))</f>
        <v/>
      </c>
      <c s="228" r="P134"/>
      <c s="273" r="Q134">
        <f>IF(ISNUMBER(P134),((Q133+P134)-R133),Q133)</f>
        <v>100</v>
      </c>
      <c s="228" r="R134"/>
      <c s="610" r="S134"/>
      <c s="458" r="T134"/>
      <c s="458" r="U134"/>
      <c s="458" r="V134"/>
      <c s="458" r="W134"/>
      <c s="458" r="X134"/>
      <c s="458" r="Y134"/>
      <c t="str" s="620" r="Z134">
        <f>IF(ISNUMBER(S134),(Q134-S134),NA())</f>
        <v>#N/A:explicit</v>
      </c>
      <c t="str" s="620" r="AA134">
        <f>IF(ISNUMBER(T134),IF((AH$22=1),(Z134+T134),(Q134-T134)),NA())</f>
        <v>#N/A:explicit</v>
      </c>
      <c t="str" s="620" r="AB134">
        <f>IF(ISNUMBER(U134),(Q134-U134),NA())</f>
        <v>#N/A:explicit</v>
      </c>
      <c t="str" s="620" r="AC134">
        <f>IF(ISNUMBER(V134),(Q134-V134),NA())</f>
        <v>#N/A:explicit</v>
      </c>
      <c t="str" s="620" r="AD134">
        <f>IF(ISNUMBER(W134),(Q134-W134),NA())</f>
        <v>#N/A:explicit</v>
      </c>
      <c t="str" s="620" r="AE134">
        <f>IF(ISNUMBER(X134),(Q134-X134),NA())</f>
        <v>#N/A:explicit</v>
      </c>
      <c t="str" s="552" r="AF134">
        <f>IF(ISNUMBER(Z134),Z134,"---")</f>
        <v>---</v>
      </c>
      <c s="142" r="AG134"/>
      <c t="str" s="142" r="AH134">
        <f>IF(ISBLANK(L134),NA(),MIN(AF$44:AF$361))</f>
        <v>#N/A:explicit</v>
      </c>
      <c t="str" s="142" r="AI134">
        <f>IF(ISNA(AA134),Z134,AA134)</f>
        <v>#N/A:explicit</v>
      </c>
      <c s="142" r="AJ134">
        <f>MIN(AF$44:AF$361)</f>
        <v>0</v>
      </c>
      <c s="142" r="AK134"/>
      <c t="str" s="142" r="AL134">
        <f>IF(ISNUMBER(AB134),O134,"---")</f>
        <v>---</v>
      </c>
      <c t="str" s="80" r="AM134">
        <f>IF(ISNUMBER(AB134),AB134,"---")</f>
        <v>---</v>
      </c>
      <c s="80" r="AN134"/>
      <c t="str" s="142" r="AO134">
        <f>IF((M134="r"),Z134,NA())</f>
        <v>#N/A:explicit</v>
      </c>
      <c t="str" s="142" r="AP134">
        <f>IF((M134="p"),Z134,NA())</f>
        <v>#N/A:explicit</v>
      </c>
      <c t="str" s="142" r="AQ134">
        <f>IF((M134="n"),Z134,NA())</f>
        <v>#N/A:explicit</v>
      </c>
      <c t="str" s="142" r="AR134">
        <f>IF((M134="g"),Z134,NA())</f>
        <v>#N/A:explicit</v>
      </c>
      <c s="142" r="AS134"/>
      <c t="str" s="142" r="AT134">
        <f>IF((COUNTA($M134:$M$361)=0),"---",IF(AND(($M134="r"),(COUNTA($M135:$M$361)&gt;0)),(MAX(AT$44:AT133)+1),IF(OR(($M133="p"),($M133="n"),($M133="g")),"---",AT133)))</f>
        <v>---</v>
      </c>
      <c t="str" s="142" r="AU134">
        <f>IF((COUNTA($M134:$M$361)=0),"---",IF(AND(($M134="p"),(COUNTA($M135:$M$361)&gt;0)),(MAX(AU$44:AU133)+1),IF(OR(($M133="r"),($M133="n"),($M133="g")),"---",AU133)))</f>
        <v>---</v>
      </c>
      <c t="str" s="142" r="AV134">
        <f>IF((COUNTA($M134:$M$361)=0),"---",IF(AND(($M134="n"),(COUNTA($M135:$M$361)&gt;0)),(MAX(AV$44:AV133)+1),IF(OR(($M133="r"),($M133="p"),($M133="g")),"---",AV133)))</f>
        <v>---</v>
      </c>
      <c t="str" s="142" r="AW134">
        <f>IF((COUNTA($M134:$M$361)=0),"---",IF(AND(($M134="g"),(COUNTA($M135:$M$361)&gt;0)),(MAX(AW$44:AW133)+1),IF(OR(($M133="r"),($M133="p"),($M133="n")),"---",AW133)))</f>
        <v>---</v>
      </c>
      <c s="676" r="AX134">
        <f>IF((M134="p"),(1+MAX(AX$44:AX133)),0)</f>
        <v>0</v>
      </c>
      <c s="51" r="AY134"/>
      <c s="761" r="AZ134"/>
      <c s="761" r="BA134"/>
      <c s="125" r="BB134"/>
      <c s="125" r="BC134"/>
      <c s="125" r="BD134"/>
      <c s="125" r="BE134"/>
      <c s="125" r="BF134"/>
      <c s="125" r="BG134"/>
      <c s="125" r="BH134"/>
      <c s="125" r="BI134"/>
    </row>
    <row r="135">
      <c s="125" r="A135"/>
      <c s="125" r="B135"/>
      <c s="125" r="C135"/>
      <c s="125" r="D135"/>
      <c s="125" r="E135"/>
      <c s="125" r="F135"/>
      <c s="125" r="G135"/>
      <c s="125" r="H135"/>
      <c s="125" r="I135"/>
      <c s="822" r="J135"/>
      <c s="848" r="K135"/>
      <c s="550" r="L135"/>
      <c s="104" r="M135"/>
      <c s="550" r="N135"/>
      <c t="str" s="589" r="O135">
        <f>IF((AH$28=2),IF(ISBLANK(N135),O134,N135),IF(ISNUMBER(N135),(MAX(O$44:O134)+N135),O134))</f>
        <v/>
      </c>
      <c s="694" r="P135"/>
      <c s="273" r="Q135">
        <f>IF(ISNUMBER(P135),((Q134+P135)-R134),Q134)</f>
        <v>100</v>
      </c>
      <c s="694" r="R135"/>
      <c s="821" r="S135"/>
      <c s="550" r="T135"/>
      <c s="550" r="U135"/>
      <c s="550" r="V135"/>
      <c s="550" r="W135"/>
      <c s="550" r="X135"/>
      <c s="550" r="Y135"/>
      <c t="str" s="470" r="Z135">
        <f>IF(ISNUMBER(S135),(Q135-S135),NA())</f>
        <v>#N/A:explicit</v>
      </c>
      <c t="str" s="470" r="AA135">
        <f>IF(ISNUMBER(T135),IF((AH$22=1),(Z135+T135),(Q135-T135)),NA())</f>
        <v>#N/A:explicit</v>
      </c>
      <c t="str" s="470" r="AB135">
        <f>IF(ISNUMBER(U135),(Q135-U135),NA())</f>
        <v>#N/A:explicit</v>
      </c>
      <c t="str" s="470" r="AC135">
        <f>IF(ISNUMBER(V135),(Q135-V135),NA())</f>
        <v>#N/A:explicit</v>
      </c>
      <c t="str" s="470" r="AD135">
        <f>IF(ISNUMBER(W135),(Q135-W135),NA())</f>
        <v>#N/A:explicit</v>
      </c>
      <c t="str" s="470" r="AE135">
        <f>IF(ISNUMBER(X135),(Q135-X135),NA())</f>
        <v>#N/A:explicit</v>
      </c>
      <c t="str" s="552" r="AF135">
        <f>IF(ISNUMBER(Z135),Z135,"---")</f>
        <v>---</v>
      </c>
      <c s="142" r="AG135"/>
      <c t="str" s="142" r="AH135">
        <f>IF(ISBLANK(L135),NA(),MIN(AF$44:AF$361))</f>
        <v>#N/A:explicit</v>
      </c>
      <c t="str" s="142" r="AI135">
        <f>IF(ISNA(AA135),Z135,AA135)</f>
        <v>#N/A:explicit</v>
      </c>
      <c s="142" r="AJ135">
        <f>MIN(AF$44:AF$361)</f>
        <v>0</v>
      </c>
      <c s="142" r="AK135"/>
      <c t="str" s="142" r="AL135">
        <f>IF(ISNUMBER(AB135),O135,"---")</f>
        <v>---</v>
      </c>
      <c t="str" s="80" r="AM135">
        <f>IF(ISNUMBER(AB135),AB135,"---")</f>
        <v>---</v>
      </c>
      <c s="80" r="AN135"/>
      <c t="str" s="142" r="AO135">
        <f>IF((M135="r"),Z135,NA())</f>
        <v>#N/A:explicit</v>
      </c>
      <c t="str" s="142" r="AP135">
        <f>IF((M135="p"),Z135,NA())</f>
        <v>#N/A:explicit</v>
      </c>
      <c t="str" s="142" r="AQ135">
        <f>IF((M135="n"),Z135,NA())</f>
        <v>#N/A:explicit</v>
      </c>
      <c t="str" s="142" r="AR135">
        <f>IF((M135="g"),Z135,NA())</f>
        <v>#N/A:explicit</v>
      </c>
      <c s="142" r="AS135"/>
      <c t="str" s="142" r="AT135">
        <f>IF((COUNTA($M135:$M$361)=0),"---",IF(AND(($M135="r"),(COUNTA($M136:$M$361)&gt;0)),(MAX(AT$44:AT134)+1),IF(OR(($M134="p"),($M134="n"),($M134="g")),"---",AT134)))</f>
        <v>---</v>
      </c>
      <c t="str" s="142" r="AU135">
        <f>IF((COUNTA($M135:$M$361)=0),"---",IF(AND(($M135="p"),(COUNTA($M136:$M$361)&gt;0)),(MAX(AU$44:AU134)+1),IF(OR(($M134="r"),($M134="n"),($M134="g")),"---",AU134)))</f>
        <v>---</v>
      </c>
      <c t="str" s="142" r="AV135">
        <f>IF((COUNTA($M135:$M$361)=0),"---",IF(AND(($M135="n"),(COUNTA($M136:$M$361)&gt;0)),(MAX(AV$44:AV134)+1),IF(OR(($M134="r"),($M134="p"),($M134="g")),"---",AV134)))</f>
        <v>---</v>
      </c>
      <c t="str" s="142" r="AW135">
        <f>IF((COUNTA($M135:$M$361)=0),"---",IF(AND(($M135="g"),(COUNTA($M136:$M$361)&gt;0)),(MAX(AW$44:AW134)+1),IF(OR(($M134="r"),($M134="p"),($M134="n")),"---",AW134)))</f>
        <v>---</v>
      </c>
      <c s="676" r="AX135">
        <f>IF((M135="p"),(1+MAX(AX$44:AX134)),0)</f>
        <v>0</v>
      </c>
      <c s="51" r="AY135"/>
      <c s="761" r="AZ135"/>
      <c s="761" r="BA135"/>
      <c s="125" r="BB135"/>
      <c s="125" r="BC135"/>
      <c s="125" r="BD135"/>
      <c s="125" r="BE135"/>
      <c s="125" r="BF135"/>
      <c s="125" r="BG135"/>
      <c s="125" r="BH135"/>
      <c s="125" r="BI135"/>
    </row>
    <row r="136">
      <c s="125" r="A136"/>
      <c s="125" r="B136"/>
      <c s="125" r="C136"/>
      <c s="125" r="D136"/>
      <c s="125" r="E136"/>
      <c s="125" r="F136"/>
      <c s="125" r="G136"/>
      <c s="125" r="H136"/>
      <c s="125" r="I136"/>
      <c s="822" r="J136"/>
      <c s="848" r="K136"/>
      <c s="550" r="L136"/>
      <c s="104" r="M136"/>
      <c s="550" r="N136"/>
      <c t="str" s="589" r="O136">
        <f>IF((AH$28=2),IF(ISBLANK(N136),O135,N136),IF(ISNUMBER(N136),(MAX(O$44:O135)+N136),O135))</f>
        <v/>
      </c>
      <c s="694" r="P136"/>
      <c s="273" r="Q136">
        <f>IF(ISNUMBER(P136),((Q135+P136)-R135),Q135)</f>
        <v>100</v>
      </c>
      <c s="694" r="R136"/>
      <c s="821" r="S136"/>
      <c s="550" r="T136"/>
      <c s="550" r="U136"/>
      <c s="550" r="V136"/>
      <c s="550" r="W136"/>
      <c s="550" r="X136"/>
      <c s="550" r="Y136"/>
      <c t="str" s="470" r="Z136">
        <f>IF(ISNUMBER(S136),(Q136-S136),NA())</f>
        <v>#N/A:explicit</v>
      </c>
      <c t="str" s="470" r="AA136">
        <f>IF(ISNUMBER(T136),IF((AH$22=1),(Z136+T136),(Q136-T136)),NA())</f>
        <v>#N/A:explicit</v>
      </c>
      <c t="str" s="470" r="AB136">
        <f>IF(ISNUMBER(U136),(Q136-U136),NA())</f>
        <v>#N/A:explicit</v>
      </c>
      <c t="str" s="470" r="AC136">
        <f>IF(ISNUMBER(V136),(Q136-V136),NA())</f>
        <v>#N/A:explicit</v>
      </c>
      <c t="str" s="470" r="AD136">
        <f>IF(ISNUMBER(W136),(Q136-W136),NA())</f>
        <v>#N/A:explicit</v>
      </c>
      <c t="str" s="470" r="AE136">
        <f>IF(ISNUMBER(X136),(Q136-X136),NA())</f>
        <v>#N/A:explicit</v>
      </c>
      <c t="str" s="552" r="AF136">
        <f>IF(ISNUMBER(Z136),Z136,"---")</f>
        <v>---</v>
      </c>
      <c s="142" r="AG136"/>
      <c t="str" s="142" r="AH136">
        <f>IF(ISBLANK(L136),NA(),MIN(AF$44:AF$361))</f>
        <v>#N/A:explicit</v>
      </c>
      <c t="str" s="142" r="AI136">
        <f>IF(ISNA(AA136),Z136,AA136)</f>
        <v>#N/A:explicit</v>
      </c>
      <c s="142" r="AJ136">
        <f>MIN(AF$44:AF$361)</f>
        <v>0</v>
      </c>
      <c s="142" r="AK136"/>
      <c t="str" s="142" r="AL136">
        <f>IF(ISNUMBER(AB136),O136,"---")</f>
        <v>---</v>
      </c>
      <c t="str" s="80" r="AM136">
        <f>IF(ISNUMBER(AB136),AB136,"---")</f>
        <v>---</v>
      </c>
      <c s="80" r="AN136"/>
      <c t="str" s="142" r="AO136">
        <f>IF((M136="r"),Z136,NA())</f>
        <v>#N/A:explicit</v>
      </c>
      <c t="str" s="142" r="AP136">
        <f>IF((M136="p"),Z136,NA())</f>
        <v>#N/A:explicit</v>
      </c>
      <c t="str" s="142" r="AQ136">
        <f>IF((M136="n"),Z136,NA())</f>
        <v>#N/A:explicit</v>
      </c>
      <c t="str" s="142" r="AR136">
        <f>IF((M136="g"),Z136,NA())</f>
        <v>#N/A:explicit</v>
      </c>
      <c s="142" r="AS136"/>
      <c t="str" s="142" r="AT136">
        <f>IF((COUNTA($M136:$M$361)=0),"---",IF(AND(($M136="r"),(COUNTA($M137:$M$361)&gt;0)),(MAX(AT$44:AT135)+1),IF(OR(($M135="p"),($M135="n"),($M135="g")),"---",AT135)))</f>
        <v>---</v>
      </c>
      <c t="str" s="142" r="AU136">
        <f>IF((COUNTA($M136:$M$361)=0),"---",IF(AND(($M136="p"),(COUNTA($M137:$M$361)&gt;0)),(MAX(AU$44:AU135)+1),IF(OR(($M135="r"),($M135="n"),($M135="g")),"---",AU135)))</f>
        <v>---</v>
      </c>
      <c t="str" s="142" r="AV136">
        <f>IF((COUNTA($M136:$M$361)=0),"---",IF(AND(($M136="n"),(COUNTA($M137:$M$361)&gt;0)),(MAX(AV$44:AV135)+1),IF(OR(($M135="r"),($M135="p"),($M135="g")),"---",AV135)))</f>
        <v>---</v>
      </c>
      <c t="str" s="142" r="AW136">
        <f>IF((COUNTA($M136:$M$361)=0),"---",IF(AND(($M136="g"),(COUNTA($M137:$M$361)&gt;0)),(MAX(AW$44:AW135)+1),IF(OR(($M135="r"),($M135="p"),($M135="n")),"---",AW135)))</f>
        <v>---</v>
      </c>
      <c s="676" r="AX136">
        <f>IF((M136="p"),(1+MAX(AX$44:AX135)),0)</f>
        <v>0</v>
      </c>
      <c s="51" r="AY136"/>
      <c s="761" r="AZ136"/>
      <c s="761" r="BA136"/>
      <c s="125" r="BB136"/>
      <c s="125" r="BC136"/>
      <c s="125" r="BD136"/>
      <c s="125" r="BE136"/>
      <c s="125" r="BF136"/>
      <c s="125" r="BG136"/>
      <c s="125" r="BH136"/>
      <c s="125" r="BI136"/>
    </row>
    <row r="137">
      <c s="125" r="A137"/>
      <c s="125" r="B137"/>
      <c s="125" r="C137"/>
      <c s="125" r="D137"/>
      <c s="125" r="E137"/>
      <c s="125" r="F137"/>
      <c s="125" r="G137"/>
      <c s="125" r="H137"/>
      <c s="125" r="I137"/>
      <c s="822" r="J137"/>
      <c s="848" r="K137"/>
      <c s="550" r="L137"/>
      <c s="104" r="M137"/>
      <c s="550" r="N137"/>
      <c t="str" s="589" r="O137">
        <f>IF((AH$28=2),IF(ISBLANK(N137),O136,N137),IF(ISNUMBER(N137),(MAX(O$44:O136)+N137),O136))</f>
        <v/>
      </c>
      <c s="694" r="P137"/>
      <c s="273" r="Q137">
        <f>IF(ISNUMBER(P137),((Q136+P137)-R136),Q136)</f>
        <v>100</v>
      </c>
      <c s="694" r="R137"/>
      <c s="821" r="S137"/>
      <c s="550" r="T137"/>
      <c s="550" r="U137"/>
      <c s="550" r="V137"/>
      <c s="550" r="W137"/>
      <c s="550" r="X137"/>
      <c s="550" r="Y137"/>
      <c t="str" s="470" r="Z137">
        <f>IF(ISNUMBER(S137),(Q137-S137),NA())</f>
        <v>#N/A:explicit</v>
      </c>
      <c t="str" s="470" r="AA137">
        <f>IF(ISNUMBER(T137),IF((AH$22=1),(Z137+T137),(Q137-T137)),NA())</f>
        <v>#N/A:explicit</v>
      </c>
      <c t="str" s="470" r="AB137">
        <f>IF(ISNUMBER(U137),(Q137-U137),NA())</f>
        <v>#N/A:explicit</v>
      </c>
      <c t="str" s="470" r="AC137">
        <f>IF(ISNUMBER(V137),(Q137-V137),NA())</f>
        <v>#N/A:explicit</v>
      </c>
      <c t="str" s="470" r="AD137">
        <f>IF(ISNUMBER(W137),(Q137-W137),NA())</f>
        <v>#N/A:explicit</v>
      </c>
      <c t="str" s="470" r="AE137">
        <f>IF(ISNUMBER(X137),(Q137-X137),NA())</f>
        <v>#N/A:explicit</v>
      </c>
      <c t="str" s="552" r="AF137">
        <f>IF(ISNUMBER(Z137),Z137,"---")</f>
        <v>---</v>
      </c>
      <c s="142" r="AG137"/>
      <c t="str" s="142" r="AH137">
        <f>IF(ISBLANK(L137),NA(),MIN(AF$44:AF$361))</f>
        <v>#N/A:explicit</v>
      </c>
      <c t="str" s="142" r="AI137">
        <f>IF(ISNA(AA137),Z137,AA137)</f>
        <v>#N/A:explicit</v>
      </c>
      <c s="142" r="AJ137">
        <f>MIN(AF$44:AF$361)</f>
        <v>0</v>
      </c>
      <c s="142" r="AK137"/>
      <c t="str" s="142" r="AL137">
        <f>IF(ISNUMBER(AB137),O137,"---")</f>
        <v>---</v>
      </c>
      <c t="str" s="80" r="AM137">
        <f>IF(ISNUMBER(AB137),AB137,"---")</f>
        <v>---</v>
      </c>
      <c s="80" r="AN137"/>
      <c t="str" s="142" r="AO137">
        <f>IF((M137="r"),Z137,NA())</f>
        <v>#N/A:explicit</v>
      </c>
      <c t="str" s="142" r="AP137">
        <f>IF((M137="p"),Z137,NA())</f>
        <v>#N/A:explicit</v>
      </c>
      <c t="str" s="142" r="AQ137">
        <f>IF((M137="n"),Z137,NA())</f>
        <v>#N/A:explicit</v>
      </c>
      <c t="str" s="142" r="AR137">
        <f>IF((M137="g"),Z137,NA())</f>
        <v>#N/A:explicit</v>
      </c>
      <c s="142" r="AS137"/>
      <c t="str" s="142" r="AT137">
        <f>IF((COUNTA($M137:$M$361)=0),"---",IF(AND(($M137="r"),(COUNTA($M138:$M$361)&gt;0)),(MAX(AT$44:AT136)+1),IF(OR(($M136="p"),($M136="n"),($M136="g")),"---",AT136)))</f>
        <v>---</v>
      </c>
      <c t="str" s="142" r="AU137">
        <f>IF((COUNTA($M137:$M$361)=0),"---",IF(AND(($M137="p"),(COUNTA($M138:$M$361)&gt;0)),(MAX(AU$44:AU136)+1),IF(OR(($M136="r"),($M136="n"),($M136="g")),"---",AU136)))</f>
        <v>---</v>
      </c>
      <c t="str" s="142" r="AV137">
        <f>IF((COUNTA($M137:$M$361)=0),"---",IF(AND(($M137="n"),(COUNTA($M138:$M$361)&gt;0)),(MAX(AV$44:AV136)+1),IF(OR(($M136="r"),($M136="p"),($M136="g")),"---",AV136)))</f>
        <v>---</v>
      </c>
      <c t="str" s="142" r="AW137">
        <f>IF((COUNTA($M137:$M$361)=0),"---",IF(AND(($M137="g"),(COUNTA($M138:$M$361)&gt;0)),(MAX(AW$44:AW136)+1),IF(OR(($M136="r"),($M136="p"),($M136="n")),"---",AW136)))</f>
        <v>---</v>
      </c>
      <c s="676" r="AX137">
        <f>IF((M137="p"),(1+MAX(AX$44:AX136)),0)</f>
        <v>0</v>
      </c>
      <c s="51" r="AY137"/>
      <c s="761" r="AZ137"/>
      <c s="761" r="BA137"/>
      <c s="125" r="BB137"/>
      <c s="125" r="BC137"/>
      <c s="125" r="BD137"/>
      <c s="125" r="BE137"/>
      <c s="125" r="BF137"/>
      <c s="125" r="BG137"/>
      <c s="125" r="BH137"/>
      <c s="125" r="BI137"/>
    </row>
    <row r="138">
      <c s="318" r="A138"/>
      <c s="125" r="B138"/>
      <c s="125" r="C138"/>
      <c s="125" r="D138"/>
      <c s="125" r="E138"/>
      <c s="125" r="F138"/>
      <c s="125" r="G138"/>
      <c s="125" r="H138"/>
      <c s="125" r="I138"/>
      <c s="822" r="J138"/>
      <c s="429" r="K138"/>
      <c s="458" r="L138"/>
      <c s="104" r="M138"/>
      <c s="458" r="N138"/>
      <c t="str" s="589" r="O138">
        <f>IF((AH$28=2),IF(ISBLANK(N138),O137,N138),IF(ISNUMBER(N138),(MAX(O$44:O137)+N138),O137))</f>
        <v/>
      </c>
      <c s="228" r="P138"/>
      <c s="273" r="Q138">
        <f>IF(ISNUMBER(P138),((Q137+P138)-R137),Q137)</f>
        <v>100</v>
      </c>
      <c s="228" r="R138"/>
      <c s="610" r="S138"/>
      <c s="458" r="T138"/>
      <c s="458" r="U138"/>
      <c s="458" r="V138"/>
      <c s="458" r="W138"/>
      <c s="458" r="X138"/>
      <c s="458" r="Y138"/>
      <c t="str" s="620" r="Z138">
        <f>IF(ISNUMBER(S138),(Q138-S138),NA())</f>
        <v>#N/A:explicit</v>
      </c>
      <c t="str" s="620" r="AA138">
        <f>IF(ISNUMBER(T138),IF((AH$22=1),(Z138+T138),(Q138-T138)),NA())</f>
        <v>#N/A:explicit</v>
      </c>
      <c t="str" s="620" r="AB138">
        <f>IF(ISNUMBER(U138),(Q138-U138),NA())</f>
        <v>#N/A:explicit</v>
      </c>
      <c t="str" s="620" r="AC138">
        <f>IF(ISNUMBER(V138),(Q138-V138),NA())</f>
        <v>#N/A:explicit</v>
      </c>
      <c t="str" s="620" r="AD138">
        <f>IF(ISNUMBER(W138),(Q138-W138),NA())</f>
        <v>#N/A:explicit</v>
      </c>
      <c t="str" s="620" r="AE138">
        <f>IF(ISNUMBER(X138),(Q138-X138),NA())</f>
        <v>#N/A:explicit</v>
      </c>
      <c t="str" s="552" r="AF138">
        <f>IF(ISNUMBER(Z138),Z138,"---")</f>
        <v>---</v>
      </c>
      <c s="142" r="AG138"/>
      <c t="str" s="142" r="AH138">
        <f>IF(ISBLANK(L138),NA(),MIN(AF$44:AF$361))</f>
        <v>#N/A:explicit</v>
      </c>
      <c t="str" s="142" r="AI138">
        <f>IF(ISNA(AA138),Z138,AA138)</f>
        <v>#N/A:explicit</v>
      </c>
      <c s="142" r="AJ138">
        <f>MIN(AF$44:AF$361)</f>
        <v>0</v>
      </c>
      <c s="142" r="AK138"/>
      <c t="str" s="142" r="AL138">
        <f>IF(ISNUMBER(AB138),O138,"---")</f>
        <v>---</v>
      </c>
      <c t="str" s="80" r="AM138">
        <f>IF(ISNUMBER(AB138),AB138,"---")</f>
        <v>---</v>
      </c>
      <c s="80" r="AN138"/>
      <c t="str" s="142" r="AO138">
        <f>IF((M138="r"),Z138,NA())</f>
        <v>#N/A:explicit</v>
      </c>
      <c t="str" s="142" r="AP138">
        <f>IF((M138="p"),Z138,NA())</f>
        <v>#N/A:explicit</v>
      </c>
      <c t="str" s="142" r="AQ138">
        <f>IF((M138="n"),Z138,NA())</f>
        <v>#N/A:explicit</v>
      </c>
      <c t="str" s="142" r="AR138">
        <f>IF((M138="g"),Z138,NA())</f>
        <v>#N/A:explicit</v>
      </c>
      <c s="142" r="AS138"/>
      <c t="str" s="142" r="AT138">
        <f>IF((COUNTA($M138:$M$361)=0),"---",IF(AND(($M138="r"),(COUNTA($M139:$M$361)&gt;0)),(MAX(AT$44:AT137)+1),IF(OR(($M137="p"),($M137="n"),($M137="g")),"---",AT137)))</f>
        <v>---</v>
      </c>
      <c t="str" s="142" r="AU138">
        <f>IF((COUNTA($M138:$M$361)=0),"---",IF(AND(($M138="p"),(COUNTA($M139:$M$361)&gt;0)),(MAX(AU$44:AU137)+1),IF(OR(($M137="r"),($M137="n"),($M137="g")),"---",AU137)))</f>
        <v>---</v>
      </c>
      <c t="str" s="142" r="AV138">
        <f>IF((COUNTA($M138:$M$361)=0),"---",IF(AND(($M138="n"),(COUNTA($M139:$M$361)&gt;0)),(MAX(AV$44:AV137)+1),IF(OR(($M137="r"),($M137="p"),($M137="g")),"---",AV137)))</f>
        <v>---</v>
      </c>
      <c t="str" s="142" r="AW138">
        <f>IF((COUNTA($M138:$M$361)=0),"---",IF(AND(($M138="g"),(COUNTA($M139:$M$361)&gt;0)),(MAX(AW$44:AW137)+1),IF(OR(($M137="r"),($M137="p"),($M137="n")),"---",AW137)))</f>
        <v>---</v>
      </c>
      <c s="676" r="AX138">
        <f>IF((M138="p"),(1+MAX(AX$44:AX137)),0)</f>
        <v>0</v>
      </c>
      <c s="51" r="AY138"/>
      <c s="761" r="AZ138"/>
      <c s="761" r="BA138"/>
      <c s="125" r="BB138"/>
      <c s="125" r="BC138"/>
      <c s="125" r="BD138"/>
      <c s="125" r="BE138"/>
      <c s="125" r="BF138"/>
      <c s="125" r="BG138"/>
      <c s="125" r="BH138"/>
      <c s="125" r="BI138"/>
    </row>
    <row r="139">
      <c s="125" r="A139"/>
      <c s="125" r="B139"/>
      <c s="125" r="C139"/>
      <c s="125" r="D139"/>
      <c s="125" r="E139"/>
      <c s="125" r="F139"/>
      <c s="125" r="G139"/>
      <c s="125" r="H139"/>
      <c s="125" r="I139"/>
      <c s="822" r="J139"/>
      <c s="429" r="K139"/>
      <c s="458" r="L139"/>
      <c s="104" r="M139"/>
      <c s="458" r="N139"/>
      <c t="str" s="589" r="O139">
        <f>IF((AH$28=2),IF(ISBLANK(N139),O138,N139),IF(ISNUMBER(N139),(MAX(O$44:O138)+N139),O138))</f>
        <v/>
      </c>
      <c s="228" r="P139"/>
      <c s="273" r="Q139">
        <f>IF(ISNUMBER(P139),((Q138+P139)-R138),Q138)</f>
        <v>100</v>
      </c>
      <c s="228" r="R139"/>
      <c s="610" r="S139"/>
      <c s="458" r="T139"/>
      <c s="458" r="U139"/>
      <c s="458" r="V139"/>
      <c s="458" r="W139"/>
      <c s="458" r="X139"/>
      <c s="458" r="Y139"/>
      <c t="str" s="620" r="Z139">
        <f>IF(ISNUMBER(S139),(Q139-S139),NA())</f>
        <v>#N/A:explicit</v>
      </c>
      <c t="str" s="620" r="AA139">
        <f>IF(ISNUMBER(T139),IF((AH$22=1),(Z139+T139),(Q139-T139)),NA())</f>
        <v>#N/A:explicit</v>
      </c>
      <c t="str" s="620" r="AB139">
        <f>IF(ISNUMBER(U139),(Q139-U139),NA())</f>
        <v>#N/A:explicit</v>
      </c>
      <c t="str" s="620" r="AC139">
        <f>IF(ISNUMBER(V139),(Q139-V139),NA())</f>
        <v>#N/A:explicit</v>
      </c>
      <c t="str" s="620" r="AD139">
        <f>IF(ISNUMBER(W139),(Q139-W139),NA())</f>
        <v>#N/A:explicit</v>
      </c>
      <c t="str" s="620" r="AE139">
        <f>IF(ISNUMBER(X139),(Q139-X139),NA())</f>
        <v>#N/A:explicit</v>
      </c>
      <c t="str" s="552" r="AF139">
        <f>IF(ISNUMBER(Z139),Z139,"---")</f>
        <v>---</v>
      </c>
      <c s="142" r="AG139"/>
      <c t="str" s="142" r="AH139">
        <f>IF(ISBLANK(L139),NA(),MIN(AF$44:AF$361))</f>
        <v>#N/A:explicit</v>
      </c>
      <c t="str" s="142" r="AI139">
        <f>IF(ISNA(AA139),Z139,AA139)</f>
        <v>#N/A:explicit</v>
      </c>
      <c s="142" r="AJ139">
        <f>MIN(AF$44:AF$361)</f>
        <v>0</v>
      </c>
      <c s="142" r="AK139"/>
      <c t="str" s="142" r="AL139">
        <f>IF(ISNUMBER(AB139),O139,"---")</f>
        <v>---</v>
      </c>
      <c t="str" s="80" r="AM139">
        <f>IF(ISNUMBER(AB139),AB139,"---")</f>
        <v>---</v>
      </c>
      <c s="80" r="AN139"/>
      <c t="str" s="142" r="AO139">
        <f>IF((M139="r"),Z139,NA())</f>
        <v>#N/A:explicit</v>
      </c>
      <c t="str" s="142" r="AP139">
        <f>IF((M139="p"),Z139,NA())</f>
        <v>#N/A:explicit</v>
      </c>
      <c t="str" s="142" r="AQ139">
        <f>IF((M139="n"),Z139,NA())</f>
        <v>#N/A:explicit</v>
      </c>
      <c t="str" s="142" r="AR139">
        <f>IF((M139="g"),Z139,NA())</f>
        <v>#N/A:explicit</v>
      </c>
      <c s="142" r="AS139"/>
      <c t="str" s="142" r="AT139">
        <f>IF((COUNTA($M139:$M$361)=0),"---",IF(AND(($M139="r"),(COUNTA($M140:$M$361)&gt;0)),(MAX(AT$44:AT138)+1),IF(OR(($M138="p"),($M138="n"),($M138="g")),"---",AT138)))</f>
        <v>---</v>
      </c>
      <c t="str" s="142" r="AU139">
        <f>IF((COUNTA($M139:$M$361)=0),"---",IF(AND(($M139="p"),(COUNTA($M140:$M$361)&gt;0)),(MAX(AU$44:AU138)+1),IF(OR(($M138="r"),($M138="n"),($M138="g")),"---",AU138)))</f>
        <v>---</v>
      </c>
      <c t="str" s="142" r="AV139">
        <f>IF((COUNTA($M139:$M$361)=0),"---",IF(AND(($M139="n"),(COUNTA($M140:$M$361)&gt;0)),(MAX(AV$44:AV138)+1),IF(OR(($M138="r"),($M138="p"),($M138="g")),"---",AV138)))</f>
        <v>---</v>
      </c>
      <c t="str" s="142" r="AW139">
        <f>IF((COUNTA($M139:$M$361)=0),"---",IF(AND(($M139="g"),(COUNTA($M140:$M$361)&gt;0)),(MAX(AW$44:AW138)+1),IF(OR(($M138="r"),($M138="p"),($M138="n")),"---",AW138)))</f>
        <v>---</v>
      </c>
      <c s="676" r="AX139">
        <f>IF((M139="p"),(1+MAX(AX$44:AX138)),0)</f>
        <v>0</v>
      </c>
      <c s="51" r="AY139"/>
      <c s="761" r="AZ139"/>
      <c s="761" r="BA139"/>
      <c s="125" r="BB139"/>
      <c s="125" r="BC139"/>
      <c s="125" r="BD139"/>
      <c s="125" r="BE139"/>
      <c s="125" r="BF139"/>
      <c s="125" r="BG139"/>
      <c s="125" r="BH139"/>
      <c s="125" r="BI139"/>
    </row>
    <row r="140">
      <c s="125" r="A140"/>
      <c s="125" r="B140"/>
      <c s="125" r="C140"/>
      <c s="125" r="D140"/>
      <c s="125" r="E140"/>
      <c s="125" r="F140"/>
      <c s="125" r="G140"/>
      <c s="125" r="H140"/>
      <c s="125" r="I140"/>
      <c s="822" r="J140"/>
      <c s="429" r="K140"/>
      <c s="458" r="L140"/>
      <c s="104" r="M140"/>
      <c s="458" r="N140"/>
      <c t="str" s="589" r="O140">
        <f>IF((AH$28=2),IF(ISBLANK(N140),O139,N140),IF(ISNUMBER(N140),(MAX(O$44:O139)+N140),O139))</f>
        <v/>
      </c>
      <c s="228" r="P140"/>
      <c s="273" r="Q140">
        <f>IF(ISNUMBER(P140),((Q139+P140)-R139),Q139)</f>
        <v>100</v>
      </c>
      <c s="228" r="R140"/>
      <c s="610" r="S140"/>
      <c s="458" r="T140"/>
      <c s="458" r="U140"/>
      <c s="458" r="V140"/>
      <c s="458" r="W140"/>
      <c s="458" r="X140"/>
      <c s="458" r="Y140"/>
      <c t="str" s="620" r="Z140">
        <f>IF(ISNUMBER(S140),(Q140-S140),NA())</f>
        <v>#N/A:explicit</v>
      </c>
      <c t="str" s="620" r="AA140">
        <f>IF(ISNUMBER(T140),IF((AH$22=1),(Z140+T140),(Q140-T140)),NA())</f>
        <v>#N/A:explicit</v>
      </c>
      <c t="str" s="620" r="AB140">
        <f>IF(ISNUMBER(U140),(Q140-U140),NA())</f>
        <v>#N/A:explicit</v>
      </c>
      <c t="str" s="620" r="AC140">
        <f>IF(ISNUMBER(V140),(Q140-V140),NA())</f>
        <v>#N/A:explicit</v>
      </c>
      <c t="str" s="620" r="AD140">
        <f>IF(ISNUMBER(W140),(Q140-W140),NA())</f>
        <v>#N/A:explicit</v>
      </c>
      <c t="str" s="620" r="AE140">
        <f>IF(ISNUMBER(X140),(Q140-X140),NA())</f>
        <v>#N/A:explicit</v>
      </c>
      <c t="str" s="552" r="AF140">
        <f>IF(ISNUMBER(Z140),Z140,"---")</f>
        <v>---</v>
      </c>
      <c s="142" r="AG140"/>
      <c t="str" s="142" r="AH140">
        <f>IF(ISBLANK(L140),NA(),MIN(AF$44:AF$361))</f>
        <v>#N/A:explicit</v>
      </c>
      <c t="str" s="142" r="AI140">
        <f>IF(ISNA(AA140),Z140,AA140)</f>
        <v>#N/A:explicit</v>
      </c>
      <c s="142" r="AJ140">
        <f>MIN(AF$44:AF$361)</f>
        <v>0</v>
      </c>
      <c s="142" r="AK140"/>
      <c t="str" s="142" r="AL140">
        <f>IF(ISNUMBER(AB140),O140,"---")</f>
        <v>---</v>
      </c>
      <c t="str" s="80" r="AM140">
        <f>IF(ISNUMBER(AB140),AB140,"---")</f>
        <v>---</v>
      </c>
      <c s="80" r="AN140"/>
      <c t="str" s="142" r="AO140">
        <f>IF((M140="r"),Z140,NA())</f>
        <v>#N/A:explicit</v>
      </c>
      <c t="str" s="142" r="AP140">
        <f>IF((M140="p"),Z140,NA())</f>
        <v>#N/A:explicit</v>
      </c>
      <c t="str" s="142" r="AQ140">
        <f>IF((M140="n"),Z140,NA())</f>
        <v>#N/A:explicit</v>
      </c>
      <c t="str" s="142" r="AR140">
        <f>IF((M140="g"),Z140,NA())</f>
        <v>#N/A:explicit</v>
      </c>
      <c s="142" r="AS140"/>
      <c t="str" s="142" r="AT140">
        <f>IF((COUNTA($M140:$M$361)=0),"---",IF(AND(($M140="r"),(COUNTA($M141:$M$361)&gt;0)),(MAX(AT$44:AT139)+1),IF(OR(($M139="p"),($M139="n"),($M139="g")),"---",AT139)))</f>
        <v>---</v>
      </c>
      <c t="str" s="142" r="AU140">
        <f>IF((COUNTA($M140:$M$361)=0),"---",IF(AND(($M140="p"),(COUNTA($M141:$M$361)&gt;0)),(MAX(AU$44:AU139)+1),IF(OR(($M139="r"),($M139="n"),($M139="g")),"---",AU139)))</f>
        <v>---</v>
      </c>
      <c t="str" s="142" r="AV140">
        <f>IF((COUNTA($M140:$M$361)=0),"---",IF(AND(($M140="n"),(COUNTA($M141:$M$361)&gt;0)),(MAX(AV$44:AV139)+1),IF(OR(($M139="r"),($M139="p"),($M139="g")),"---",AV139)))</f>
        <v>---</v>
      </c>
      <c t="str" s="142" r="AW140">
        <f>IF((COUNTA($M140:$M$361)=0),"---",IF(AND(($M140="g"),(COUNTA($M141:$M$361)&gt;0)),(MAX(AW$44:AW139)+1),IF(OR(($M139="r"),($M139="p"),($M139="n")),"---",AW139)))</f>
        <v>---</v>
      </c>
      <c s="676" r="AX140">
        <f>IF((M140="p"),(1+MAX(AX$44:AX139)),0)</f>
        <v>0</v>
      </c>
      <c s="51" r="AY140"/>
      <c s="761" r="AZ140"/>
      <c s="761" r="BA140"/>
      <c s="125" r="BB140"/>
      <c s="125" r="BC140"/>
      <c s="125" r="BD140"/>
      <c s="125" r="BE140"/>
      <c s="125" r="BF140"/>
      <c s="125" r="BG140"/>
      <c s="125" r="BH140"/>
      <c s="125" r="BI140"/>
    </row>
    <row r="141">
      <c s="125" r="A141"/>
      <c s="125" r="B141"/>
      <c s="125" r="C141"/>
      <c s="125" r="D141"/>
      <c s="125" r="E141"/>
      <c s="125" r="F141"/>
      <c s="125" r="G141"/>
      <c s="125" r="H141"/>
      <c s="125" r="I141"/>
      <c s="822" r="J141"/>
      <c s="848" r="K141"/>
      <c s="550" r="L141"/>
      <c s="104" r="M141"/>
      <c s="550" r="N141"/>
      <c t="str" s="589" r="O141">
        <f>IF((AH$28=2),IF(ISBLANK(N141),O140,N141),IF(ISNUMBER(N141),(MAX(O$44:O140)+N141),O140))</f>
        <v/>
      </c>
      <c s="694" r="P141"/>
      <c s="273" r="Q141">
        <f>IF(ISNUMBER(P141),((Q140+P141)-R140),Q140)</f>
        <v>100</v>
      </c>
      <c s="694" r="R141"/>
      <c s="821" r="S141"/>
      <c s="550" r="T141"/>
      <c s="550" r="U141"/>
      <c s="550" r="V141"/>
      <c s="550" r="W141"/>
      <c s="550" r="X141"/>
      <c s="550" r="Y141"/>
      <c t="str" s="470" r="Z141">
        <f>IF(ISNUMBER(S141),(Q141-S141),NA())</f>
        <v>#N/A:explicit</v>
      </c>
      <c t="str" s="470" r="AA141">
        <f>IF(ISNUMBER(T141),IF((AH$22=1),(Z141+T141),(Q141-T141)),NA())</f>
        <v>#N/A:explicit</v>
      </c>
      <c t="str" s="470" r="AB141">
        <f>IF(ISNUMBER(U141),(Q141-U141),NA())</f>
        <v>#N/A:explicit</v>
      </c>
      <c t="str" s="470" r="AC141">
        <f>IF(ISNUMBER(V141),(Q141-V141),NA())</f>
        <v>#N/A:explicit</v>
      </c>
      <c t="str" s="470" r="AD141">
        <f>IF(ISNUMBER(W141),(Q141-W141),NA())</f>
        <v>#N/A:explicit</v>
      </c>
      <c t="str" s="470" r="AE141">
        <f>IF(ISNUMBER(X141),(Q141-X141),NA())</f>
        <v>#N/A:explicit</v>
      </c>
      <c t="str" s="552" r="AF141">
        <f>IF(ISNUMBER(Z141),Z141,"---")</f>
        <v>---</v>
      </c>
      <c s="142" r="AG141"/>
      <c t="str" s="142" r="AH141">
        <f>IF(ISBLANK(L141),NA(),MIN(AF$44:AF$361))</f>
        <v>#N/A:explicit</v>
      </c>
      <c t="str" s="142" r="AI141">
        <f>IF(ISNA(AA141),Z141,AA141)</f>
        <v>#N/A:explicit</v>
      </c>
      <c s="142" r="AJ141">
        <f>MIN(AF$44:AF$361)</f>
        <v>0</v>
      </c>
      <c s="142" r="AK141"/>
      <c t="str" s="142" r="AL141">
        <f>IF(ISNUMBER(AB141),O141,"---")</f>
        <v>---</v>
      </c>
      <c t="str" s="80" r="AM141">
        <f>IF(ISNUMBER(AB141),AB141,"---")</f>
        <v>---</v>
      </c>
      <c s="80" r="AN141"/>
      <c t="str" s="142" r="AO141">
        <f>IF((M141="r"),Z141,NA())</f>
        <v>#N/A:explicit</v>
      </c>
      <c t="str" s="142" r="AP141">
        <f>IF((M141="p"),Z141,NA())</f>
        <v>#N/A:explicit</v>
      </c>
      <c t="str" s="142" r="AQ141">
        <f>IF((M141="n"),Z141,NA())</f>
        <v>#N/A:explicit</v>
      </c>
      <c t="str" s="142" r="AR141">
        <f>IF((M141="g"),Z141,NA())</f>
        <v>#N/A:explicit</v>
      </c>
      <c s="142" r="AS141"/>
      <c t="str" s="142" r="AT141">
        <f>IF((COUNTA($M141:$M$361)=0),"---",IF(AND(($M141="r"),(COUNTA($M142:$M$361)&gt;0)),(MAX(AT$44:AT140)+1),IF(OR(($M140="p"),($M140="n"),($M140="g")),"---",AT140)))</f>
        <v>---</v>
      </c>
      <c t="str" s="142" r="AU141">
        <f>IF((COUNTA($M141:$M$361)=0),"---",IF(AND(($M141="p"),(COUNTA($M142:$M$361)&gt;0)),(MAX(AU$44:AU140)+1),IF(OR(($M140="r"),($M140="n"),($M140="g")),"---",AU140)))</f>
        <v>---</v>
      </c>
      <c t="str" s="142" r="AV141">
        <f>IF((COUNTA($M141:$M$361)=0),"---",IF(AND(($M141="n"),(COUNTA($M142:$M$361)&gt;0)),(MAX(AV$44:AV140)+1),IF(OR(($M140="r"),($M140="p"),($M140="g")),"---",AV140)))</f>
        <v>---</v>
      </c>
      <c t="str" s="142" r="AW141">
        <f>IF((COUNTA($M141:$M$361)=0),"---",IF(AND(($M141="g"),(COUNTA($M142:$M$361)&gt;0)),(MAX(AW$44:AW140)+1),IF(OR(($M140="r"),($M140="p"),($M140="n")),"---",AW140)))</f>
        <v>---</v>
      </c>
      <c s="676" r="AX141">
        <f>IF((M141="p"),(1+MAX(AX$44:AX140)),0)</f>
        <v>0</v>
      </c>
      <c s="51" r="AY141"/>
      <c s="761" r="AZ141"/>
      <c s="761" r="BA141"/>
      <c s="125" r="BB141"/>
      <c s="125" r="BC141"/>
      <c s="125" r="BD141"/>
      <c s="125" r="BE141"/>
      <c s="125" r="BF141"/>
      <c s="125" r="BG141"/>
      <c s="125" r="BH141"/>
      <c s="125" r="BI141"/>
    </row>
    <row r="142">
      <c s="125" r="A142"/>
      <c s="125" r="B142"/>
      <c s="125" r="C142"/>
      <c s="125" r="D142"/>
      <c s="125" r="E142"/>
      <c s="125" r="F142"/>
      <c s="125" r="G142"/>
      <c s="125" r="H142"/>
      <c s="125" r="I142"/>
      <c s="822" r="J142"/>
      <c s="848" r="K142"/>
      <c s="550" r="L142"/>
      <c s="104" r="M142"/>
      <c s="550" r="N142"/>
      <c t="str" s="589" r="O142">
        <f>IF((AH$28=2),IF(ISBLANK(N142),O141,N142),IF(ISNUMBER(N142),(MAX(O$44:O141)+N142),O141))</f>
        <v/>
      </c>
      <c s="694" r="P142"/>
      <c s="273" r="Q142">
        <f>IF(ISNUMBER(P142),((Q141+P142)-R141),Q141)</f>
        <v>100</v>
      </c>
      <c s="694" r="R142"/>
      <c s="821" r="S142"/>
      <c s="550" r="T142"/>
      <c s="550" r="U142"/>
      <c s="550" r="V142"/>
      <c s="550" r="W142"/>
      <c s="550" r="X142"/>
      <c s="550" r="Y142"/>
      <c t="str" s="470" r="Z142">
        <f>IF(ISNUMBER(S142),(Q142-S142),NA())</f>
        <v>#N/A:explicit</v>
      </c>
      <c t="str" s="470" r="AA142">
        <f>IF(ISNUMBER(T142),IF((AH$22=1),(Z142+T142),(Q142-T142)),NA())</f>
        <v>#N/A:explicit</v>
      </c>
      <c t="str" s="470" r="AB142">
        <f>IF(ISNUMBER(U142),(Q142-U142),NA())</f>
        <v>#N/A:explicit</v>
      </c>
      <c t="str" s="470" r="AC142">
        <f>IF(ISNUMBER(V142),(Q142-V142),NA())</f>
        <v>#N/A:explicit</v>
      </c>
      <c t="str" s="470" r="AD142">
        <f>IF(ISNUMBER(W142),(Q142-W142),NA())</f>
        <v>#N/A:explicit</v>
      </c>
      <c t="str" s="470" r="AE142">
        <f>IF(ISNUMBER(X142),(Q142-X142),NA())</f>
        <v>#N/A:explicit</v>
      </c>
      <c t="str" s="552" r="AF142">
        <f>IF(ISNUMBER(Z142),Z142,"---")</f>
        <v>---</v>
      </c>
      <c s="142" r="AG142"/>
      <c t="str" s="142" r="AH142">
        <f>IF(ISBLANK(L142),NA(),MIN(AF$44:AF$361))</f>
        <v>#N/A:explicit</v>
      </c>
      <c t="str" s="142" r="AI142">
        <f>IF(ISNA(AA142),Z142,AA142)</f>
        <v>#N/A:explicit</v>
      </c>
      <c s="142" r="AJ142">
        <f>MIN(AF$44:AF$361)</f>
        <v>0</v>
      </c>
      <c s="142" r="AK142"/>
      <c t="str" s="142" r="AL142">
        <f>IF(ISNUMBER(AB142),O142,"---")</f>
        <v>---</v>
      </c>
      <c t="str" s="80" r="AM142">
        <f>IF(ISNUMBER(AB142),AB142,"---")</f>
        <v>---</v>
      </c>
      <c s="80" r="AN142"/>
      <c t="str" s="142" r="AO142">
        <f>IF((M142="r"),Z142,NA())</f>
        <v>#N/A:explicit</v>
      </c>
      <c t="str" s="142" r="AP142">
        <f>IF((M142="p"),Z142,NA())</f>
        <v>#N/A:explicit</v>
      </c>
      <c t="str" s="142" r="AQ142">
        <f>IF((M142="n"),Z142,NA())</f>
        <v>#N/A:explicit</v>
      </c>
      <c t="str" s="142" r="AR142">
        <f>IF((M142="g"),Z142,NA())</f>
        <v>#N/A:explicit</v>
      </c>
      <c s="142" r="AS142"/>
      <c t="str" s="142" r="AT142">
        <f>IF((COUNTA($M142:$M$361)=0),"---",IF(AND(($M142="r"),(COUNTA($M143:$M$361)&gt;0)),(MAX(AT$44:AT141)+1),IF(OR(($M141="p"),($M141="n"),($M141="g")),"---",AT141)))</f>
        <v>---</v>
      </c>
      <c t="str" s="142" r="AU142">
        <f>IF((COUNTA($M142:$M$361)=0),"---",IF(AND(($M142="p"),(COUNTA($M143:$M$361)&gt;0)),(MAX(AU$44:AU141)+1),IF(OR(($M141="r"),($M141="n"),($M141="g")),"---",AU141)))</f>
        <v>---</v>
      </c>
      <c t="str" s="142" r="AV142">
        <f>IF((COUNTA($M142:$M$361)=0),"---",IF(AND(($M142="n"),(COUNTA($M143:$M$361)&gt;0)),(MAX(AV$44:AV141)+1),IF(OR(($M141="r"),($M141="p"),($M141="g")),"---",AV141)))</f>
        <v>---</v>
      </c>
      <c t="str" s="142" r="AW142">
        <f>IF((COUNTA($M142:$M$361)=0),"---",IF(AND(($M142="g"),(COUNTA($M143:$M$361)&gt;0)),(MAX(AW$44:AW141)+1),IF(OR(($M141="r"),($M141="p"),($M141="n")),"---",AW141)))</f>
        <v>---</v>
      </c>
      <c s="676" r="AX142">
        <f>IF((M142="p"),(1+MAX(AX$44:AX141)),0)</f>
        <v>0</v>
      </c>
      <c s="51" r="AY142"/>
      <c s="761" r="AZ142"/>
      <c s="761" r="BA142"/>
      <c s="125" r="BB142"/>
      <c s="125" r="BC142"/>
      <c s="125" r="BD142"/>
      <c s="125" r="BE142"/>
      <c s="125" r="BF142"/>
      <c s="125" r="BG142"/>
      <c s="125" r="BH142"/>
      <c s="125" r="BI142"/>
    </row>
    <row r="143">
      <c s="125" r="A143"/>
      <c s="125" r="B143"/>
      <c s="125" r="C143"/>
      <c s="125" r="D143"/>
      <c s="125" r="E143"/>
      <c s="125" r="F143"/>
      <c s="125" r="G143"/>
      <c s="125" r="H143"/>
      <c s="125" r="I143"/>
      <c s="822" r="J143"/>
      <c s="848" r="K143"/>
      <c s="550" r="L143"/>
      <c s="104" r="M143"/>
      <c s="550" r="N143"/>
      <c t="str" s="589" r="O143">
        <f>IF((AH$28=2),IF(ISBLANK(N143),O142,N143),IF(ISNUMBER(N143),(MAX(O$44:O142)+N143),O142))</f>
        <v/>
      </c>
      <c s="694" r="P143"/>
      <c s="273" r="Q143">
        <f>IF(ISNUMBER(P143),((Q142+P143)-R142),Q142)</f>
        <v>100</v>
      </c>
      <c s="694" r="R143"/>
      <c s="821" r="S143"/>
      <c s="550" r="T143"/>
      <c s="550" r="U143"/>
      <c s="550" r="V143"/>
      <c s="550" r="W143"/>
      <c s="550" r="X143"/>
      <c s="550" r="Y143"/>
      <c t="str" s="470" r="Z143">
        <f>IF(ISNUMBER(S143),(Q143-S143),NA())</f>
        <v>#N/A:explicit</v>
      </c>
      <c t="str" s="470" r="AA143">
        <f>IF(ISNUMBER(T143),IF((AH$22=1),(Z143+T143),(Q143-T143)),NA())</f>
        <v>#N/A:explicit</v>
      </c>
      <c t="str" s="470" r="AB143">
        <f>IF(ISNUMBER(U143),(Q143-U143),NA())</f>
        <v>#N/A:explicit</v>
      </c>
      <c t="str" s="470" r="AC143">
        <f>IF(ISNUMBER(V143),(Q143-V143),NA())</f>
        <v>#N/A:explicit</v>
      </c>
      <c t="str" s="470" r="AD143">
        <f>IF(ISNUMBER(W143),(Q143-W143),NA())</f>
        <v>#N/A:explicit</v>
      </c>
      <c t="str" s="470" r="AE143">
        <f>IF(ISNUMBER(X143),(Q143-X143),NA())</f>
        <v>#N/A:explicit</v>
      </c>
      <c t="str" s="552" r="AF143">
        <f>IF(ISNUMBER(Z143),Z143,"---")</f>
        <v>---</v>
      </c>
      <c s="142" r="AG143"/>
      <c t="str" s="142" r="AH143">
        <f>IF(ISBLANK(L143),NA(),MIN(AF$44:AF$361))</f>
        <v>#N/A:explicit</v>
      </c>
      <c t="str" s="142" r="AI143">
        <f>IF(ISNA(AA143),Z143,AA143)</f>
        <v>#N/A:explicit</v>
      </c>
      <c s="142" r="AJ143">
        <f>MIN(AF$44:AF$361)</f>
        <v>0</v>
      </c>
      <c s="142" r="AK143"/>
      <c t="str" s="142" r="AL143">
        <f>IF(ISNUMBER(AB143),O143,"---")</f>
        <v>---</v>
      </c>
      <c t="str" s="80" r="AM143">
        <f>IF(ISNUMBER(AB143),AB143,"---")</f>
        <v>---</v>
      </c>
      <c s="80" r="AN143"/>
      <c t="str" s="142" r="AO143">
        <f>IF((M143="r"),Z143,NA())</f>
        <v>#N/A:explicit</v>
      </c>
      <c t="str" s="142" r="AP143">
        <f>IF((M143="p"),Z143,NA())</f>
        <v>#N/A:explicit</v>
      </c>
      <c t="str" s="142" r="AQ143">
        <f>IF((M143="n"),Z143,NA())</f>
        <v>#N/A:explicit</v>
      </c>
      <c t="str" s="142" r="AR143">
        <f>IF((M143="g"),Z143,NA())</f>
        <v>#N/A:explicit</v>
      </c>
      <c s="142" r="AS143"/>
      <c t="str" s="142" r="AT143">
        <f>IF((COUNTA($M143:$M$361)=0),"---",IF(AND(($M143="r"),(COUNTA($M144:$M$361)&gt;0)),(MAX(AT$44:AT142)+1),IF(OR(($M142="p"),($M142="n"),($M142="g")),"---",AT142)))</f>
        <v>---</v>
      </c>
      <c t="str" s="142" r="AU143">
        <f>IF((COUNTA($M143:$M$361)=0),"---",IF(AND(($M143="p"),(COUNTA($M144:$M$361)&gt;0)),(MAX(AU$44:AU142)+1),IF(OR(($M142="r"),($M142="n"),($M142="g")),"---",AU142)))</f>
        <v>---</v>
      </c>
      <c t="str" s="142" r="AV143">
        <f>IF((COUNTA($M143:$M$361)=0),"---",IF(AND(($M143="n"),(COUNTA($M144:$M$361)&gt;0)),(MAX(AV$44:AV142)+1),IF(OR(($M142="r"),($M142="p"),($M142="g")),"---",AV142)))</f>
        <v>---</v>
      </c>
      <c t="str" s="142" r="AW143">
        <f>IF((COUNTA($M143:$M$361)=0),"---",IF(AND(($M143="g"),(COUNTA($M144:$M$361)&gt;0)),(MAX(AW$44:AW142)+1),IF(OR(($M142="r"),($M142="p"),($M142="n")),"---",AW142)))</f>
        <v>---</v>
      </c>
      <c s="676" r="AX143">
        <f>IF((M143="p"),(1+MAX(AX$44:AX142)),0)</f>
        <v>0</v>
      </c>
      <c s="51" r="AY143"/>
      <c s="761" r="AZ143"/>
      <c s="761" r="BA143"/>
      <c s="125" r="BB143"/>
      <c s="125" r="BC143"/>
      <c s="125" r="BD143"/>
      <c s="125" r="BE143"/>
      <c s="125" r="BF143"/>
      <c s="125" r="BG143"/>
      <c s="125" r="BH143"/>
      <c s="125" r="BI143"/>
    </row>
    <row r="144">
      <c s="125" r="A144"/>
      <c s="125" r="B144"/>
      <c s="125" r="C144"/>
      <c s="125" r="D144"/>
      <c s="125" r="E144"/>
      <c s="125" r="F144"/>
      <c s="125" r="G144"/>
      <c s="125" r="H144"/>
      <c s="125" r="I144"/>
      <c s="822" r="J144"/>
      <c s="429" r="K144"/>
      <c s="458" r="L144"/>
      <c s="104" r="M144"/>
      <c s="458" r="N144"/>
      <c t="str" s="589" r="O144">
        <f>IF((AH$28=2),IF(ISBLANK(N144),O143,N144),IF(ISNUMBER(N144),(MAX(O$44:O143)+N144),O143))</f>
        <v/>
      </c>
      <c s="228" r="P144"/>
      <c s="273" r="Q144">
        <f>IF(ISNUMBER(P144),((Q143+P144)-R143),Q143)</f>
        <v>100</v>
      </c>
      <c s="228" r="R144"/>
      <c s="610" r="S144"/>
      <c s="458" r="T144"/>
      <c s="458" r="U144"/>
      <c s="458" r="V144"/>
      <c s="458" r="W144"/>
      <c s="458" r="X144"/>
      <c s="458" r="Y144"/>
      <c t="str" s="620" r="Z144">
        <f>IF(ISNUMBER(S144),(Q144-S144),NA())</f>
        <v>#N/A:explicit</v>
      </c>
      <c t="str" s="620" r="AA144">
        <f>IF(ISNUMBER(T144),IF((AH$22=1),(Z144+T144),(Q144-T144)),NA())</f>
        <v>#N/A:explicit</v>
      </c>
      <c t="str" s="620" r="AB144">
        <f>IF(ISNUMBER(U144),(Q144-U144),NA())</f>
        <v>#N/A:explicit</v>
      </c>
      <c t="str" s="620" r="AC144">
        <f>IF(ISNUMBER(V144),(Q144-V144),NA())</f>
        <v>#N/A:explicit</v>
      </c>
      <c t="str" s="620" r="AD144">
        <f>IF(ISNUMBER(W144),(Q144-W144),NA())</f>
        <v>#N/A:explicit</v>
      </c>
      <c t="str" s="620" r="AE144">
        <f>IF(ISNUMBER(X144),(Q144-X144),NA())</f>
        <v>#N/A:explicit</v>
      </c>
      <c t="str" s="552" r="AF144">
        <f>IF(ISNUMBER(Z144),Z144,"---")</f>
        <v>---</v>
      </c>
      <c s="142" r="AG144"/>
      <c t="str" s="142" r="AH144">
        <f>IF(ISBLANK(L144),NA(),MIN(AF$44:AF$361))</f>
        <v>#N/A:explicit</v>
      </c>
      <c t="str" s="142" r="AI144">
        <f>IF(ISNA(AA144),Z144,AA144)</f>
        <v>#N/A:explicit</v>
      </c>
      <c s="142" r="AJ144">
        <f>MIN(AF$44:AF$361)</f>
        <v>0</v>
      </c>
      <c s="142" r="AK144"/>
      <c t="str" s="142" r="AL144">
        <f>IF(ISNUMBER(AB144),O144,"---")</f>
        <v>---</v>
      </c>
      <c t="str" s="80" r="AM144">
        <f>IF(ISNUMBER(AB144),AB144,"---")</f>
        <v>---</v>
      </c>
      <c s="80" r="AN144"/>
      <c t="str" s="142" r="AO144">
        <f>IF((M144="r"),Z144,NA())</f>
        <v>#N/A:explicit</v>
      </c>
      <c t="str" s="142" r="AP144">
        <f>IF((M144="p"),Z144,NA())</f>
        <v>#N/A:explicit</v>
      </c>
      <c t="str" s="142" r="AQ144">
        <f>IF((M144="n"),Z144,NA())</f>
        <v>#N/A:explicit</v>
      </c>
      <c t="str" s="142" r="AR144">
        <f>IF((M144="g"),Z144,NA())</f>
        <v>#N/A:explicit</v>
      </c>
      <c s="142" r="AS144"/>
      <c t="str" s="142" r="AT144">
        <f>IF((COUNTA($M144:$M$361)=0),"---",IF(AND(($M144="r"),(COUNTA($M145:$M$361)&gt;0)),(MAX(AT$44:AT143)+1),IF(OR(($M143="p"),($M143="n"),($M143="g")),"---",AT143)))</f>
        <v>---</v>
      </c>
      <c t="str" s="142" r="AU144">
        <f>IF((COUNTA($M144:$M$361)=0),"---",IF(AND(($M144="p"),(COUNTA($M145:$M$361)&gt;0)),(MAX(AU$44:AU143)+1),IF(OR(($M143="r"),($M143="n"),($M143="g")),"---",AU143)))</f>
        <v>---</v>
      </c>
      <c t="str" s="142" r="AV144">
        <f>IF((COUNTA($M144:$M$361)=0),"---",IF(AND(($M144="n"),(COUNTA($M145:$M$361)&gt;0)),(MAX(AV$44:AV143)+1),IF(OR(($M143="r"),($M143="p"),($M143="g")),"---",AV143)))</f>
        <v>---</v>
      </c>
      <c t="str" s="142" r="AW144">
        <f>IF((COUNTA($M144:$M$361)=0),"---",IF(AND(($M144="g"),(COUNTA($M145:$M$361)&gt;0)),(MAX(AW$44:AW143)+1),IF(OR(($M143="r"),($M143="p"),($M143="n")),"---",AW143)))</f>
        <v>---</v>
      </c>
      <c s="676" r="AX144">
        <f>IF((M144="p"),(1+MAX(AX$44:AX143)),0)</f>
        <v>0</v>
      </c>
      <c s="51" r="AY144"/>
      <c s="761" r="AZ144"/>
      <c s="761" r="BA144"/>
      <c s="125" r="BB144"/>
      <c s="125" r="BC144"/>
      <c s="125" r="BD144"/>
      <c s="125" r="BE144"/>
      <c s="125" r="BF144"/>
      <c s="125" r="BG144"/>
      <c s="125" r="BH144"/>
      <c s="125" r="BI144"/>
    </row>
    <row r="145">
      <c s="125" r="A145"/>
      <c s="125" r="B145"/>
      <c s="125" r="C145"/>
      <c s="125" r="D145"/>
      <c s="125" r="E145"/>
      <c s="125" r="F145"/>
      <c s="125" r="G145"/>
      <c s="125" r="H145"/>
      <c s="125" r="I145"/>
      <c s="822" r="J145"/>
      <c s="429" r="K145"/>
      <c s="458" r="L145"/>
      <c s="104" r="M145"/>
      <c s="458" r="N145"/>
      <c t="str" s="589" r="O145">
        <f>IF((AH$28=2),IF(ISBLANK(N145),O144,N145),IF(ISNUMBER(N145),(MAX(O$44:O144)+N145),O144))</f>
        <v/>
      </c>
      <c s="228" r="P145"/>
      <c s="273" r="Q145">
        <f>IF(ISNUMBER(P145),((Q144+P145)-R144),Q144)</f>
        <v>100</v>
      </c>
      <c s="228" r="R145"/>
      <c s="610" r="S145"/>
      <c s="458" r="T145"/>
      <c s="458" r="U145"/>
      <c s="458" r="V145"/>
      <c s="458" r="W145"/>
      <c s="458" r="X145"/>
      <c s="458" r="Y145"/>
      <c t="str" s="620" r="Z145">
        <f>IF(ISNUMBER(S145),(Q145-S145),NA())</f>
        <v>#N/A:explicit</v>
      </c>
      <c t="str" s="620" r="AA145">
        <f>IF(ISNUMBER(T145),IF((AH$22=1),(Z145+T145),(Q145-T145)),NA())</f>
        <v>#N/A:explicit</v>
      </c>
      <c t="str" s="620" r="AB145">
        <f>IF(ISNUMBER(U145),(Q145-U145),NA())</f>
        <v>#N/A:explicit</v>
      </c>
      <c t="str" s="620" r="AC145">
        <f>IF(ISNUMBER(V145),(Q145-V145),NA())</f>
        <v>#N/A:explicit</v>
      </c>
      <c t="str" s="620" r="AD145">
        <f>IF(ISNUMBER(W145),(Q145-W145),NA())</f>
        <v>#N/A:explicit</v>
      </c>
      <c t="str" s="620" r="AE145">
        <f>IF(ISNUMBER(X145),(Q145-X145),NA())</f>
        <v>#N/A:explicit</v>
      </c>
      <c t="str" s="552" r="AF145">
        <f>IF(ISNUMBER(Z145),Z145,"---")</f>
        <v>---</v>
      </c>
      <c s="142" r="AG145"/>
      <c t="str" s="142" r="AH145">
        <f>IF(ISBLANK(L145),NA(),MIN(AF$44:AF$361))</f>
        <v>#N/A:explicit</v>
      </c>
      <c t="str" s="142" r="AI145">
        <f>IF(ISNA(AA145),Z145,AA145)</f>
        <v>#N/A:explicit</v>
      </c>
      <c s="142" r="AJ145">
        <f>MIN(AF$44:AF$361)</f>
        <v>0</v>
      </c>
      <c s="142" r="AK145"/>
      <c t="str" s="142" r="AL145">
        <f>IF(ISNUMBER(AB145),O145,"---")</f>
        <v>---</v>
      </c>
      <c t="str" s="80" r="AM145">
        <f>IF(ISNUMBER(AB145),AB145,"---")</f>
        <v>---</v>
      </c>
      <c s="80" r="AN145"/>
      <c t="str" s="142" r="AO145">
        <f>IF((M145="r"),Z145,NA())</f>
        <v>#N/A:explicit</v>
      </c>
      <c t="str" s="142" r="AP145">
        <f>IF((M145="p"),Z145,NA())</f>
        <v>#N/A:explicit</v>
      </c>
      <c t="str" s="142" r="AQ145">
        <f>IF((M145="n"),Z145,NA())</f>
        <v>#N/A:explicit</v>
      </c>
      <c t="str" s="142" r="AR145">
        <f>IF((M145="g"),Z145,NA())</f>
        <v>#N/A:explicit</v>
      </c>
      <c s="142" r="AS145"/>
      <c t="str" s="142" r="AT145">
        <f>IF((COUNTA($M145:$M$361)=0),"---",IF(AND(($M145="r"),(COUNTA($M146:$M$361)&gt;0)),(MAX(AT$44:AT144)+1),IF(OR(($M144="p"),($M144="n"),($M144="g")),"---",AT144)))</f>
        <v>---</v>
      </c>
      <c t="str" s="142" r="AU145">
        <f>IF((COUNTA($M145:$M$361)=0),"---",IF(AND(($M145="p"),(COUNTA($M146:$M$361)&gt;0)),(MAX(AU$44:AU144)+1),IF(OR(($M144="r"),($M144="n"),($M144="g")),"---",AU144)))</f>
        <v>---</v>
      </c>
      <c t="str" s="142" r="AV145">
        <f>IF((COUNTA($M145:$M$361)=0),"---",IF(AND(($M145="n"),(COUNTA($M146:$M$361)&gt;0)),(MAX(AV$44:AV144)+1),IF(OR(($M144="r"),($M144="p"),($M144="g")),"---",AV144)))</f>
        <v>---</v>
      </c>
      <c t="str" s="142" r="AW145">
        <f>IF((COUNTA($M145:$M$361)=0),"---",IF(AND(($M145="g"),(COUNTA($M146:$M$361)&gt;0)),(MAX(AW$44:AW144)+1),IF(OR(($M144="r"),($M144="p"),($M144="n")),"---",AW144)))</f>
        <v>---</v>
      </c>
      <c s="676" r="AX145">
        <f>IF((M145="p"),(1+MAX(AX$44:AX144)),0)</f>
        <v>0</v>
      </c>
      <c s="51" r="AY145"/>
      <c s="761" r="AZ145"/>
      <c s="761" r="BA145"/>
      <c s="125" r="BB145"/>
      <c s="125" r="BC145"/>
      <c s="125" r="BD145"/>
      <c s="125" r="BE145"/>
      <c s="125" r="BF145"/>
      <c s="125" r="BG145"/>
      <c s="125" r="BH145"/>
      <c s="125" r="BI145"/>
    </row>
    <row r="146">
      <c s="125" r="A146"/>
      <c s="125" r="B146"/>
      <c s="125" r="C146"/>
      <c s="125" r="D146"/>
      <c s="125" r="E146"/>
      <c s="125" r="F146"/>
      <c s="125" r="G146"/>
      <c s="125" r="H146"/>
      <c s="125" r="I146"/>
      <c s="822" r="J146"/>
      <c s="429" r="K146"/>
      <c s="458" r="L146"/>
      <c s="104" r="M146"/>
      <c s="458" r="N146"/>
      <c t="str" s="589" r="O146">
        <f>IF((AH$28=2),IF(ISBLANK(N146),O145,N146),IF(ISNUMBER(N146),(MAX(O$44:O145)+N146),O145))</f>
        <v/>
      </c>
      <c s="228" r="P146"/>
      <c s="273" r="Q146">
        <f>IF(ISNUMBER(P146),((Q145+P146)-R145),Q145)</f>
        <v>100</v>
      </c>
      <c s="228" r="R146"/>
      <c s="610" r="S146"/>
      <c s="458" r="T146"/>
      <c s="458" r="U146"/>
      <c s="458" r="V146"/>
      <c s="458" r="W146"/>
      <c s="458" r="X146"/>
      <c s="458" r="Y146"/>
      <c t="str" s="620" r="Z146">
        <f>IF(ISNUMBER(S146),(Q146-S146),NA())</f>
        <v>#N/A:explicit</v>
      </c>
      <c t="str" s="620" r="AA146">
        <f>IF(ISNUMBER(T146),IF((AH$22=1),(Z146+T146),(Q146-T146)),NA())</f>
        <v>#N/A:explicit</v>
      </c>
      <c t="str" s="620" r="AB146">
        <f>IF(ISNUMBER(U146),(Q146-U146),NA())</f>
        <v>#N/A:explicit</v>
      </c>
      <c t="str" s="620" r="AC146">
        <f>IF(ISNUMBER(V146),(Q146-V146),NA())</f>
        <v>#N/A:explicit</v>
      </c>
      <c t="str" s="620" r="AD146">
        <f>IF(ISNUMBER(W146),(Q146-W146),NA())</f>
        <v>#N/A:explicit</v>
      </c>
      <c t="str" s="620" r="AE146">
        <f>IF(ISNUMBER(X146),(Q146-X146),NA())</f>
        <v>#N/A:explicit</v>
      </c>
      <c t="str" s="552" r="AF146">
        <f>IF(ISNUMBER(Z146),Z146,"---")</f>
        <v>---</v>
      </c>
      <c s="142" r="AG146"/>
      <c t="str" s="142" r="AH146">
        <f>IF(ISBLANK(L146),NA(),MIN(AF$44:AF$361))</f>
        <v>#N/A:explicit</v>
      </c>
      <c t="str" s="142" r="AI146">
        <f>IF(ISNA(AA146),Z146,AA146)</f>
        <v>#N/A:explicit</v>
      </c>
      <c s="142" r="AJ146">
        <f>MIN(AF$44:AF$361)</f>
        <v>0</v>
      </c>
      <c s="142" r="AK146"/>
      <c t="str" s="142" r="AL146">
        <f>IF(ISNUMBER(AB146),O146,"---")</f>
        <v>---</v>
      </c>
      <c t="str" s="80" r="AM146">
        <f>IF(ISNUMBER(AB146),AB146,"---")</f>
        <v>---</v>
      </c>
      <c s="80" r="AN146"/>
      <c t="str" s="142" r="AO146">
        <f>IF((M146="r"),Z146,NA())</f>
        <v>#N/A:explicit</v>
      </c>
      <c t="str" s="142" r="AP146">
        <f>IF((M146="p"),Z146,NA())</f>
        <v>#N/A:explicit</v>
      </c>
      <c t="str" s="142" r="AQ146">
        <f>IF((M146="n"),Z146,NA())</f>
        <v>#N/A:explicit</v>
      </c>
      <c t="str" s="142" r="AR146">
        <f>IF((M146="g"),Z146,NA())</f>
        <v>#N/A:explicit</v>
      </c>
      <c s="142" r="AS146"/>
      <c t="str" s="142" r="AT146">
        <f>IF((COUNTA($M146:$M$361)=0),"---",IF(AND(($M146="r"),(COUNTA($M147:$M$361)&gt;0)),(MAX(AT$44:AT145)+1),IF(OR(($M145="p"),($M145="n"),($M145="g")),"---",AT145)))</f>
        <v>---</v>
      </c>
      <c t="str" s="142" r="AU146">
        <f>IF((COUNTA($M146:$M$361)=0),"---",IF(AND(($M146="p"),(COUNTA($M147:$M$361)&gt;0)),(MAX(AU$44:AU145)+1),IF(OR(($M145="r"),($M145="n"),($M145="g")),"---",AU145)))</f>
        <v>---</v>
      </c>
      <c t="str" s="142" r="AV146">
        <f>IF((COUNTA($M146:$M$361)=0),"---",IF(AND(($M146="n"),(COUNTA($M147:$M$361)&gt;0)),(MAX(AV$44:AV145)+1),IF(OR(($M145="r"),($M145="p"),($M145="g")),"---",AV145)))</f>
        <v>---</v>
      </c>
      <c t="str" s="142" r="AW146">
        <f>IF((COUNTA($M146:$M$361)=0),"---",IF(AND(($M146="g"),(COUNTA($M147:$M$361)&gt;0)),(MAX(AW$44:AW145)+1),IF(OR(($M145="r"),($M145="p"),($M145="n")),"---",AW145)))</f>
        <v>---</v>
      </c>
      <c s="676" r="AX146">
        <f>IF((M146="p"),(1+MAX(AX$44:AX145)),0)</f>
        <v>0</v>
      </c>
      <c s="51" r="AY146"/>
      <c s="761" r="AZ146"/>
      <c s="761" r="BA146"/>
      <c s="125" r="BB146"/>
      <c s="125" r="BC146"/>
      <c s="125" r="BD146"/>
      <c s="125" r="BE146"/>
      <c s="125" r="BF146"/>
      <c s="125" r="BG146"/>
      <c s="125" r="BH146"/>
      <c s="125" r="BI146"/>
    </row>
    <row r="147">
      <c s="125" r="A147"/>
      <c s="125" r="B147"/>
      <c s="125" r="C147"/>
      <c s="125" r="D147"/>
      <c s="125" r="E147"/>
      <c s="125" r="F147"/>
      <c s="125" r="G147"/>
      <c s="125" r="H147"/>
      <c s="125" r="I147"/>
      <c s="822" r="J147"/>
      <c s="848" r="K147"/>
      <c s="550" r="L147"/>
      <c s="104" r="M147"/>
      <c s="550" r="N147"/>
      <c t="str" s="589" r="O147">
        <f>IF((AH$28=2),IF(ISBLANK(N147),O146,N147),IF(ISNUMBER(N147),(MAX(O$44:O146)+N147),O146))</f>
        <v/>
      </c>
      <c s="694" r="P147"/>
      <c s="273" r="Q147">
        <f>IF(ISNUMBER(P147),((Q146+P147)-R146),Q146)</f>
        <v>100</v>
      </c>
      <c s="694" r="R147"/>
      <c s="821" r="S147"/>
      <c s="550" r="T147"/>
      <c s="550" r="U147"/>
      <c s="550" r="V147"/>
      <c s="550" r="W147"/>
      <c s="550" r="X147"/>
      <c s="550" r="Y147"/>
      <c t="str" s="470" r="Z147">
        <f>IF(ISNUMBER(S147),(Q147-S147),NA())</f>
        <v>#N/A:explicit</v>
      </c>
      <c t="str" s="470" r="AA147">
        <f>IF(ISNUMBER(T147),IF((AH$22=1),(Z147+T147),(Q147-T147)),NA())</f>
        <v>#N/A:explicit</v>
      </c>
      <c t="str" s="470" r="AB147">
        <f>IF(ISNUMBER(U147),(Q147-U147),NA())</f>
        <v>#N/A:explicit</v>
      </c>
      <c t="str" s="470" r="AC147">
        <f>IF(ISNUMBER(V147),(Q147-V147),NA())</f>
        <v>#N/A:explicit</v>
      </c>
      <c t="str" s="470" r="AD147">
        <f>IF(ISNUMBER(W147),(Q147-W147),NA())</f>
        <v>#N/A:explicit</v>
      </c>
      <c t="str" s="470" r="AE147">
        <f>IF(ISNUMBER(X147),(Q147-X147),NA())</f>
        <v>#N/A:explicit</v>
      </c>
      <c t="str" s="552" r="AF147">
        <f>IF(ISNUMBER(Z147),Z147,"---")</f>
        <v>---</v>
      </c>
      <c s="142" r="AG147"/>
      <c t="str" s="142" r="AH147">
        <f>IF(ISBLANK(L147),NA(),MIN(AF$44:AF$361))</f>
        <v>#N/A:explicit</v>
      </c>
      <c t="str" s="142" r="AI147">
        <f>IF(ISNA(AA147),Z147,AA147)</f>
        <v>#N/A:explicit</v>
      </c>
      <c s="142" r="AJ147">
        <f>MIN(AF$44:AF$361)</f>
        <v>0</v>
      </c>
      <c s="142" r="AK147"/>
      <c t="str" s="142" r="AL147">
        <f>IF(ISNUMBER(AB147),O147,"---")</f>
        <v>---</v>
      </c>
      <c t="str" s="80" r="AM147">
        <f>IF(ISNUMBER(AB147),AB147,"---")</f>
        <v>---</v>
      </c>
      <c s="80" r="AN147"/>
      <c t="str" s="142" r="AO147">
        <f>IF((M147="r"),Z147,NA())</f>
        <v>#N/A:explicit</v>
      </c>
      <c t="str" s="142" r="AP147">
        <f>IF((M147="p"),Z147,NA())</f>
        <v>#N/A:explicit</v>
      </c>
      <c t="str" s="142" r="AQ147">
        <f>IF((M147="n"),Z147,NA())</f>
        <v>#N/A:explicit</v>
      </c>
      <c t="str" s="142" r="AR147">
        <f>IF((M147="g"),Z147,NA())</f>
        <v>#N/A:explicit</v>
      </c>
      <c s="142" r="AS147"/>
      <c t="str" s="142" r="AT147">
        <f>IF((COUNTA($M147:$M$361)=0),"---",IF(AND(($M147="r"),(COUNTA($M148:$M$361)&gt;0)),(MAX(AT$44:AT146)+1),IF(OR(($M146="p"),($M146="n"),($M146="g")),"---",AT146)))</f>
        <v>---</v>
      </c>
      <c t="str" s="142" r="AU147">
        <f>IF((COUNTA($M147:$M$361)=0),"---",IF(AND(($M147="p"),(COUNTA($M148:$M$361)&gt;0)),(MAX(AU$44:AU146)+1),IF(OR(($M146="r"),($M146="n"),($M146="g")),"---",AU146)))</f>
        <v>---</v>
      </c>
      <c t="str" s="142" r="AV147">
        <f>IF((COUNTA($M147:$M$361)=0),"---",IF(AND(($M147="n"),(COUNTA($M148:$M$361)&gt;0)),(MAX(AV$44:AV146)+1),IF(OR(($M146="r"),($M146="p"),($M146="g")),"---",AV146)))</f>
        <v>---</v>
      </c>
      <c t="str" s="142" r="AW147">
        <f>IF((COUNTA($M147:$M$361)=0),"---",IF(AND(($M147="g"),(COUNTA($M148:$M$361)&gt;0)),(MAX(AW$44:AW146)+1),IF(OR(($M146="r"),($M146="p"),($M146="n")),"---",AW146)))</f>
        <v>---</v>
      </c>
      <c s="676" r="AX147">
        <f>IF((M147="p"),(1+MAX(AX$44:AX146)),0)</f>
        <v>0</v>
      </c>
      <c s="51" r="AY147"/>
      <c s="761" r="AZ147"/>
      <c s="761" r="BA147"/>
      <c s="125" r="BB147"/>
      <c s="125" r="BC147"/>
      <c s="125" r="BD147"/>
      <c s="125" r="BE147"/>
      <c s="125" r="BF147"/>
      <c s="125" r="BG147"/>
      <c s="125" r="BH147"/>
      <c s="125" r="BI147"/>
    </row>
    <row r="148">
      <c s="125" r="A148"/>
      <c s="125" r="B148"/>
      <c s="125" r="C148"/>
      <c s="125" r="D148"/>
      <c s="125" r="E148"/>
      <c s="125" r="F148"/>
      <c s="125" r="G148"/>
      <c s="125" r="H148"/>
      <c s="125" r="I148"/>
      <c s="822" r="J148"/>
      <c s="848" r="K148"/>
      <c s="550" r="L148"/>
      <c s="104" r="M148"/>
      <c s="550" r="N148"/>
      <c t="str" s="589" r="O148">
        <f>IF((AH$28=2),IF(ISBLANK(N148),O147,N148),IF(ISNUMBER(N148),(MAX(O$44:O147)+N148),O147))</f>
        <v/>
      </c>
      <c s="694" r="P148"/>
      <c s="273" r="Q148">
        <f>IF(ISNUMBER(P148),((Q147+P148)-R147),Q147)</f>
        <v>100</v>
      </c>
      <c s="694" r="R148"/>
      <c s="821" r="S148"/>
      <c s="550" r="T148"/>
      <c s="550" r="U148"/>
      <c s="550" r="V148"/>
      <c s="550" r="W148"/>
      <c s="550" r="X148"/>
      <c s="550" r="Y148"/>
      <c t="str" s="470" r="Z148">
        <f>IF(ISNUMBER(S148),(Q148-S148),NA())</f>
        <v>#N/A:explicit</v>
      </c>
      <c t="str" s="470" r="AA148">
        <f>IF(ISNUMBER(T148),IF((AH$22=1),(Z148+T148),(Q148-T148)),NA())</f>
        <v>#N/A:explicit</v>
      </c>
      <c t="str" s="470" r="AB148">
        <f>IF(ISNUMBER(U148),(Q148-U148),NA())</f>
        <v>#N/A:explicit</v>
      </c>
      <c t="str" s="470" r="AC148">
        <f>IF(ISNUMBER(V148),(Q148-V148),NA())</f>
        <v>#N/A:explicit</v>
      </c>
      <c t="str" s="470" r="AD148">
        <f>IF(ISNUMBER(W148),(Q148-W148),NA())</f>
        <v>#N/A:explicit</v>
      </c>
      <c t="str" s="470" r="AE148">
        <f>IF(ISNUMBER(X148),(Q148-X148),NA())</f>
        <v>#N/A:explicit</v>
      </c>
      <c t="str" s="552" r="AF148">
        <f>IF(ISNUMBER(Z148),Z148,"---")</f>
        <v>---</v>
      </c>
      <c s="142" r="AG148"/>
      <c t="str" s="142" r="AH148">
        <f>IF(ISBLANK(L148),NA(),MIN(AF$44:AF$361))</f>
        <v>#N/A:explicit</v>
      </c>
      <c t="str" s="142" r="AI148">
        <f>IF(ISNA(AA148),Z148,AA148)</f>
        <v>#N/A:explicit</v>
      </c>
      <c s="142" r="AJ148">
        <f>MIN(AF$44:AF$361)</f>
        <v>0</v>
      </c>
      <c s="142" r="AK148"/>
      <c t="str" s="142" r="AL148">
        <f>IF(ISNUMBER(AB148),O148,"---")</f>
        <v>---</v>
      </c>
      <c t="str" s="80" r="AM148">
        <f>IF(ISNUMBER(AB148),AB148,"---")</f>
        <v>---</v>
      </c>
      <c s="80" r="AN148"/>
      <c t="str" s="142" r="AO148">
        <f>IF((M148="r"),Z148,NA())</f>
        <v>#N/A:explicit</v>
      </c>
      <c t="str" s="142" r="AP148">
        <f>IF((M148="p"),Z148,NA())</f>
        <v>#N/A:explicit</v>
      </c>
      <c t="str" s="142" r="AQ148">
        <f>IF((M148="n"),Z148,NA())</f>
        <v>#N/A:explicit</v>
      </c>
      <c t="str" s="142" r="AR148">
        <f>IF((M148="g"),Z148,NA())</f>
        <v>#N/A:explicit</v>
      </c>
      <c s="142" r="AS148"/>
      <c t="str" s="142" r="AT148">
        <f>IF((COUNTA($M148:$M$361)=0),"---",IF(AND(($M148="r"),(COUNTA($M149:$M$361)&gt;0)),(MAX(AT$44:AT147)+1),IF(OR(($M147="p"),($M147="n"),($M147="g")),"---",AT147)))</f>
        <v>---</v>
      </c>
      <c t="str" s="142" r="AU148">
        <f>IF((COUNTA($M148:$M$361)=0),"---",IF(AND(($M148="p"),(COUNTA($M149:$M$361)&gt;0)),(MAX(AU$44:AU147)+1),IF(OR(($M147="r"),($M147="n"),($M147="g")),"---",AU147)))</f>
        <v>---</v>
      </c>
      <c t="str" s="142" r="AV148">
        <f>IF((COUNTA($M148:$M$361)=0),"---",IF(AND(($M148="n"),(COUNTA($M149:$M$361)&gt;0)),(MAX(AV$44:AV147)+1),IF(OR(($M147="r"),($M147="p"),($M147="g")),"---",AV147)))</f>
        <v>---</v>
      </c>
      <c t="str" s="142" r="AW148">
        <f>IF((COUNTA($M148:$M$361)=0),"---",IF(AND(($M148="g"),(COUNTA($M149:$M$361)&gt;0)),(MAX(AW$44:AW147)+1),IF(OR(($M147="r"),($M147="p"),($M147="n")),"---",AW147)))</f>
        <v>---</v>
      </c>
      <c s="676" r="AX148">
        <f>IF((M148="p"),(1+MAX(AX$44:AX147)),0)</f>
        <v>0</v>
      </c>
      <c s="51" r="AY148"/>
      <c s="761" r="AZ148"/>
      <c s="761" r="BA148"/>
      <c s="125" r="BB148"/>
      <c s="125" r="BC148"/>
      <c s="125" r="BD148"/>
      <c s="125" r="BE148"/>
      <c s="125" r="BF148"/>
      <c s="125" r="BG148"/>
      <c s="125" r="BH148"/>
      <c s="125" r="BI148"/>
    </row>
    <row r="149">
      <c s="125" r="A149"/>
      <c s="125" r="B149"/>
      <c s="125" r="C149"/>
      <c s="125" r="D149"/>
      <c s="125" r="E149"/>
      <c s="125" r="F149"/>
      <c s="125" r="G149"/>
      <c s="125" r="H149"/>
      <c s="125" r="I149"/>
      <c s="822" r="J149"/>
      <c s="848" r="K149"/>
      <c s="550" r="L149"/>
      <c s="104" r="M149"/>
      <c s="550" r="N149"/>
      <c t="str" s="589" r="O149">
        <f>IF((AH$28=2),IF(ISBLANK(N149),O148,N149),IF(ISNUMBER(N149),(MAX(O$44:O148)+N149),O148))</f>
        <v/>
      </c>
      <c s="694" r="P149"/>
      <c s="273" r="Q149">
        <f>IF(ISNUMBER(P149),((Q148+P149)-R148),Q148)</f>
        <v>100</v>
      </c>
      <c s="694" r="R149"/>
      <c s="821" r="S149"/>
      <c s="550" r="T149"/>
      <c s="550" r="U149"/>
      <c s="550" r="V149"/>
      <c s="550" r="W149"/>
      <c s="550" r="X149"/>
      <c s="550" r="Y149"/>
      <c t="str" s="470" r="Z149">
        <f>IF(ISNUMBER(S149),(Q149-S149),NA())</f>
        <v>#N/A:explicit</v>
      </c>
      <c t="str" s="470" r="AA149">
        <f>IF(ISNUMBER(T149),IF((AH$22=1),(Z149+T149),(Q149-T149)),NA())</f>
        <v>#N/A:explicit</v>
      </c>
      <c t="str" s="470" r="AB149">
        <f>IF(ISNUMBER(U149),(Q149-U149),NA())</f>
        <v>#N/A:explicit</v>
      </c>
      <c t="str" s="470" r="AC149">
        <f>IF(ISNUMBER(V149),(Q149-V149),NA())</f>
        <v>#N/A:explicit</v>
      </c>
      <c t="str" s="470" r="AD149">
        <f>IF(ISNUMBER(W149),(Q149-W149),NA())</f>
        <v>#N/A:explicit</v>
      </c>
      <c t="str" s="470" r="AE149">
        <f>IF(ISNUMBER(X149),(Q149-X149),NA())</f>
        <v>#N/A:explicit</v>
      </c>
      <c t="str" s="552" r="AF149">
        <f>IF(ISNUMBER(Z149),Z149,"---")</f>
        <v>---</v>
      </c>
      <c s="142" r="AG149"/>
      <c t="str" s="142" r="AH149">
        <f>IF(ISBLANK(L149),NA(),MIN(AF$44:AF$361))</f>
        <v>#N/A:explicit</v>
      </c>
      <c t="str" s="142" r="AI149">
        <f>IF(ISNA(AA149),Z149,AA149)</f>
        <v>#N/A:explicit</v>
      </c>
      <c s="142" r="AJ149">
        <f>MIN(AF$44:AF$361)</f>
        <v>0</v>
      </c>
      <c s="142" r="AK149"/>
      <c t="str" s="142" r="AL149">
        <f>IF(ISNUMBER(AB149),O149,"---")</f>
        <v>---</v>
      </c>
      <c t="str" s="80" r="AM149">
        <f>IF(ISNUMBER(AB149),AB149,"---")</f>
        <v>---</v>
      </c>
      <c s="80" r="AN149"/>
      <c t="str" s="142" r="AO149">
        <f>IF((M149="r"),Z149,NA())</f>
        <v>#N/A:explicit</v>
      </c>
      <c t="str" s="142" r="AP149">
        <f>IF((M149="p"),Z149,NA())</f>
        <v>#N/A:explicit</v>
      </c>
      <c t="str" s="142" r="AQ149">
        <f>IF((M149="n"),Z149,NA())</f>
        <v>#N/A:explicit</v>
      </c>
      <c t="str" s="142" r="AR149">
        <f>IF((M149="g"),Z149,NA())</f>
        <v>#N/A:explicit</v>
      </c>
      <c s="142" r="AS149"/>
      <c t="str" s="142" r="AT149">
        <f>IF((COUNTA($M149:$M$361)=0),"---",IF(AND(($M149="r"),(COUNTA($M150:$M$361)&gt;0)),(MAX(AT$44:AT148)+1),IF(OR(($M148="p"),($M148="n"),($M148="g")),"---",AT148)))</f>
        <v>---</v>
      </c>
      <c t="str" s="142" r="AU149">
        <f>IF((COUNTA($M149:$M$361)=0),"---",IF(AND(($M149="p"),(COUNTA($M150:$M$361)&gt;0)),(MAX(AU$44:AU148)+1),IF(OR(($M148="r"),($M148="n"),($M148="g")),"---",AU148)))</f>
        <v>---</v>
      </c>
      <c t="str" s="142" r="AV149">
        <f>IF((COUNTA($M149:$M$361)=0),"---",IF(AND(($M149="n"),(COUNTA($M150:$M$361)&gt;0)),(MAX(AV$44:AV148)+1),IF(OR(($M148="r"),($M148="p"),($M148="g")),"---",AV148)))</f>
        <v>---</v>
      </c>
      <c t="str" s="142" r="AW149">
        <f>IF((COUNTA($M149:$M$361)=0),"---",IF(AND(($M149="g"),(COUNTA($M150:$M$361)&gt;0)),(MAX(AW$44:AW148)+1),IF(OR(($M148="r"),($M148="p"),($M148="n")),"---",AW148)))</f>
        <v>---</v>
      </c>
      <c s="676" r="AX149">
        <f>IF((M149="p"),(1+MAX(AX$44:AX148)),0)</f>
        <v>0</v>
      </c>
      <c s="51" r="AY149"/>
      <c s="761" r="AZ149"/>
      <c s="761" r="BA149"/>
      <c s="125" r="BB149"/>
      <c s="125" r="BC149"/>
      <c s="125" r="BD149"/>
      <c s="125" r="BE149"/>
      <c s="125" r="BF149"/>
      <c s="125" r="BG149"/>
      <c s="125" r="BH149"/>
      <c s="125" r="BI149"/>
    </row>
    <row r="150">
      <c s="125" r="A150"/>
      <c s="125" r="B150"/>
      <c s="125" r="C150"/>
      <c s="125" r="D150"/>
      <c s="125" r="E150"/>
      <c s="125" r="F150"/>
      <c s="125" r="G150"/>
      <c s="125" r="H150"/>
      <c s="125" r="I150"/>
      <c s="822" r="J150"/>
      <c s="429" r="K150"/>
      <c s="458" r="L150"/>
      <c s="104" r="M150"/>
      <c s="458" r="N150"/>
      <c t="str" s="589" r="O150">
        <f>IF((AH$28=2),IF(ISBLANK(N150),O149,N150),IF(ISNUMBER(N150),(MAX(O$44:O149)+N150),O149))</f>
        <v/>
      </c>
      <c s="228" r="P150"/>
      <c s="273" r="Q150">
        <f>IF(ISNUMBER(P150),((Q149+P150)-R149),Q149)</f>
        <v>100</v>
      </c>
      <c s="228" r="R150"/>
      <c s="610" r="S150"/>
      <c s="458" r="T150"/>
      <c s="458" r="U150"/>
      <c s="458" r="V150"/>
      <c s="458" r="W150"/>
      <c s="458" r="X150"/>
      <c s="458" r="Y150"/>
      <c t="str" s="620" r="Z150">
        <f>IF(ISNUMBER(S150),(Q150-S150),NA())</f>
        <v>#N/A:explicit</v>
      </c>
      <c t="str" s="620" r="AA150">
        <f>IF(ISNUMBER(T150),IF((AH$22=1),(Z150+T150),(Q150-T150)),NA())</f>
        <v>#N/A:explicit</v>
      </c>
      <c t="str" s="620" r="AB150">
        <f>IF(ISNUMBER(U150),(Q150-U150),NA())</f>
        <v>#N/A:explicit</v>
      </c>
      <c t="str" s="620" r="AC150">
        <f>IF(ISNUMBER(V150),(Q150-V150),NA())</f>
        <v>#N/A:explicit</v>
      </c>
      <c t="str" s="620" r="AD150">
        <f>IF(ISNUMBER(W150),(Q150-W150),NA())</f>
        <v>#N/A:explicit</v>
      </c>
      <c t="str" s="620" r="AE150">
        <f>IF(ISNUMBER(X150),(Q150-X150),NA())</f>
        <v>#N/A:explicit</v>
      </c>
      <c t="str" s="552" r="AF150">
        <f>IF(ISNUMBER(Z150),Z150,"---")</f>
        <v>---</v>
      </c>
      <c s="142" r="AG150"/>
      <c t="str" s="142" r="AH150">
        <f>IF(ISBLANK(L150),NA(),MIN(AF$44:AF$361))</f>
        <v>#N/A:explicit</v>
      </c>
      <c t="str" s="142" r="AI150">
        <f>IF(ISNA(AA150),Z150,AA150)</f>
        <v>#N/A:explicit</v>
      </c>
      <c s="142" r="AJ150">
        <f>MIN(AF$44:AF$361)</f>
        <v>0</v>
      </c>
      <c s="142" r="AK150"/>
      <c t="str" s="142" r="AL150">
        <f>IF(ISNUMBER(AB150),O150,"---")</f>
        <v>---</v>
      </c>
      <c t="str" s="80" r="AM150">
        <f>IF(ISNUMBER(AB150),AB150,"---")</f>
        <v>---</v>
      </c>
      <c s="80" r="AN150"/>
      <c t="str" s="142" r="AO150">
        <f>IF((M150="r"),Z150,NA())</f>
        <v>#N/A:explicit</v>
      </c>
      <c t="str" s="142" r="AP150">
        <f>IF((M150="p"),Z150,NA())</f>
        <v>#N/A:explicit</v>
      </c>
      <c t="str" s="142" r="AQ150">
        <f>IF((M150="n"),Z150,NA())</f>
        <v>#N/A:explicit</v>
      </c>
      <c t="str" s="142" r="AR150">
        <f>IF((M150="g"),Z150,NA())</f>
        <v>#N/A:explicit</v>
      </c>
      <c s="142" r="AS150"/>
      <c t="str" s="142" r="AT150">
        <f>IF((COUNTA($M150:$M$361)=0),"---",IF(AND(($M150="r"),(COUNTA($M151:$M$361)&gt;0)),(MAX(AT$44:AT149)+1),IF(OR(($M149="p"),($M149="n"),($M149="g")),"---",AT149)))</f>
        <v>---</v>
      </c>
      <c t="str" s="142" r="AU150">
        <f>IF((COUNTA($M150:$M$361)=0),"---",IF(AND(($M150="p"),(COUNTA($M151:$M$361)&gt;0)),(MAX(AU$44:AU149)+1),IF(OR(($M149="r"),($M149="n"),($M149="g")),"---",AU149)))</f>
        <v>---</v>
      </c>
      <c t="str" s="142" r="AV150">
        <f>IF((COUNTA($M150:$M$361)=0),"---",IF(AND(($M150="n"),(COUNTA($M151:$M$361)&gt;0)),(MAX(AV$44:AV149)+1),IF(OR(($M149="r"),($M149="p"),($M149="g")),"---",AV149)))</f>
        <v>---</v>
      </c>
      <c t="str" s="142" r="AW150">
        <f>IF((COUNTA($M150:$M$361)=0),"---",IF(AND(($M150="g"),(COUNTA($M151:$M$361)&gt;0)),(MAX(AW$44:AW149)+1),IF(OR(($M149="r"),($M149="p"),($M149="n")),"---",AW149)))</f>
        <v>---</v>
      </c>
      <c s="676" r="AX150">
        <f>IF((M150="p"),(1+MAX(AX$44:AX149)),0)</f>
        <v>0</v>
      </c>
      <c s="51" r="AY150"/>
      <c s="761" r="AZ150"/>
      <c s="761" r="BA150"/>
      <c s="125" r="BB150"/>
      <c s="125" r="BC150"/>
      <c s="125" r="BD150"/>
      <c s="125" r="BE150"/>
      <c s="125" r="BF150"/>
      <c s="125" r="BG150"/>
      <c s="125" r="BH150"/>
      <c s="125" r="BI150"/>
    </row>
    <row r="151">
      <c s="125" r="A151"/>
      <c s="125" r="B151"/>
      <c s="125" r="C151"/>
      <c s="125" r="D151"/>
      <c s="125" r="E151"/>
      <c s="125" r="F151"/>
      <c s="125" r="G151"/>
      <c s="125" r="H151"/>
      <c s="125" r="I151"/>
      <c s="822" r="J151"/>
      <c s="429" r="K151"/>
      <c s="458" r="L151"/>
      <c s="104" r="M151"/>
      <c s="458" r="N151"/>
      <c t="str" s="589" r="O151">
        <f>IF((AH$28=2),IF(ISBLANK(N151),O150,N151),IF(ISNUMBER(N151),(MAX(O$44:O150)+N151),O150))</f>
        <v/>
      </c>
      <c s="228" r="P151"/>
      <c s="273" r="Q151">
        <f>IF(ISNUMBER(P151),((Q150+P151)-R150),Q150)</f>
        <v>100</v>
      </c>
      <c s="228" r="R151"/>
      <c s="610" r="S151"/>
      <c s="458" r="T151"/>
      <c s="458" r="U151"/>
      <c s="458" r="V151"/>
      <c s="458" r="W151"/>
      <c s="458" r="X151"/>
      <c s="458" r="Y151"/>
      <c t="str" s="620" r="Z151">
        <f>IF(ISNUMBER(S151),(Q151-S151),NA())</f>
        <v>#N/A:explicit</v>
      </c>
      <c t="str" s="620" r="AA151">
        <f>IF(ISNUMBER(T151),IF((AH$22=1),(Z151+T151),(Q151-T151)),NA())</f>
        <v>#N/A:explicit</v>
      </c>
      <c t="str" s="620" r="AB151">
        <f>IF(ISNUMBER(U151),(Q151-U151),NA())</f>
        <v>#N/A:explicit</v>
      </c>
      <c t="str" s="620" r="AC151">
        <f>IF(ISNUMBER(V151),(Q151-V151),NA())</f>
        <v>#N/A:explicit</v>
      </c>
      <c t="str" s="620" r="AD151">
        <f>IF(ISNUMBER(W151),(Q151-W151),NA())</f>
        <v>#N/A:explicit</v>
      </c>
      <c t="str" s="620" r="AE151">
        <f>IF(ISNUMBER(X151),(Q151-X151),NA())</f>
        <v>#N/A:explicit</v>
      </c>
      <c t="str" s="552" r="AF151">
        <f>IF(ISNUMBER(Z151),Z151,"---")</f>
        <v>---</v>
      </c>
      <c s="142" r="AG151"/>
      <c t="str" s="142" r="AH151">
        <f>IF(ISBLANK(L151),NA(),MIN(AF$44:AF$361))</f>
        <v>#N/A:explicit</v>
      </c>
      <c t="str" s="142" r="AI151">
        <f>IF(ISNA(AA151),Z151,AA151)</f>
        <v>#N/A:explicit</v>
      </c>
      <c s="142" r="AJ151">
        <f>MIN(AF$44:AF$361)</f>
        <v>0</v>
      </c>
      <c s="142" r="AK151"/>
      <c t="str" s="142" r="AL151">
        <f>IF(ISNUMBER(AB151),O151,"---")</f>
        <v>---</v>
      </c>
      <c t="str" s="80" r="AM151">
        <f>IF(ISNUMBER(AB151),AB151,"---")</f>
        <v>---</v>
      </c>
      <c s="80" r="AN151"/>
      <c t="str" s="142" r="AO151">
        <f>IF((M151="r"),Z151,NA())</f>
        <v>#N/A:explicit</v>
      </c>
      <c t="str" s="142" r="AP151">
        <f>IF((M151="p"),Z151,NA())</f>
        <v>#N/A:explicit</v>
      </c>
      <c t="str" s="142" r="AQ151">
        <f>IF((M151="n"),Z151,NA())</f>
        <v>#N/A:explicit</v>
      </c>
      <c t="str" s="142" r="AR151">
        <f>IF((M151="g"),Z151,NA())</f>
        <v>#N/A:explicit</v>
      </c>
      <c s="142" r="AS151"/>
      <c t="str" s="142" r="AT151">
        <f>IF((COUNTA($M151:$M$361)=0),"---",IF(AND(($M151="r"),(COUNTA($M152:$M$361)&gt;0)),(MAX(AT$44:AT150)+1),IF(OR(($M150="p"),($M150="n"),($M150="g")),"---",AT150)))</f>
        <v>---</v>
      </c>
      <c t="str" s="142" r="AU151">
        <f>IF((COUNTA($M151:$M$361)=0),"---",IF(AND(($M151="p"),(COUNTA($M152:$M$361)&gt;0)),(MAX(AU$44:AU150)+1),IF(OR(($M150="r"),($M150="n"),($M150="g")),"---",AU150)))</f>
        <v>---</v>
      </c>
      <c t="str" s="142" r="AV151">
        <f>IF((COUNTA($M151:$M$361)=0),"---",IF(AND(($M151="n"),(COUNTA($M152:$M$361)&gt;0)),(MAX(AV$44:AV150)+1),IF(OR(($M150="r"),($M150="p"),($M150="g")),"---",AV150)))</f>
        <v>---</v>
      </c>
      <c t="str" s="142" r="AW151">
        <f>IF((COUNTA($M151:$M$361)=0),"---",IF(AND(($M151="g"),(COUNTA($M152:$M$361)&gt;0)),(MAX(AW$44:AW150)+1),IF(OR(($M150="r"),($M150="p"),($M150="n")),"---",AW150)))</f>
        <v>---</v>
      </c>
      <c s="676" r="AX151">
        <f>IF((M151="p"),(1+MAX(AX$44:AX150)),0)</f>
        <v>0</v>
      </c>
      <c s="51" r="AY151"/>
      <c s="761" r="AZ151"/>
      <c s="761" r="BA151"/>
      <c s="125" r="BB151"/>
      <c s="125" r="BC151"/>
      <c s="125" r="BD151"/>
      <c s="125" r="BE151"/>
      <c s="125" r="BF151"/>
      <c s="125" r="BG151"/>
      <c s="125" r="BH151"/>
      <c s="125" r="BI151"/>
    </row>
    <row r="152">
      <c s="125" r="A152"/>
      <c s="125" r="B152"/>
      <c s="125" r="C152"/>
      <c s="125" r="D152"/>
      <c s="125" r="E152"/>
      <c s="125" r="F152"/>
      <c s="125" r="G152"/>
      <c s="125" r="H152"/>
      <c s="125" r="I152"/>
      <c s="822" r="J152"/>
      <c s="429" r="K152"/>
      <c s="458" r="L152"/>
      <c s="104" r="M152"/>
      <c s="458" r="N152"/>
      <c t="str" s="589" r="O152">
        <f>IF((AH$28=2),IF(ISBLANK(N152),O151,N152),IF(ISNUMBER(N152),(MAX(O$44:O151)+N152),O151))</f>
        <v/>
      </c>
      <c s="228" r="P152"/>
      <c s="273" r="Q152">
        <f>IF(ISNUMBER(P152),((Q151+P152)-R151),Q151)</f>
        <v>100</v>
      </c>
      <c s="228" r="R152"/>
      <c s="610" r="S152"/>
      <c s="458" r="T152"/>
      <c s="458" r="U152"/>
      <c s="458" r="V152"/>
      <c s="458" r="W152"/>
      <c s="458" r="X152"/>
      <c s="458" r="Y152"/>
      <c t="str" s="620" r="Z152">
        <f>IF(ISNUMBER(S152),(Q152-S152),NA())</f>
        <v>#N/A:explicit</v>
      </c>
      <c t="str" s="620" r="AA152">
        <f>IF(ISNUMBER(T152),IF((AH$22=1),(Z152+T152),(Q152-T152)),NA())</f>
        <v>#N/A:explicit</v>
      </c>
      <c t="str" s="620" r="AB152">
        <f>IF(ISNUMBER(U152),(Q152-U152),NA())</f>
        <v>#N/A:explicit</v>
      </c>
      <c t="str" s="620" r="AC152">
        <f>IF(ISNUMBER(V152),(Q152-V152),NA())</f>
        <v>#N/A:explicit</v>
      </c>
      <c t="str" s="620" r="AD152">
        <f>IF(ISNUMBER(W152),(Q152-W152),NA())</f>
        <v>#N/A:explicit</v>
      </c>
      <c t="str" s="620" r="AE152">
        <f>IF(ISNUMBER(X152),(Q152-X152),NA())</f>
        <v>#N/A:explicit</v>
      </c>
      <c t="str" s="552" r="AF152">
        <f>IF(ISNUMBER(Z152),Z152,"---")</f>
        <v>---</v>
      </c>
      <c s="142" r="AG152"/>
      <c t="str" s="142" r="AH152">
        <f>IF(ISBLANK(L152),NA(),MIN(AF$44:AF$361))</f>
        <v>#N/A:explicit</v>
      </c>
      <c t="str" s="142" r="AI152">
        <f>IF(ISNA(AA152),Z152,AA152)</f>
        <v>#N/A:explicit</v>
      </c>
      <c s="142" r="AJ152">
        <f>MIN(AF$44:AF$361)</f>
        <v>0</v>
      </c>
      <c s="142" r="AK152"/>
      <c t="str" s="142" r="AL152">
        <f>IF(ISNUMBER(AB152),O152,"---")</f>
        <v>---</v>
      </c>
      <c t="str" s="80" r="AM152">
        <f>IF(ISNUMBER(AB152),AB152,"---")</f>
        <v>---</v>
      </c>
      <c s="80" r="AN152"/>
      <c t="str" s="142" r="AO152">
        <f>IF((M152="r"),Z152,NA())</f>
        <v>#N/A:explicit</v>
      </c>
      <c t="str" s="142" r="AP152">
        <f>IF((M152="p"),Z152,NA())</f>
        <v>#N/A:explicit</v>
      </c>
      <c t="str" s="142" r="AQ152">
        <f>IF((M152="n"),Z152,NA())</f>
        <v>#N/A:explicit</v>
      </c>
      <c t="str" s="142" r="AR152">
        <f>IF((M152="g"),Z152,NA())</f>
        <v>#N/A:explicit</v>
      </c>
      <c s="142" r="AS152"/>
      <c t="str" s="142" r="AT152">
        <f>IF((COUNTA($M152:$M$361)=0),"---",IF(AND(($M152="r"),(COUNTA($M153:$M$361)&gt;0)),(MAX(AT$44:AT151)+1),IF(OR(($M151="p"),($M151="n"),($M151="g")),"---",AT151)))</f>
        <v>---</v>
      </c>
      <c t="str" s="142" r="AU152">
        <f>IF((COUNTA($M152:$M$361)=0),"---",IF(AND(($M152="p"),(COUNTA($M153:$M$361)&gt;0)),(MAX(AU$44:AU151)+1),IF(OR(($M151="r"),($M151="n"),($M151="g")),"---",AU151)))</f>
        <v>---</v>
      </c>
      <c t="str" s="142" r="AV152">
        <f>IF((COUNTA($M152:$M$361)=0),"---",IF(AND(($M152="n"),(COUNTA($M153:$M$361)&gt;0)),(MAX(AV$44:AV151)+1),IF(OR(($M151="r"),($M151="p"),($M151="g")),"---",AV151)))</f>
        <v>---</v>
      </c>
      <c t="str" s="142" r="AW152">
        <f>IF((COUNTA($M152:$M$361)=0),"---",IF(AND(($M152="g"),(COUNTA($M153:$M$361)&gt;0)),(MAX(AW$44:AW151)+1),IF(OR(($M151="r"),($M151="p"),($M151="n")),"---",AW151)))</f>
        <v>---</v>
      </c>
      <c s="676" r="AX152">
        <f>IF((M152="p"),(1+MAX(AX$44:AX151)),0)</f>
        <v>0</v>
      </c>
      <c s="51" r="AY152"/>
      <c s="761" r="AZ152"/>
      <c s="761" r="BA152"/>
      <c s="125" r="BB152"/>
      <c s="125" r="BC152"/>
      <c s="125" r="BD152"/>
      <c s="125" r="BE152"/>
      <c s="125" r="BF152"/>
      <c s="125" r="BG152"/>
      <c s="125" r="BH152"/>
      <c s="125" r="BI152"/>
    </row>
    <row r="153">
      <c s="125" r="A153"/>
      <c s="125" r="B153"/>
      <c s="125" r="C153"/>
      <c s="125" r="D153"/>
      <c s="125" r="E153"/>
      <c s="125" r="F153"/>
      <c s="125" r="G153"/>
      <c s="125" r="H153"/>
      <c s="125" r="I153"/>
      <c s="822" r="J153"/>
      <c s="848" r="K153"/>
      <c s="550" r="L153"/>
      <c s="104" r="M153"/>
      <c s="550" r="N153"/>
      <c t="str" s="589" r="O153">
        <f>IF((AH$28=2),IF(ISBLANK(N153),O152,N153),IF(ISNUMBER(N153),(MAX(O$44:O152)+N153),O152))</f>
        <v/>
      </c>
      <c s="694" r="P153"/>
      <c s="273" r="Q153">
        <f>IF(ISNUMBER(P153),((Q152+P153)-R152),Q152)</f>
        <v>100</v>
      </c>
      <c s="694" r="R153"/>
      <c s="821" r="S153"/>
      <c s="550" r="T153"/>
      <c s="550" r="U153"/>
      <c s="550" r="V153"/>
      <c s="550" r="W153"/>
      <c s="550" r="X153"/>
      <c s="550" r="Y153"/>
      <c t="str" s="470" r="Z153">
        <f>IF(ISNUMBER(S153),(Q153-S153),NA())</f>
        <v>#N/A:explicit</v>
      </c>
      <c t="str" s="470" r="AA153">
        <f>IF(ISNUMBER(T153),IF((AH$22=1),(Z153+T153),(Q153-T153)),NA())</f>
        <v>#N/A:explicit</v>
      </c>
      <c t="str" s="470" r="AB153">
        <f>IF(ISNUMBER(U153),(Q153-U153),NA())</f>
        <v>#N/A:explicit</v>
      </c>
      <c t="str" s="470" r="AC153">
        <f>IF(ISNUMBER(V153),(Q153-V153),NA())</f>
        <v>#N/A:explicit</v>
      </c>
      <c t="str" s="470" r="AD153">
        <f>IF(ISNUMBER(W153),(Q153-W153),NA())</f>
        <v>#N/A:explicit</v>
      </c>
      <c t="str" s="470" r="AE153">
        <f>IF(ISNUMBER(X153),(Q153-X153),NA())</f>
        <v>#N/A:explicit</v>
      </c>
      <c t="str" s="552" r="AF153">
        <f>IF(ISNUMBER(Z153),Z153,"---")</f>
        <v>---</v>
      </c>
      <c s="142" r="AG153"/>
      <c t="str" s="142" r="AH153">
        <f>IF(ISBLANK(L153),NA(),MIN(AF$44:AF$361))</f>
        <v>#N/A:explicit</v>
      </c>
      <c t="str" s="142" r="AI153">
        <f>IF(ISNA(AA153),Z153,AA153)</f>
        <v>#N/A:explicit</v>
      </c>
      <c s="142" r="AJ153">
        <f>MIN(AF$44:AF$361)</f>
        <v>0</v>
      </c>
      <c s="142" r="AK153"/>
      <c t="str" s="142" r="AL153">
        <f>IF(ISNUMBER(AB153),O153,"---")</f>
        <v>---</v>
      </c>
      <c t="str" s="80" r="AM153">
        <f>IF(ISNUMBER(AB153),AB153,"---")</f>
        <v>---</v>
      </c>
      <c s="80" r="AN153"/>
      <c t="str" s="142" r="AO153">
        <f>IF((M153="r"),Z153,NA())</f>
        <v>#N/A:explicit</v>
      </c>
      <c t="str" s="142" r="AP153">
        <f>IF((M153="p"),Z153,NA())</f>
        <v>#N/A:explicit</v>
      </c>
      <c t="str" s="142" r="AQ153">
        <f>IF((M153="n"),Z153,NA())</f>
        <v>#N/A:explicit</v>
      </c>
      <c t="str" s="142" r="AR153">
        <f>IF((M153="g"),Z153,NA())</f>
        <v>#N/A:explicit</v>
      </c>
      <c s="142" r="AS153"/>
      <c t="str" s="142" r="AT153">
        <f>IF((COUNTA($M153:$M$361)=0),"---",IF(AND(($M153="r"),(COUNTA($M154:$M$361)&gt;0)),(MAX(AT$44:AT152)+1),IF(OR(($M152="p"),($M152="n"),($M152="g")),"---",AT152)))</f>
        <v>---</v>
      </c>
      <c t="str" s="142" r="AU153">
        <f>IF((COUNTA($M153:$M$361)=0),"---",IF(AND(($M153="p"),(COUNTA($M154:$M$361)&gt;0)),(MAX(AU$44:AU152)+1),IF(OR(($M152="r"),($M152="n"),($M152="g")),"---",AU152)))</f>
        <v>---</v>
      </c>
      <c t="str" s="142" r="AV153">
        <f>IF((COUNTA($M153:$M$361)=0),"---",IF(AND(($M153="n"),(COUNTA($M154:$M$361)&gt;0)),(MAX(AV$44:AV152)+1),IF(OR(($M152="r"),($M152="p"),($M152="g")),"---",AV152)))</f>
        <v>---</v>
      </c>
      <c t="str" s="142" r="AW153">
        <f>IF((COUNTA($M153:$M$361)=0),"---",IF(AND(($M153="g"),(COUNTA($M154:$M$361)&gt;0)),(MAX(AW$44:AW152)+1),IF(OR(($M152="r"),($M152="p"),($M152="n")),"---",AW152)))</f>
        <v>---</v>
      </c>
      <c s="676" r="AX153">
        <f>IF((M153="p"),(1+MAX(AX$44:AX152)),0)</f>
        <v>0</v>
      </c>
      <c s="51" r="AY153"/>
      <c s="761" r="AZ153"/>
      <c s="761" r="BA153"/>
      <c s="125" r="BB153"/>
      <c s="125" r="BC153"/>
      <c s="125" r="BD153"/>
      <c s="125" r="BE153"/>
      <c s="125" r="BF153"/>
      <c s="125" r="BG153"/>
      <c s="125" r="BH153"/>
      <c s="125" r="BI153"/>
    </row>
    <row r="154">
      <c s="125" r="A154"/>
      <c s="125" r="B154"/>
      <c s="125" r="C154"/>
      <c s="125" r="D154"/>
      <c s="125" r="E154"/>
      <c s="125" r="F154"/>
      <c s="125" r="G154"/>
      <c s="125" r="H154"/>
      <c s="125" r="I154"/>
      <c s="822" r="J154"/>
      <c s="848" r="K154"/>
      <c s="550" r="L154"/>
      <c s="104" r="M154"/>
      <c s="550" r="N154"/>
      <c t="str" s="589" r="O154">
        <f>IF((AH$28=2),IF(ISBLANK(N154),O153,N154),IF(ISNUMBER(N154),(MAX(O$44:O153)+N154),O153))</f>
        <v/>
      </c>
      <c s="694" r="P154"/>
      <c s="273" r="Q154">
        <f>IF(ISNUMBER(P154),((Q153+P154)-R153),Q153)</f>
        <v>100</v>
      </c>
      <c s="694" r="R154"/>
      <c s="821" r="S154"/>
      <c s="550" r="T154"/>
      <c s="550" r="U154"/>
      <c s="550" r="V154"/>
      <c s="550" r="W154"/>
      <c s="550" r="X154"/>
      <c s="550" r="Y154"/>
      <c t="str" s="470" r="Z154">
        <f>IF(ISNUMBER(S154),(Q154-S154),NA())</f>
        <v>#N/A:explicit</v>
      </c>
      <c t="str" s="470" r="AA154">
        <f>IF(ISNUMBER(T154),IF((AH$22=1),(Z154+T154),(Q154-T154)),NA())</f>
        <v>#N/A:explicit</v>
      </c>
      <c t="str" s="470" r="AB154">
        <f>IF(ISNUMBER(U154),(Q154-U154),NA())</f>
        <v>#N/A:explicit</v>
      </c>
      <c t="str" s="470" r="AC154">
        <f>IF(ISNUMBER(V154),(Q154-V154),NA())</f>
        <v>#N/A:explicit</v>
      </c>
      <c t="str" s="470" r="AD154">
        <f>IF(ISNUMBER(W154),(Q154-W154),NA())</f>
        <v>#N/A:explicit</v>
      </c>
      <c t="str" s="470" r="AE154">
        <f>IF(ISNUMBER(X154),(Q154-X154),NA())</f>
        <v>#N/A:explicit</v>
      </c>
      <c t="str" s="552" r="AF154">
        <f>IF(ISNUMBER(Z154),Z154,"---")</f>
        <v>---</v>
      </c>
      <c s="142" r="AG154"/>
      <c t="str" s="142" r="AH154">
        <f>IF(ISBLANK(L154),NA(),MIN(AF$44:AF$361))</f>
        <v>#N/A:explicit</v>
      </c>
      <c t="str" s="142" r="AI154">
        <f>IF(ISNA(AA154),Z154,AA154)</f>
        <v>#N/A:explicit</v>
      </c>
      <c s="142" r="AJ154">
        <f>MIN(AF$44:AF$361)</f>
        <v>0</v>
      </c>
      <c s="142" r="AK154"/>
      <c t="str" s="142" r="AL154">
        <f>IF(ISNUMBER(AB154),O154,"---")</f>
        <v>---</v>
      </c>
      <c t="str" s="80" r="AM154">
        <f>IF(ISNUMBER(AB154),AB154,"---")</f>
        <v>---</v>
      </c>
      <c s="80" r="AN154"/>
      <c t="str" s="142" r="AO154">
        <f>IF((M154="r"),Z154,NA())</f>
        <v>#N/A:explicit</v>
      </c>
      <c t="str" s="142" r="AP154">
        <f>IF((M154="p"),Z154,NA())</f>
        <v>#N/A:explicit</v>
      </c>
      <c t="str" s="142" r="AQ154">
        <f>IF((M154="n"),Z154,NA())</f>
        <v>#N/A:explicit</v>
      </c>
      <c t="str" s="142" r="AR154">
        <f>IF((M154="g"),Z154,NA())</f>
        <v>#N/A:explicit</v>
      </c>
      <c s="142" r="AS154"/>
      <c t="str" s="142" r="AT154">
        <f>IF((COUNTA($M154:$M$361)=0),"---",IF(AND(($M154="r"),(COUNTA($M155:$M$361)&gt;0)),(MAX(AT$44:AT153)+1),IF(OR(($M153="p"),($M153="n"),($M153="g")),"---",AT153)))</f>
        <v>---</v>
      </c>
      <c t="str" s="142" r="AU154">
        <f>IF((COUNTA($M154:$M$361)=0),"---",IF(AND(($M154="p"),(COUNTA($M155:$M$361)&gt;0)),(MAX(AU$44:AU153)+1),IF(OR(($M153="r"),($M153="n"),($M153="g")),"---",AU153)))</f>
        <v>---</v>
      </c>
      <c t="str" s="142" r="AV154">
        <f>IF((COUNTA($M154:$M$361)=0),"---",IF(AND(($M154="n"),(COUNTA($M155:$M$361)&gt;0)),(MAX(AV$44:AV153)+1),IF(OR(($M153="r"),($M153="p"),($M153="g")),"---",AV153)))</f>
        <v>---</v>
      </c>
      <c t="str" s="142" r="AW154">
        <f>IF((COUNTA($M154:$M$361)=0),"---",IF(AND(($M154="g"),(COUNTA($M155:$M$361)&gt;0)),(MAX(AW$44:AW153)+1),IF(OR(($M153="r"),($M153="p"),($M153="n")),"---",AW153)))</f>
        <v>---</v>
      </c>
      <c s="676" r="AX154">
        <f>IF((M154="p"),(1+MAX(AX$44:AX153)),0)</f>
        <v>0</v>
      </c>
      <c s="51" r="AY154"/>
      <c s="761" r="AZ154"/>
      <c s="761" r="BA154"/>
      <c s="125" r="BB154"/>
      <c s="125" r="BC154"/>
      <c s="125" r="BD154"/>
      <c s="125" r="BE154"/>
      <c s="125" r="BF154"/>
      <c s="125" r="BG154"/>
      <c s="125" r="BH154"/>
      <c s="125" r="BI154"/>
    </row>
    <row r="155">
      <c s="125" r="A155"/>
      <c s="125" r="B155"/>
      <c s="125" r="C155"/>
      <c s="125" r="D155"/>
      <c s="125" r="E155"/>
      <c s="125" r="F155"/>
      <c s="125" r="G155"/>
      <c s="125" r="H155"/>
      <c s="125" r="I155"/>
      <c s="822" r="J155"/>
      <c s="848" r="K155"/>
      <c s="550" r="L155"/>
      <c s="104" r="M155"/>
      <c s="550" r="N155"/>
      <c t="str" s="589" r="O155">
        <f>IF((AH$28=2),IF(ISBLANK(N155),O154,N155),IF(ISNUMBER(N155),(MAX(O$44:O154)+N155),O154))</f>
        <v/>
      </c>
      <c s="694" r="P155"/>
      <c s="273" r="Q155">
        <f>IF(ISNUMBER(P155),((Q154+P155)-R154),Q154)</f>
        <v>100</v>
      </c>
      <c s="694" r="R155"/>
      <c s="821" r="S155"/>
      <c s="550" r="T155"/>
      <c s="550" r="U155"/>
      <c s="550" r="V155"/>
      <c s="550" r="W155"/>
      <c s="550" r="X155"/>
      <c s="550" r="Y155"/>
      <c t="str" s="470" r="Z155">
        <f>IF(ISNUMBER(S155),(Q155-S155),NA())</f>
        <v>#N/A:explicit</v>
      </c>
      <c t="str" s="470" r="AA155">
        <f>IF(ISNUMBER(T155),IF((AH$22=1),(Z155+T155),(Q155-T155)),NA())</f>
        <v>#N/A:explicit</v>
      </c>
      <c t="str" s="470" r="AB155">
        <f>IF(ISNUMBER(U155),(Q155-U155),NA())</f>
        <v>#N/A:explicit</v>
      </c>
      <c t="str" s="470" r="AC155">
        <f>IF(ISNUMBER(V155),(Q155-V155),NA())</f>
        <v>#N/A:explicit</v>
      </c>
      <c t="str" s="470" r="AD155">
        <f>IF(ISNUMBER(W155),(Q155-W155),NA())</f>
        <v>#N/A:explicit</v>
      </c>
      <c t="str" s="470" r="AE155">
        <f>IF(ISNUMBER(X155),(Q155-X155),NA())</f>
        <v>#N/A:explicit</v>
      </c>
      <c t="str" s="552" r="AF155">
        <f>IF(ISNUMBER(Z155),Z155,"---")</f>
        <v>---</v>
      </c>
      <c s="142" r="AG155"/>
      <c t="str" s="142" r="AH155">
        <f>IF(ISBLANK(L155),NA(),MIN(AF$44:AF$361))</f>
        <v>#N/A:explicit</v>
      </c>
      <c t="str" s="142" r="AI155">
        <f>IF(ISNA(AA155),Z155,AA155)</f>
        <v>#N/A:explicit</v>
      </c>
      <c s="142" r="AJ155">
        <f>MIN(AF$44:AF$361)</f>
        <v>0</v>
      </c>
      <c s="142" r="AK155"/>
      <c t="str" s="142" r="AL155">
        <f>IF(ISNUMBER(AB155),O155,"---")</f>
        <v>---</v>
      </c>
      <c t="str" s="80" r="AM155">
        <f>IF(ISNUMBER(AB155),AB155,"---")</f>
        <v>---</v>
      </c>
      <c s="80" r="AN155"/>
      <c t="str" s="142" r="AO155">
        <f>IF((M155="r"),Z155,NA())</f>
        <v>#N/A:explicit</v>
      </c>
      <c t="str" s="142" r="AP155">
        <f>IF((M155="p"),Z155,NA())</f>
        <v>#N/A:explicit</v>
      </c>
      <c t="str" s="142" r="AQ155">
        <f>IF((M155="n"),Z155,NA())</f>
        <v>#N/A:explicit</v>
      </c>
      <c t="str" s="142" r="AR155">
        <f>IF((M155="g"),Z155,NA())</f>
        <v>#N/A:explicit</v>
      </c>
      <c s="142" r="AS155"/>
      <c t="str" s="142" r="AT155">
        <f>IF((COUNTA($M155:$M$361)=0),"---",IF(AND(($M155="r"),(COUNTA($M156:$M$361)&gt;0)),(MAX(AT$44:AT154)+1),IF(OR(($M154="p"),($M154="n"),($M154="g")),"---",AT154)))</f>
        <v>---</v>
      </c>
      <c t="str" s="142" r="AU155">
        <f>IF((COUNTA($M155:$M$361)=0),"---",IF(AND(($M155="p"),(COUNTA($M156:$M$361)&gt;0)),(MAX(AU$44:AU154)+1),IF(OR(($M154="r"),($M154="n"),($M154="g")),"---",AU154)))</f>
        <v>---</v>
      </c>
      <c t="str" s="142" r="AV155">
        <f>IF((COUNTA($M155:$M$361)=0),"---",IF(AND(($M155="n"),(COUNTA($M156:$M$361)&gt;0)),(MAX(AV$44:AV154)+1),IF(OR(($M154="r"),($M154="p"),($M154="g")),"---",AV154)))</f>
        <v>---</v>
      </c>
      <c t="str" s="142" r="AW155">
        <f>IF((COUNTA($M155:$M$361)=0),"---",IF(AND(($M155="g"),(COUNTA($M156:$M$361)&gt;0)),(MAX(AW$44:AW154)+1),IF(OR(($M154="r"),($M154="p"),($M154="n")),"---",AW154)))</f>
        <v>---</v>
      </c>
      <c s="676" r="AX155">
        <f>IF((M155="p"),(1+MAX(AX$44:AX154)),0)</f>
        <v>0</v>
      </c>
      <c s="51" r="AY155"/>
      <c s="761" r="AZ155"/>
      <c s="761" r="BA155"/>
      <c s="125" r="BB155"/>
      <c s="125" r="BC155"/>
      <c s="125" r="BD155"/>
      <c s="125" r="BE155"/>
      <c s="125" r="BF155"/>
      <c s="125" r="BG155"/>
      <c s="125" r="BH155"/>
      <c s="125" r="BI155"/>
    </row>
    <row r="156">
      <c s="125" r="A156"/>
      <c s="125" r="B156"/>
      <c s="125" r="C156"/>
      <c s="125" r="D156"/>
      <c s="125" r="E156"/>
      <c s="125" r="F156"/>
      <c s="125" r="G156"/>
      <c s="125" r="H156"/>
      <c s="125" r="I156"/>
      <c s="822" r="J156"/>
      <c s="429" r="K156"/>
      <c s="458" r="L156"/>
      <c s="104" r="M156"/>
      <c s="458" r="N156"/>
      <c t="str" s="589" r="O156">
        <f>IF((AH$28=2),IF(ISBLANK(N156),O155,N156),IF(ISNUMBER(N156),(MAX(O$44:O155)+N156),O155))</f>
        <v/>
      </c>
      <c s="228" r="P156"/>
      <c s="273" r="Q156">
        <f>IF(ISNUMBER(P156),((Q155+P156)-R155),Q155)</f>
        <v>100</v>
      </c>
      <c s="228" r="R156"/>
      <c s="610" r="S156"/>
      <c s="458" r="T156"/>
      <c s="458" r="U156"/>
      <c s="458" r="V156"/>
      <c s="458" r="W156"/>
      <c s="458" r="X156"/>
      <c s="458" r="Y156"/>
      <c t="str" s="620" r="Z156">
        <f>IF(ISNUMBER(S156),(Q156-S156),NA())</f>
        <v>#N/A:explicit</v>
      </c>
      <c t="str" s="620" r="AA156">
        <f>IF(ISNUMBER(T156),IF((AH$22=1),(Z156+T156),(Q156-T156)),NA())</f>
        <v>#N/A:explicit</v>
      </c>
      <c t="str" s="620" r="AB156">
        <f>IF(ISNUMBER(U156),(Q156-U156),NA())</f>
        <v>#N/A:explicit</v>
      </c>
      <c t="str" s="620" r="AC156">
        <f>IF(ISNUMBER(V156),(Q156-V156),NA())</f>
        <v>#N/A:explicit</v>
      </c>
      <c t="str" s="620" r="AD156">
        <f>IF(ISNUMBER(W156),(Q156-W156),NA())</f>
        <v>#N/A:explicit</v>
      </c>
      <c t="str" s="620" r="AE156">
        <f>IF(ISNUMBER(X156),(Q156-X156),NA())</f>
        <v>#N/A:explicit</v>
      </c>
      <c t="str" s="552" r="AF156">
        <f>IF(ISNUMBER(Z156),Z156,"---")</f>
        <v>---</v>
      </c>
      <c s="142" r="AG156"/>
      <c t="str" s="142" r="AH156">
        <f>IF(ISBLANK(L156),NA(),MIN(AF$44:AF$361))</f>
        <v>#N/A:explicit</v>
      </c>
      <c t="str" s="142" r="AI156">
        <f>IF(ISNA(AA156),Z156,AA156)</f>
        <v>#N/A:explicit</v>
      </c>
      <c s="142" r="AJ156">
        <f>MIN(AF$44:AF$361)</f>
        <v>0</v>
      </c>
      <c s="142" r="AK156"/>
      <c t="str" s="142" r="AL156">
        <f>IF(ISNUMBER(AB156),O156,"---")</f>
        <v>---</v>
      </c>
      <c t="str" s="80" r="AM156">
        <f>IF(ISNUMBER(AB156),AB156,"---")</f>
        <v>---</v>
      </c>
      <c s="80" r="AN156"/>
      <c t="str" s="142" r="AO156">
        <f>IF((M156="r"),Z156,NA())</f>
        <v>#N/A:explicit</v>
      </c>
      <c t="str" s="142" r="AP156">
        <f>IF((M156="p"),Z156,NA())</f>
        <v>#N/A:explicit</v>
      </c>
      <c t="str" s="142" r="AQ156">
        <f>IF((M156="n"),Z156,NA())</f>
        <v>#N/A:explicit</v>
      </c>
      <c t="str" s="142" r="AR156">
        <f>IF((M156="g"),Z156,NA())</f>
        <v>#N/A:explicit</v>
      </c>
      <c s="142" r="AS156"/>
      <c t="str" s="142" r="AT156">
        <f>IF((COUNTA($M156:$M$361)=0),"---",IF(AND(($M156="r"),(COUNTA($M157:$M$361)&gt;0)),(MAX(AT$44:AT155)+1),IF(OR(($M155="p"),($M155="n"),($M155="g")),"---",AT155)))</f>
        <v>---</v>
      </c>
      <c t="str" s="142" r="AU156">
        <f>IF((COUNTA($M156:$M$361)=0),"---",IF(AND(($M156="p"),(COUNTA($M157:$M$361)&gt;0)),(MAX(AU$44:AU155)+1),IF(OR(($M155="r"),($M155="n"),($M155="g")),"---",AU155)))</f>
        <v>---</v>
      </c>
      <c t="str" s="142" r="AV156">
        <f>IF((COUNTA($M156:$M$361)=0),"---",IF(AND(($M156="n"),(COUNTA($M157:$M$361)&gt;0)),(MAX(AV$44:AV155)+1),IF(OR(($M155="r"),($M155="p"),($M155="g")),"---",AV155)))</f>
        <v>---</v>
      </c>
      <c t="str" s="142" r="AW156">
        <f>IF((COUNTA($M156:$M$361)=0),"---",IF(AND(($M156="g"),(COUNTA($M157:$M$361)&gt;0)),(MAX(AW$44:AW155)+1),IF(OR(($M155="r"),($M155="p"),($M155="n")),"---",AW155)))</f>
        <v>---</v>
      </c>
      <c s="676" r="AX156">
        <f>IF((M156="p"),(1+MAX(AX$44:AX155)),0)</f>
        <v>0</v>
      </c>
      <c s="51" r="AY156"/>
      <c s="761" r="AZ156"/>
      <c s="761" r="BA156"/>
      <c s="125" r="BB156"/>
      <c s="125" r="BC156"/>
      <c s="125" r="BD156"/>
      <c s="125" r="BE156"/>
      <c s="125" r="BF156"/>
      <c s="125" r="BG156"/>
      <c s="125" r="BH156"/>
      <c s="125" r="BI156"/>
    </row>
    <row r="157">
      <c s="125" r="A157"/>
      <c s="125" r="B157"/>
      <c s="125" r="C157"/>
      <c s="125" r="D157"/>
      <c s="125" r="E157"/>
      <c s="125" r="F157"/>
      <c s="125" r="G157"/>
      <c s="125" r="H157"/>
      <c s="125" r="I157"/>
      <c s="822" r="J157"/>
      <c s="429" r="K157"/>
      <c s="458" r="L157"/>
      <c s="104" r="M157"/>
      <c s="458" r="N157"/>
      <c t="str" s="589" r="O157">
        <f>IF((AH$28=2),IF(ISBLANK(N157),O156,N157),IF(ISNUMBER(N157),(MAX(O$44:O156)+N157),O156))</f>
        <v/>
      </c>
      <c s="228" r="P157"/>
      <c s="273" r="Q157">
        <f>IF(ISNUMBER(P157),((Q156+P157)-R156),Q156)</f>
        <v>100</v>
      </c>
      <c s="228" r="R157"/>
      <c s="610" r="S157"/>
      <c s="458" r="T157"/>
      <c s="458" r="U157"/>
      <c s="458" r="V157"/>
      <c s="458" r="W157"/>
      <c s="458" r="X157"/>
      <c s="458" r="Y157"/>
      <c t="str" s="620" r="Z157">
        <f>IF(ISNUMBER(S157),(Q157-S157),NA())</f>
        <v>#N/A:explicit</v>
      </c>
      <c t="str" s="620" r="AA157">
        <f>IF(ISNUMBER(T157),IF((AH$22=1),(Z157+T157),(Q157-T157)),NA())</f>
        <v>#N/A:explicit</v>
      </c>
      <c t="str" s="620" r="AB157">
        <f>IF(ISNUMBER(U157),(Q157-U157),NA())</f>
        <v>#N/A:explicit</v>
      </c>
      <c t="str" s="620" r="AC157">
        <f>IF(ISNUMBER(V157),(Q157-V157),NA())</f>
        <v>#N/A:explicit</v>
      </c>
      <c t="str" s="620" r="AD157">
        <f>IF(ISNUMBER(W157),(Q157-W157),NA())</f>
        <v>#N/A:explicit</v>
      </c>
      <c t="str" s="620" r="AE157">
        <f>IF(ISNUMBER(X157),(Q157-X157),NA())</f>
        <v>#N/A:explicit</v>
      </c>
      <c t="str" s="552" r="AF157">
        <f>IF(ISNUMBER(Z157),Z157,"---")</f>
        <v>---</v>
      </c>
      <c s="142" r="AG157"/>
      <c t="str" s="142" r="AH157">
        <f>IF(ISBLANK(L157),NA(),MIN(AF$44:AF$361))</f>
        <v>#N/A:explicit</v>
      </c>
      <c t="str" s="142" r="AI157">
        <f>IF(ISNA(AA157),Z157,AA157)</f>
        <v>#N/A:explicit</v>
      </c>
      <c s="142" r="AJ157">
        <f>MIN(AF$44:AF$361)</f>
        <v>0</v>
      </c>
      <c s="142" r="AK157"/>
      <c t="str" s="142" r="AL157">
        <f>IF(ISNUMBER(AB157),O157,"---")</f>
        <v>---</v>
      </c>
      <c t="str" s="80" r="AM157">
        <f>IF(ISNUMBER(AB157),AB157,"---")</f>
        <v>---</v>
      </c>
      <c s="80" r="AN157"/>
      <c t="str" s="142" r="AO157">
        <f>IF((M157="r"),Z157,NA())</f>
        <v>#N/A:explicit</v>
      </c>
      <c t="str" s="142" r="AP157">
        <f>IF((M157="p"),Z157,NA())</f>
        <v>#N/A:explicit</v>
      </c>
      <c t="str" s="142" r="AQ157">
        <f>IF((M157="n"),Z157,NA())</f>
        <v>#N/A:explicit</v>
      </c>
      <c t="str" s="142" r="AR157">
        <f>IF((M157="g"),Z157,NA())</f>
        <v>#N/A:explicit</v>
      </c>
      <c s="142" r="AS157"/>
      <c t="str" s="142" r="AT157">
        <f>IF((COUNTA($M157:$M$361)=0),"---",IF(AND(($M157="r"),(COUNTA($M158:$M$361)&gt;0)),(MAX(AT$44:AT156)+1),IF(OR(($M156="p"),($M156="n"),($M156="g")),"---",AT156)))</f>
        <v>---</v>
      </c>
      <c t="str" s="142" r="AU157">
        <f>IF((COUNTA($M157:$M$361)=0),"---",IF(AND(($M157="p"),(COUNTA($M158:$M$361)&gt;0)),(MAX(AU$44:AU156)+1),IF(OR(($M156="r"),($M156="n"),($M156="g")),"---",AU156)))</f>
        <v>---</v>
      </c>
      <c t="str" s="142" r="AV157">
        <f>IF((COUNTA($M157:$M$361)=0),"---",IF(AND(($M157="n"),(COUNTA($M158:$M$361)&gt;0)),(MAX(AV$44:AV156)+1),IF(OR(($M156="r"),($M156="p"),($M156="g")),"---",AV156)))</f>
        <v>---</v>
      </c>
      <c t="str" s="142" r="AW157">
        <f>IF((COUNTA($M157:$M$361)=0),"---",IF(AND(($M157="g"),(COUNTA($M158:$M$361)&gt;0)),(MAX(AW$44:AW156)+1),IF(OR(($M156="r"),($M156="p"),($M156="n")),"---",AW156)))</f>
        <v>---</v>
      </c>
      <c s="676" r="AX157">
        <f>IF((M157="p"),(1+MAX(AX$44:AX156)),0)</f>
        <v>0</v>
      </c>
      <c s="51" r="AY157"/>
      <c s="761" r="AZ157"/>
      <c s="761" r="BA157"/>
      <c s="125" r="BB157"/>
      <c s="125" r="BC157"/>
      <c s="125" r="BD157"/>
      <c s="125" r="BE157"/>
      <c s="125" r="BF157"/>
      <c s="125" r="BG157"/>
      <c s="125" r="BH157"/>
      <c s="125" r="BI157"/>
    </row>
    <row r="158">
      <c s="125" r="A158"/>
      <c s="125" r="B158"/>
      <c s="125" r="C158"/>
      <c s="125" r="D158"/>
      <c s="125" r="E158"/>
      <c s="125" r="F158"/>
      <c s="125" r="G158"/>
      <c s="125" r="H158"/>
      <c s="125" r="I158"/>
      <c s="822" r="J158"/>
      <c s="429" r="K158"/>
      <c s="458" r="L158"/>
      <c s="104" r="M158"/>
      <c s="458" r="N158"/>
      <c t="str" s="589" r="O158">
        <f>IF((AH$28=2),IF(ISBLANK(N158),O157,N158),IF(ISNUMBER(N158),(MAX(O$44:O157)+N158),O157))</f>
        <v/>
      </c>
      <c s="228" r="P158"/>
      <c s="273" r="Q158">
        <f>IF(ISNUMBER(P158),((Q157+P158)-R157),Q157)</f>
        <v>100</v>
      </c>
      <c s="228" r="R158"/>
      <c s="610" r="S158"/>
      <c s="458" r="T158"/>
      <c s="458" r="U158"/>
      <c s="458" r="V158"/>
      <c s="458" r="W158"/>
      <c s="458" r="X158"/>
      <c s="458" r="Y158"/>
      <c t="str" s="620" r="Z158">
        <f>IF(ISNUMBER(S158),(Q158-S158),NA())</f>
        <v>#N/A:explicit</v>
      </c>
      <c t="str" s="620" r="AA158">
        <f>IF(ISNUMBER(T158),IF((AH$22=1),(Z158+T158),(Q158-T158)),NA())</f>
        <v>#N/A:explicit</v>
      </c>
      <c t="str" s="620" r="AB158">
        <f>IF(ISNUMBER(U158),(Q158-U158),NA())</f>
        <v>#N/A:explicit</v>
      </c>
      <c t="str" s="620" r="AC158">
        <f>IF(ISNUMBER(V158),(Q158-V158),NA())</f>
        <v>#N/A:explicit</v>
      </c>
      <c t="str" s="620" r="AD158">
        <f>IF(ISNUMBER(W158),(Q158-W158),NA())</f>
        <v>#N/A:explicit</v>
      </c>
      <c t="str" s="620" r="AE158">
        <f>IF(ISNUMBER(X158),(Q158-X158),NA())</f>
        <v>#N/A:explicit</v>
      </c>
      <c t="str" s="552" r="AF158">
        <f>IF(ISNUMBER(Z158),Z158,"---")</f>
        <v>---</v>
      </c>
      <c s="142" r="AG158"/>
      <c t="str" s="142" r="AH158">
        <f>IF(ISBLANK(L158),NA(),MIN(AF$44:AF$361))</f>
        <v>#N/A:explicit</v>
      </c>
      <c t="str" s="142" r="AI158">
        <f>IF(ISNA(AA158),Z158,AA158)</f>
        <v>#N/A:explicit</v>
      </c>
      <c s="142" r="AJ158">
        <f>MIN(AF$44:AF$361)</f>
        <v>0</v>
      </c>
      <c s="142" r="AK158"/>
      <c t="str" s="142" r="AL158">
        <f>IF(ISNUMBER(AB158),O158,"---")</f>
        <v>---</v>
      </c>
      <c t="str" s="80" r="AM158">
        <f>IF(ISNUMBER(AB158),AB158,"---")</f>
        <v>---</v>
      </c>
      <c s="80" r="AN158"/>
      <c t="str" s="142" r="AO158">
        <f>IF((M158="r"),Z158,NA())</f>
        <v>#N/A:explicit</v>
      </c>
      <c t="str" s="142" r="AP158">
        <f>IF((M158="p"),Z158,NA())</f>
        <v>#N/A:explicit</v>
      </c>
      <c t="str" s="142" r="AQ158">
        <f>IF((M158="n"),Z158,NA())</f>
        <v>#N/A:explicit</v>
      </c>
      <c t="str" s="142" r="AR158">
        <f>IF((M158="g"),Z158,NA())</f>
        <v>#N/A:explicit</v>
      </c>
      <c s="142" r="AS158"/>
      <c t="str" s="142" r="AT158">
        <f>IF((COUNTA($M158:$M$361)=0),"---",IF(AND(($M158="r"),(COUNTA($M159:$M$361)&gt;0)),(MAX(AT$44:AT157)+1),IF(OR(($M157="p"),($M157="n"),($M157="g")),"---",AT157)))</f>
        <v>---</v>
      </c>
      <c t="str" s="142" r="AU158">
        <f>IF((COUNTA($M158:$M$361)=0),"---",IF(AND(($M158="p"),(COUNTA($M159:$M$361)&gt;0)),(MAX(AU$44:AU157)+1),IF(OR(($M157="r"),($M157="n"),($M157="g")),"---",AU157)))</f>
        <v>---</v>
      </c>
      <c t="str" s="142" r="AV158">
        <f>IF((COUNTA($M158:$M$361)=0),"---",IF(AND(($M158="n"),(COUNTA($M159:$M$361)&gt;0)),(MAX(AV$44:AV157)+1),IF(OR(($M157="r"),($M157="p"),($M157="g")),"---",AV157)))</f>
        <v>---</v>
      </c>
      <c t="str" s="142" r="AW158">
        <f>IF((COUNTA($M158:$M$361)=0),"---",IF(AND(($M158="g"),(COUNTA($M159:$M$361)&gt;0)),(MAX(AW$44:AW157)+1),IF(OR(($M157="r"),($M157="p"),($M157="n")),"---",AW157)))</f>
        <v>---</v>
      </c>
      <c s="676" r="AX158">
        <f>IF((M158="p"),(1+MAX(AX$44:AX157)),0)</f>
        <v>0</v>
      </c>
      <c s="51" r="AY158"/>
      <c s="761" r="AZ158"/>
      <c s="761" r="BA158"/>
      <c s="125" r="BB158"/>
      <c s="125" r="BC158"/>
      <c s="125" r="BD158"/>
      <c s="125" r="BE158"/>
      <c s="125" r="BF158"/>
      <c s="125" r="BG158"/>
      <c s="125" r="BH158"/>
      <c s="125" r="BI158"/>
    </row>
    <row r="159">
      <c s="125" r="A159"/>
      <c s="125" r="B159"/>
      <c s="125" r="C159"/>
      <c s="125" r="D159"/>
      <c s="125" r="E159"/>
      <c s="125" r="F159"/>
      <c s="125" r="G159"/>
      <c s="125" r="H159"/>
      <c s="125" r="I159"/>
      <c s="822" r="J159"/>
      <c s="848" r="K159"/>
      <c s="550" r="L159"/>
      <c s="104" r="M159"/>
      <c s="550" r="N159"/>
      <c t="str" s="589" r="O159">
        <f>IF((AH$28=2),IF(ISBLANK(N159),O158,N159),IF(ISNUMBER(N159),(MAX(O$44:O158)+N159),O158))</f>
        <v/>
      </c>
      <c s="694" r="P159"/>
      <c s="273" r="Q159">
        <f>IF(ISNUMBER(P159),((Q158+P159)-R158),Q158)</f>
        <v>100</v>
      </c>
      <c s="694" r="R159"/>
      <c s="821" r="S159"/>
      <c s="550" r="T159"/>
      <c s="550" r="U159"/>
      <c s="550" r="V159"/>
      <c s="550" r="W159"/>
      <c s="550" r="X159"/>
      <c s="550" r="Y159"/>
      <c t="str" s="470" r="Z159">
        <f>IF(ISNUMBER(S159),(Q159-S159),NA())</f>
        <v>#N/A:explicit</v>
      </c>
      <c t="str" s="470" r="AA159">
        <f>IF(ISNUMBER(T159),IF((AH$22=1),(Z159+T159),(Q159-T159)),NA())</f>
        <v>#N/A:explicit</v>
      </c>
      <c t="str" s="470" r="AB159">
        <f>IF(ISNUMBER(U159),(Q159-U159),NA())</f>
        <v>#N/A:explicit</v>
      </c>
      <c t="str" s="470" r="AC159">
        <f>IF(ISNUMBER(V159),(Q159-V159),NA())</f>
        <v>#N/A:explicit</v>
      </c>
      <c t="str" s="470" r="AD159">
        <f>IF(ISNUMBER(W159),(Q159-W159),NA())</f>
        <v>#N/A:explicit</v>
      </c>
      <c t="str" s="470" r="AE159">
        <f>IF(ISNUMBER(X159),(Q159-X159),NA())</f>
        <v>#N/A:explicit</v>
      </c>
      <c t="str" s="552" r="AF159">
        <f>IF(ISNUMBER(Z159),Z159,"---")</f>
        <v>---</v>
      </c>
      <c s="142" r="AG159"/>
      <c t="str" s="142" r="AH159">
        <f>IF(ISBLANK(L159),NA(),MIN(AF$44:AF$361))</f>
        <v>#N/A:explicit</v>
      </c>
      <c t="str" s="142" r="AI159">
        <f>IF(ISNA(AA159),Z159,AA159)</f>
        <v>#N/A:explicit</v>
      </c>
      <c s="142" r="AJ159">
        <f>MIN(AF$44:AF$361)</f>
        <v>0</v>
      </c>
      <c s="142" r="AK159"/>
      <c t="str" s="142" r="AL159">
        <f>IF(ISNUMBER(AB159),O159,"---")</f>
        <v>---</v>
      </c>
      <c t="str" s="80" r="AM159">
        <f>IF(ISNUMBER(AB159),AB159,"---")</f>
        <v>---</v>
      </c>
      <c s="80" r="AN159"/>
      <c t="str" s="142" r="AO159">
        <f>IF((M159="r"),Z159,NA())</f>
        <v>#N/A:explicit</v>
      </c>
      <c t="str" s="142" r="AP159">
        <f>IF((M159="p"),Z159,NA())</f>
        <v>#N/A:explicit</v>
      </c>
      <c t="str" s="142" r="AQ159">
        <f>IF((M159="n"),Z159,NA())</f>
        <v>#N/A:explicit</v>
      </c>
      <c t="str" s="142" r="AR159">
        <f>IF((M159="g"),Z159,NA())</f>
        <v>#N/A:explicit</v>
      </c>
      <c s="142" r="AS159"/>
      <c t="str" s="142" r="AT159">
        <f>IF((COUNTA($M159:$M$361)=0),"---",IF(AND(($M159="r"),(COUNTA($M160:$M$361)&gt;0)),(MAX(AT$44:AT158)+1),IF(OR(($M158="p"),($M158="n"),($M158="g")),"---",AT158)))</f>
        <v>---</v>
      </c>
      <c t="str" s="142" r="AU159">
        <f>IF((COUNTA($M159:$M$361)=0),"---",IF(AND(($M159="p"),(COUNTA($M160:$M$361)&gt;0)),(MAX(AU$44:AU158)+1),IF(OR(($M158="r"),($M158="n"),($M158="g")),"---",AU158)))</f>
        <v>---</v>
      </c>
      <c t="str" s="142" r="AV159">
        <f>IF((COUNTA($M159:$M$361)=0),"---",IF(AND(($M159="n"),(COUNTA($M160:$M$361)&gt;0)),(MAX(AV$44:AV158)+1),IF(OR(($M158="r"),($M158="p"),($M158="g")),"---",AV158)))</f>
        <v>---</v>
      </c>
      <c t="str" s="142" r="AW159">
        <f>IF((COUNTA($M159:$M$361)=0),"---",IF(AND(($M159="g"),(COUNTA($M160:$M$361)&gt;0)),(MAX(AW$44:AW158)+1),IF(OR(($M158="r"),($M158="p"),($M158="n")),"---",AW158)))</f>
        <v>---</v>
      </c>
      <c s="676" r="AX159">
        <f>IF((M159="p"),(1+MAX(AX$44:AX158)),0)</f>
        <v>0</v>
      </c>
      <c s="51" r="AY159"/>
      <c s="761" r="AZ159"/>
      <c s="761" r="BA159"/>
      <c s="125" r="BB159"/>
      <c s="125" r="BC159"/>
      <c s="125" r="BD159"/>
      <c s="125" r="BE159"/>
      <c s="125" r="BF159"/>
      <c s="125" r="BG159"/>
      <c s="125" r="BH159"/>
      <c s="125" r="BI159"/>
    </row>
    <row r="160">
      <c s="125" r="A160"/>
      <c s="125" r="B160"/>
      <c s="125" r="C160"/>
      <c s="125" r="D160"/>
      <c s="125" r="E160"/>
      <c s="125" r="F160"/>
      <c s="125" r="G160"/>
      <c s="125" r="H160"/>
      <c s="125" r="I160"/>
      <c s="822" r="J160"/>
      <c s="848" r="K160"/>
      <c s="550" r="L160"/>
      <c s="104" r="M160"/>
      <c s="550" r="N160"/>
      <c t="str" s="589" r="O160">
        <f>IF((AH$28=2),IF(ISBLANK(N160),O159,N160),IF(ISNUMBER(N160),(MAX(O$44:O159)+N160),O159))</f>
        <v/>
      </c>
      <c s="694" r="P160"/>
      <c s="273" r="Q160">
        <f>IF(ISNUMBER(P160),((Q159+P160)-R159),Q159)</f>
        <v>100</v>
      </c>
      <c s="694" r="R160"/>
      <c s="821" r="S160"/>
      <c s="550" r="T160"/>
      <c s="550" r="U160"/>
      <c s="550" r="V160"/>
      <c s="550" r="W160"/>
      <c s="550" r="X160"/>
      <c s="550" r="Y160"/>
      <c t="str" s="470" r="Z160">
        <f>IF(ISNUMBER(S160),(Q160-S160),NA())</f>
        <v>#N/A:explicit</v>
      </c>
      <c t="str" s="470" r="AA160">
        <f>IF(ISNUMBER(T160),IF((AH$22=1),(Z160+T160),(Q160-T160)),NA())</f>
        <v>#N/A:explicit</v>
      </c>
      <c t="str" s="470" r="AB160">
        <f>IF(ISNUMBER(U160),(Q160-U160),NA())</f>
        <v>#N/A:explicit</v>
      </c>
      <c t="str" s="470" r="AC160">
        <f>IF(ISNUMBER(V160),(Q160-V160),NA())</f>
        <v>#N/A:explicit</v>
      </c>
      <c t="str" s="470" r="AD160">
        <f>IF(ISNUMBER(W160),(Q160-W160),NA())</f>
        <v>#N/A:explicit</v>
      </c>
      <c t="str" s="470" r="AE160">
        <f>IF(ISNUMBER(X160),(Q160-X160),NA())</f>
        <v>#N/A:explicit</v>
      </c>
      <c t="str" s="552" r="AF160">
        <f>IF(ISNUMBER(Z160),Z160,"---")</f>
        <v>---</v>
      </c>
      <c s="142" r="AG160"/>
      <c t="str" s="142" r="AH160">
        <f>IF(ISBLANK(L160),NA(),MIN(AF$44:AF$361))</f>
        <v>#N/A:explicit</v>
      </c>
      <c t="str" s="142" r="AI160">
        <f>IF(ISNA(AA160),Z160,AA160)</f>
        <v>#N/A:explicit</v>
      </c>
      <c s="142" r="AJ160">
        <f>MIN(AF$44:AF$361)</f>
        <v>0</v>
      </c>
      <c s="142" r="AK160"/>
      <c t="str" s="142" r="AL160">
        <f>IF(ISNUMBER(AB160),O160,"---")</f>
        <v>---</v>
      </c>
      <c t="str" s="80" r="AM160">
        <f>IF(ISNUMBER(AB160),AB160,"---")</f>
        <v>---</v>
      </c>
      <c s="80" r="AN160"/>
      <c t="str" s="142" r="AO160">
        <f>IF((M160="r"),Z160,NA())</f>
        <v>#N/A:explicit</v>
      </c>
      <c t="str" s="142" r="AP160">
        <f>IF((M160="p"),Z160,NA())</f>
        <v>#N/A:explicit</v>
      </c>
      <c t="str" s="142" r="AQ160">
        <f>IF((M160="n"),Z160,NA())</f>
        <v>#N/A:explicit</v>
      </c>
      <c t="str" s="142" r="AR160">
        <f>IF((M160="g"),Z160,NA())</f>
        <v>#N/A:explicit</v>
      </c>
      <c s="142" r="AS160"/>
      <c t="str" s="142" r="AT160">
        <f>IF((COUNTA($M160:$M$361)=0),"---",IF(AND(($M160="r"),(COUNTA($M161:$M$361)&gt;0)),(MAX(AT$44:AT159)+1),IF(OR(($M159="p"),($M159="n"),($M159="g")),"---",AT159)))</f>
        <v>---</v>
      </c>
      <c t="str" s="142" r="AU160">
        <f>IF((COUNTA($M160:$M$361)=0),"---",IF(AND(($M160="p"),(COUNTA($M161:$M$361)&gt;0)),(MAX(AU$44:AU159)+1),IF(OR(($M159="r"),($M159="n"),($M159="g")),"---",AU159)))</f>
        <v>---</v>
      </c>
      <c t="str" s="142" r="AV160">
        <f>IF((COUNTA($M160:$M$361)=0),"---",IF(AND(($M160="n"),(COUNTA($M161:$M$361)&gt;0)),(MAX(AV$44:AV159)+1),IF(OR(($M159="r"),($M159="p"),($M159="g")),"---",AV159)))</f>
        <v>---</v>
      </c>
      <c t="str" s="142" r="AW160">
        <f>IF((COUNTA($M160:$M$361)=0),"---",IF(AND(($M160="g"),(COUNTA($M161:$M$361)&gt;0)),(MAX(AW$44:AW159)+1),IF(OR(($M159="r"),($M159="p"),($M159="n")),"---",AW159)))</f>
        <v>---</v>
      </c>
      <c s="676" r="AX160">
        <f>IF((M160="p"),(1+MAX(AX$44:AX159)),0)</f>
        <v>0</v>
      </c>
      <c s="51" r="AY160"/>
      <c s="761" r="AZ160"/>
      <c s="761" r="BA160"/>
      <c s="125" r="BB160"/>
      <c s="125" r="BC160"/>
      <c s="125" r="BD160"/>
      <c s="125" r="BE160"/>
      <c s="125" r="BF160"/>
      <c s="125" r="BG160"/>
      <c s="125" r="BH160"/>
      <c s="125" r="BI160"/>
    </row>
    <row r="161">
      <c s="125" r="A161"/>
      <c s="125" r="B161"/>
      <c s="125" r="C161"/>
      <c s="125" r="D161"/>
      <c s="125" r="E161"/>
      <c s="125" r="F161"/>
      <c s="125" r="G161"/>
      <c s="125" r="H161"/>
      <c s="125" r="I161"/>
      <c s="822" r="J161"/>
      <c s="848" r="K161"/>
      <c s="550" r="L161"/>
      <c s="104" r="M161"/>
      <c s="550" r="N161"/>
      <c t="str" s="589" r="O161">
        <f>IF((AH$28=2),IF(ISBLANK(N161),O160,N161),IF(ISNUMBER(N161),(MAX(O$44:O160)+N161),O160))</f>
        <v/>
      </c>
      <c s="694" r="P161"/>
      <c s="273" r="Q161">
        <f>IF(ISNUMBER(P161),((Q160+P161)-R160),Q160)</f>
        <v>100</v>
      </c>
      <c s="694" r="R161"/>
      <c s="821" r="S161"/>
      <c s="550" r="T161"/>
      <c s="550" r="U161"/>
      <c s="550" r="V161"/>
      <c s="550" r="W161"/>
      <c s="550" r="X161"/>
      <c s="550" r="Y161"/>
      <c t="str" s="470" r="Z161">
        <f>IF(ISNUMBER(S161),(Q161-S161),NA())</f>
        <v>#N/A:explicit</v>
      </c>
      <c t="str" s="470" r="AA161">
        <f>IF(ISNUMBER(T161),IF((AH$22=1),(Z161+T161),(Q161-T161)),NA())</f>
        <v>#N/A:explicit</v>
      </c>
      <c t="str" s="470" r="AB161">
        <f>IF(ISNUMBER(U161),(Q161-U161),NA())</f>
        <v>#N/A:explicit</v>
      </c>
      <c t="str" s="470" r="AC161">
        <f>IF(ISNUMBER(V161),(Q161-V161),NA())</f>
        <v>#N/A:explicit</v>
      </c>
      <c t="str" s="470" r="AD161">
        <f>IF(ISNUMBER(W161),(Q161-W161),NA())</f>
        <v>#N/A:explicit</v>
      </c>
      <c t="str" s="470" r="AE161">
        <f>IF(ISNUMBER(X161),(Q161-X161),NA())</f>
        <v>#N/A:explicit</v>
      </c>
      <c t="str" s="552" r="AF161">
        <f>IF(ISNUMBER(Z161),Z161,"---")</f>
        <v>---</v>
      </c>
      <c s="142" r="AG161"/>
      <c t="str" s="142" r="AH161">
        <f>IF(ISBLANK(L161),NA(),MIN(AF$44:AF$361))</f>
        <v>#N/A:explicit</v>
      </c>
      <c t="str" s="142" r="AI161">
        <f>IF(ISNA(AA161),Z161,AA161)</f>
        <v>#N/A:explicit</v>
      </c>
      <c s="142" r="AJ161">
        <f>MIN(AF$44:AF$361)</f>
        <v>0</v>
      </c>
      <c s="142" r="AK161"/>
      <c t="str" s="142" r="AL161">
        <f>IF(ISNUMBER(AB161),O161,"---")</f>
        <v>---</v>
      </c>
      <c t="str" s="80" r="AM161">
        <f>IF(ISNUMBER(AB161),AB161,"---")</f>
        <v>---</v>
      </c>
      <c s="80" r="AN161"/>
      <c t="str" s="142" r="AO161">
        <f>IF((M161="r"),Z161,NA())</f>
        <v>#N/A:explicit</v>
      </c>
      <c t="str" s="142" r="AP161">
        <f>IF((M161="p"),Z161,NA())</f>
        <v>#N/A:explicit</v>
      </c>
      <c t="str" s="142" r="AQ161">
        <f>IF((M161="n"),Z161,NA())</f>
        <v>#N/A:explicit</v>
      </c>
      <c t="str" s="142" r="AR161">
        <f>IF((M161="g"),Z161,NA())</f>
        <v>#N/A:explicit</v>
      </c>
      <c s="142" r="AS161"/>
      <c t="str" s="142" r="AT161">
        <f>IF((COUNTA($M161:$M$361)=0),"---",IF(AND(($M161="r"),(COUNTA($M162:$M$361)&gt;0)),(MAX(AT$44:AT160)+1),IF(OR(($M160="p"),($M160="n"),($M160="g")),"---",AT160)))</f>
        <v>---</v>
      </c>
      <c t="str" s="142" r="AU161">
        <f>IF((COUNTA($M161:$M$361)=0),"---",IF(AND(($M161="p"),(COUNTA($M162:$M$361)&gt;0)),(MAX(AU$44:AU160)+1),IF(OR(($M160="r"),($M160="n"),($M160="g")),"---",AU160)))</f>
        <v>---</v>
      </c>
      <c t="str" s="142" r="AV161">
        <f>IF((COUNTA($M161:$M$361)=0),"---",IF(AND(($M161="n"),(COUNTA($M162:$M$361)&gt;0)),(MAX(AV$44:AV160)+1),IF(OR(($M160="r"),($M160="p"),($M160="g")),"---",AV160)))</f>
        <v>---</v>
      </c>
      <c t="str" s="142" r="AW161">
        <f>IF((COUNTA($M161:$M$361)=0),"---",IF(AND(($M161="g"),(COUNTA($M162:$M$361)&gt;0)),(MAX(AW$44:AW160)+1),IF(OR(($M160="r"),($M160="p"),($M160="n")),"---",AW160)))</f>
        <v>---</v>
      </c>
      <c s="676" r="AX161">
        <f>IF((M161="p"),(1+MAX(AX$44:AX160)),0)</f>
        <v>0</v>
      </c>
      <c s="51" r="AY161"/>
      <c s="761" r="AZ161"/>
      <c s="761" r="BA161"/>
      <c s="125" r="BB161"/>
      <c s="125" r="BC161"/>
      <c s="125" r="BD161"/>
      <c s="125" r="BE161"/>
      <c s="125" r="BF161"/>
      <c s="125" r="BG161"/>
      <c s="125" r="BH161"/>
      <c s="125" r="BI161"/>
    </row>
    <row r="162">
      <c s="125" r="A162"/>
      <c s="125" r="B162"/>
      <c s="125" r="C162"/>
      <c s="125" r="D162"/>
      <c s="125" r="E162"/>
      <c s="125" r="F162"/>
      <c s="125" r="G162"/>
      <c s="125" r="H162"/>
      <c s="125" r="I162"/>
      <c s="822" r="J162"/>
      <c s="429" r="K162"/>
      <c s="458" r="L162"/>
      <c s="104" r="M162"/>
      <c s="458" r="N162"/>
      <c t="str" s="589" r="O162">
        <f>IF((AH$28=2),IF(ISBLANK(N162),O161,N162),IF(ISNUMBER(N162),(MAX(O$44:O161)+N162),O161))</f>
        <v/>
      </c>
      <c s="228" r="P162"/>
      <c s="273" r="Q162">
        <f>IF(ISNUMBER(P162),((Q161+P162)-R161),Q161)</f>
        <v>100</v>
      </c>
      <c s="228" r="R162"/>
      <c s="610" r="S162"/>
      <c s="458" r="T162"/>
      <c s="458" r="U162"/>
      <c s="458" r="V162"/>
      <c s="458" r="W162"/>
      <c s="458" r="X162"/>
      <c s="458" r="Y162"/>
      <c t="str" s="620" r="Z162">
        <f>IF(ISNUMBER(S162),(Q162-S162),NA())</f>
        <v>#N/A:explicit</v>
      </c>
      <c t="str" s="620" r="AA162">
        <f>IF(ISNUMBER(T162),IF((AH$22=1),(Z162+T162),(Q162-T162)),NA())</f>
        <v>#N/A:explicit</v>
      </c>
      <c t="str" s="620" r="AB162">
        <f>IF(ISNUMBER(U162),(Q162-U162),NA())</f>
        <v>#N/A:explicit</v>
      </c>
      <c t="str" s="620" r="AC162">
        <f>IF(ISNUMBER(V162),(Q162-V162),NA())</f>
        <v>#N/A:explicit</v>
      </c>
      <c t="str" s="620" r="AD162">
        <f>IF(ISNUMBER(W162),(Q162-W162),NA())</f>
        <v>#N/A:explicit</v>
      </c>
      <c t="str" s="620" r="AE162">
        <f>IF(ISNUMBER(X162),(Q162-X162),NA())</f>
        <v>#N/A:explicit</v>
      </c>
      <c t="str" s="552" r="AF162">
        <f>IF(ISNUMBER(Z162),Z162,"---")</f>
        <v>---</v>
      </c>
      <c s="142" r="AG162"/>
      <c t="str" s="142" r="AH162">
        <f>IF(ISBLANK(L162),NA(),MIN(AF$44:AF$361))</f>
        <v>#N/A:explicit</v>
      </c>
      <c t="str" s="142" r="AI162">
        <f>IF(ISNA(AA162),Z162,AA162)</f>
        <v>#N/A:explicit</v>
      </c>
      <c s="142" r="AJ162">
        <f>MIN(AF$44:AF$361)</f>
        <v>0</v>
      </c>
      <c s="142" r="AK162"/>
      <c t="str" s="142" r="AL162">
        <f>IF(ISNUMBER(AB162),O162,"---")</f>
        <v>---</v>
      </c>
      <c t="str" s="80" r="AM162">
        <f>IF(ISNUMBER(AB162),AB162,"---")</f>
        <v>---</v>
      </c>
      <c s="80" r="AN162"/>
      <c t="str" s="142" r="AO162">
        <f>IF((M162="r"),Z162,NA())</f>
        <v>#N/A:explicit</v>
      </c>
      <c t="str" s="142" r="AP162">
        <f>IF((M162="p"),Z162,NA())</f>
        <v>#N/A:explicit</v>
      </c>
      <c t="str" s="142" r="AQ162">
        <f>IF((M162="n"),Z162,NA())</f>
        <v>#N/A:explicit</v>
      </c>
      <c t="str" s="142" r="AR162">
        <f>IF((M162="g"),Z162,NA())</f>
        <v>#N/A:explicit</v>
      </c>
      <c s="142" r="AS162"/>
      <c t="str" s="142" r="AT162">
        <f>IF((COUNTA($M162:$M$361)=0),"---",IF(AND(($M162="r"),(COUNTA($M163:$M$361)&gt;0)),(MAX(AT$44:AT161)+1),IF(OR(($M161="p"),($M161="n"),($M161="g")),"---",AT161)))</f>
        <v>---</v>
      </c>
      <c t="str" s="142" r="AU162">
        <f>IF((COUNTA($M162:$M$361)=0),"---",IF(AND(($M162="p"),(COUNTA($M163:$M$361)&gt;0)),(MAX(AU$44:AU161)+1),IF(OR(($M161="r"),($M161="n"),($M161="g")),"---",AU161)))</f>
        <v>---</v>
      </c>
      <c t="str" s="142" r="AV162">
        <f>IF((COUNTA($M162:$M$361)=0),"---",IF(AND(($M162="n"),(COUNTA($M163:$M$361)&gt;0)),(MAX(AV$44:AV161)+1),IF(OR(($M161="r"),($M161="p"),($M161="g")),"---",AV161)))</f>
        <v>---</v>
      </c>
      <c t="str" s="142" r="AW162">
        <f>IF((COUNTA($M162:$M$361)=0),"---",IF(AND(($M162="g"),(COUNTA($M163:$M$361)&gt;0)),(MAX(AW$44:AW161)+1),IF(OR(($M161="r"),($M161="p"),($M161="n")),"---",AW161)))</f>
        <v>---</v>
      </c>
      <c s="676" r="AX162">
        <f>IF((M162="p"),(1+MAX(AX$44:AX161)),0)</f>
        <v>0</v>
      </c>
      <c s="51" r="AY162"/>
      <c s="761" r="AZ162"/>
      <c s="761" r="BA162"/>
      <c s="125" r="BB162"/>
      <c s="125" r="BC162"/>
      <c s="125" r="BD162"/>
      <c s="125" r="BE162"/>
      <c s="125" r="BF162"/>
      <c s="125" r="BG162"/>
      <c s="125" r="BH162"/>
      <c s="125" r="BI162"/>
    </row>
    <row r="163">
      <c s="125" r="A163"/>
      <c s="125" r="B163"/>
      <c s="125" r="C163"/>
      <c s="125" r="D163"/>
      <c s="125" r="E163"/>
      <c s="125" r="F163"/>
      <c s="125" r="G163"/>
      <c s="125" r="H163"/>
      <c s="125" r="I163"/>
      <c s="822" r="J163"/>
      <c s="429" r="K163"/>
      <c s="458" r="L163"/>
      <c s="104" r="M163"/>
      <c s="458" r="N163"/>
      <c t="str" s="589" r="O163">
        <f>IF((AH$28=2),IF(ISBLANK(N163),O162,N163),IF(ISNUMBER(N163),(MAX(O$44:O162)+N163),O162))</f>
        <v/>
      </c>
      <c s="228" r="P163"/>
      <c s="273" r="Q163">
        <f>IF(ISNUMBER(P163),((Q162+P163)-R162),Q162)</f>
        <v>100</v>
      </c>
      <c s="228" r="R163"/>
      <c s="610" r="S163"/>
      <c s="458" r="T163"/>
      <c s="458" r="U163"/>
      <c s="458" r="V163"/>
      <c s="458" r="W163"/>
      <c s="458" r="X163"/>
      <c s="458" r="Y163"/>
      <c t="str" s="620" r="Z163">
        <f>IF(ISNUMBER(S163),(Q163-S163),NA())</f>
        <v>#N/A:explicit</v>
      </c>
      <c t="str" s="620" r="AA163">
        <f>IF(ISNUMBER(T163),IF((AH$22=1),(Z163+T163),(Q163-T163)),NA())</f>
        <v>#N/A:explicit</v>
      </c>
      <c t="str" s="620" r="AB163">
        <f>IF(ISNUMBER(U163),(Q163-U163),NA())</f>
        <v>#N/A:explicit</v>
      </c>
      <c t="str" s="620" r="AC163">
        <f>IF(ISNUMBER(V163),(Q163-V163),NA())</f>
        <v>#N/A:explicit</v>
      </c>
      <c t="str" s="620" r="AD163">
        <f>IF(ISNUMBER(W163),(Q163-W163),NA())</f>
        <v>#N/A:explicit</v>
      </c>
      <c t="str" s="620" r="AE163">
        <f>IF(ISNUMBER(X163),(Q163-X163),NA())</f>
        <v>#N/A:explicit</v>
      </c>
      <c t="str" s="552" r="AF163">
        <f>IF(ISNUMBER(Z163),Z163,"---")</f>
        <v>---</v>
      </c>
      <c s="142" r="AG163"/>
      <c t="str" s="142" r="AH163">
        <f>IF(ISBLANK(L163),NA(),MIN(AF$44:AF$361))</f>
        <v>#N/A:explicit</v>
      </c>
      <c t="str" s="142" r="AI163">
        <f>IF(ISNA(AA163),Z163,AA163)</f>
        <v>#N/A:explicit</v>
      </c>
      <c s="142" r="AJ163">
        <f>MIN(AF$44:AF$361)</f>
        <v>0</v>
      </c>
      <c s="142" r="AK163"/>
      <c t="str" s="142" r="AL163">
        <f>IF(ISNUMBER(AB163),O163,"---")</f>
        <v>---</v>
      </c>
      <c t="str" s="80" r="AM163">
        <f>IF(ISNUMBER(AB163),AB163,"---")</f>
        <v>---</v>
      </c>
      <c s="80" r="AN163"/>
      <c t="str" s="142" r="AO163">
        <f>IF((M163="r"),Z163,NA())</f>
        <v>#N/A:explicit</v>
      </c>
      <c t="str" s="142" r="AP163">
        <f>IF((M163="p"),Z163,NA())</f>
        <v>#N/A:explicit</v>
      </c>
      <c t="str" s="142" r="AQ163">
        <f>IF((M163="n"),Z163,NA())</f>
        <v>#N/A:explicit</v>
      </c>
      <c t="str" s="142" r="AR163">
        <f>IF((M163="g"),Z163,NA())</f>
        <v>#N/A:explicit</v>
      </c>
      <c s="142" r="AS163"/>
      <c t="str" s="142" r="AT163">
        <f>IF((COUNTA($M163:$M$361)=0),"---",IF(AND(($M163="r"),(COUNTA($M164:$M$361)&gt;0)),(MAX(AT$44:AT162)+1),IF(OR(($M162="p"),($M162="n"),($M162="g")),"---",AT162)))</f>
        <v>---</v>
      </c>
      <c t="str" s="142" r="AU163">
        <f>IF((COUNTA($M163:$M$361)=0),"---",IF(AND(($M163="p"),(COUNTA($M164:$M$361)&gt;0)),(MAX(AU$44:AU162)+1),IF(OR(($M162="r"),($M162="n"),($M162="g")),"---",AU162)))</f>
        <v>---</v>
      </c>
      <c t="str" s="142" r="AV163">
        <f>IF((COUNTA($M163:$M$361)=0),"---",IF(AND(($M163="n"),(COUNTA($M164:$M$361)&gt;0)),(MAX(AV$44:AV162)+1),IF(OR(($M162="r"),($M162="p"),($M162="g")),"---",AV162)))</f>
        <v>---</v>
      </c>
      <c t="str" s="142" r="AW163">
        <f>IF((COUNTA($M163:$M$361)=0),"---",IF(AND(($M163="g"),(COUNTA($M164:$M$361)&gt;0)),(MAX(AW$44:AW162)+1),IF(OR(($M162="r"),($M162="p"),($M162="n")),"---",AW162)))</f>
        <v>---</v>
      </c>
      <c s="676" r="AX163">
        <f>IF((M163="p"),(1+MAX(AX$44:AX162)),0)</f>
        <v>0</v>
      </c>
      <c s="51" r="AY163"/>
      <c s="761" r="AZ163"/>
      <c s="761" r="BA163"/>
      <c s="125" r="BB163"/>
      <c s="125" r="BC163"/>
      <c s="125" r="BD163"/>
      <c s="125" r="BE163"/>
      <c s="125" r="BF163"/>
      <c s="125" r="BG163"/>
      <c s="125" r="BH163"/>
      <c s="125" r="BI163"/>
    </row>
    <row r="164">
      <c s="125" r="A164"/>
      <c s="125" r="B164"/>
      <c s="125" r="C164"/>
      <c s="125" r="D164"/>
      <c s="125" r="E164"/>
      <c s="125" r="F164"/>
      <c s="125" r="G164"/>
      <c s="125" r="H164"/>
      <c s="125" r="I164"/>
      <c s="822" r="J164"/>
      <c s="429" r="K164"/>
      <c s="458" r="L164"/>
      <c s="104" r="M164"/>
      <c s="458" r="N164"/>
      <c t="str" s="589" r="O164">
        <f>IF((AH$28=2),IF(ISBLANK(N164),O163,N164),IF(ISNUMBER(N164),(MAX(O$44:O163)+N164),O163))</f>
        <v/>
      </c>
      <c s="228" r="P164"/>
      <c s="273" r="Q164">
        <f>IF(ISNUMBER(P164),((Q163+P164)-R163),Q163)</f>
        <v>100</v>
      </c>
      <c s="228" r="R164"/>
      <c s="610" r="S164"/>
      <c s="458" r="T164"/>
      <c s="458" r="U164"/>
      <c s="458" r="V164"/>
      <c s="458" r="W164"/>
      <c s="458" r="X164"/>
      <c s="458" r="Y164"/>
      <c t="str" s="620" r="Z164">
        <f>IF(ISNUMBER(S164),(Q164-S164),NA())</f>
        <v>#N/A:explicit</v>
      </c>
      <c t="str" s="620" r="AA164">
        <f>IF(ISNUMBER(T164),IF((AH$22=1),(Z164+T164),(Q164-T164)),NA())</f>
        <v>#N/A:explicit</v>
      </c>
      <c t="str" s="620" r="AB164">
        <f>IF(ISNUMBER(U164),(Q164-U164),NA())</f>
        <v>#N/A:explicit</v>
      </c>
      <c t="str" s="620" r="AC164">
        <f>IF(ISNUMBER(V164),(Q164-V164),NA())</f>
        <v>#N/A:explicit</v>
      </c>
      <c t="str" s="620" r="AD164">
        <f>IF(ISNUMBER(W164),(Q164-W164),NA())</f>
        <v>#N/A:explicit</v>
      </c>
      <c t="str" s="620" r="AE164">
        <f>IF(ISNUMBER(X164),(Q164-X164),NA())</f>
        <v>#N/A:explicit</v>
      </c>
      <c t="str" s="552" r="AF164">
        <f>IF(ISNUMBER(Z164),Z164,"---")</f>
        <v>---</v>
      </c>
      <c s="142" r="AG164"/>
      <c t="str" s="142" r="AH164">
        <f>IF(ISBLANK(L164),NA(),MIN(AF$44:AF$361))</f>
        <v>#N/A:explicit</v>
      </c>
      <c t="str" s="142" r="AI164">
        <f>IF(ISNA(AA164),Z164,AA164)</f>
        <v>#N/A:explicit</v>
      </c>
      <c s="142" r="AJ164">
        <f>MIN(AF$44:AF$361)</f>
        <v>0</v>
      </c>
      <c s="142" r="AK164"/>
      <c t="str" s="142" r="AL164">
        <f>IF(ISNUMBER(AB164),O164,"---")</f>
        <v>---</v>
      </c>
      <c t="str" s="80" r="AM164">
        <f>IF(ISNUMBER(AB164),AB164,"---")</f>
        <v>---</v>
      </c>
      <c s="80" r="AN164"/>
      <c t="str" s="142" r="AO164">
        <f>IF((M164="r"),Z164,NA())</f>
        <v>#N/A:explicit</v>
      </c>
      <c t="str" s="142" r="AP164">
        <f>IF((M164="p"),Z164,NA())</f>
        <v>#N/A:explicit</v>
      </c>
      <c t="str" s="142" r="AQ164">
        <f>IF((M164="n"),Z164,NA())</f>
        <v>#N/A:explicit</v>
      </c>
      <c t="str" s="142" r="AR164">
        <f>IF((M164="g"),Z164,NA())</f>
        <v>#N/A:explicit</v>
      </c>
      <c s="142" r="AS164"/>
      <c t="str" s="142" r="AT164">
        <f>IF((COUNTA($M164:$M$361)=0),"---",IF(AND(($M164="r"),(COUNTA($M165:$M$361)&gt;0)),(MAX(AT$44:AT163)+1),IF(OR(($M163="p"),($M163="n"),($M163="g")),"---",AT163)))</f>
        <v>---</v>
      </c>
      <c t="str" s="142" r="AU164">
        <f>IF((COUNTA($M164:$M$361)=0),"---",IF(AND(($M164="p"),(COUNTA($M165:$M$361)&gt;0)),(MAX(AU$44:AU163)+1),IF(OR(($M163="r"),($M163="n"),($M163="g")),"---",AU163)))</f>
        <v>---</v>
      </c>
      <c t="str" s="142" r="AV164">
        <f>IF((COUNTA($M164:$M$361)=0),"---",IF(AND(($M164="n"),(COUNTA($M165:$M$361)&gt;0)),(MAX(AV$44:AV163)+1),IF(OR(($M163="r"),($M163="p"),($M163="g")),"---",AV163)))</f>
        <v>---</v>
      </c>
      <c t="str" s="142" r="AW164">
        <f>IF((COUNTA($M164:$M$361)=0),"---",IF(AND(($M164="g"),(COUNTA($M165:$M$361)&gt;0)),(MAX(AW$44:AW163)+1),IF(OR(($M163="r"),($M163="p"),($M163="n")),"---",AW163)))</f>
        <v>---</v>
      </c>
      <c s="676" r="AX164">
        <f>IF((M164="p"),(1+MAX(AX$44:AX163)),0)</f>
        <v>0</v>
      </c>
      <c s="51" r="AY164"/>
      <c s="761" r="AZ164"/>
      <c s="761" r="BA164"/>
      <c s="125" r="BB164"/>
      <c s="125" r="BC164"/>
      <c s="125" r="BD164"/>
      <c s="125" r="BE164"/>
      <c s="125" r="BF164"/>
      <c s="125" r="BG164"/>
      <c s="125" r="BH164"/>
      <c s="125" r="BI164"/>
    </row>
    <row r="165">
      <c s="125" r="A165"/>
      <c s="125" r="B165"/>
      <c s="125" r="C165"/>
      <c s="125" r="D165"/>
      <c s="125" r="E165"/>
      <c s="125" r="F165"/>
      <c s="125" r="G165"/>
      <c s="125" r="H165"/>
      <c s="125" r="I165"/>
      <c s="822" r="J165"/>
      <c s="848" r="K165"/>
      <c s="550" r="L165"/>
      <c s="104" r="M165"/>
      <c s="550" r="N165"/>
      <c t="str" s="589" r="O165">
        <f>IF((AH$28=2),IF(ISBLANK(N165),O164,N165),IF(ISNUMBER(N165),(MAX(O$44:O164)+N165),O164))</f>
        <v/>
      </c>
      <c s="694" r="P165"/>
      <c s="273" r="Q165">
        <f>IF(ISNUMBER(P165),((Q164+P165)-R164),Q164)</f>
        <v>100</v>
      </c>
      <c s="694" r="R165"/>
      <c s="821" r="S165"/>
      <c s="550" r="T165"/>
      <c s="550" r="U165"/>
      <c s="550" r="V165"/>
      <c s="550" r="W165"/>
      <c s="550" r="X165"/>
      <c s="550" r="Y165"/>
      <c t="str" s="470" r="Z165">
        <f>IF(ISNUMBER(S165),(Q165-S165),NA())</f>
        <v>#N/A:explicit</v>
      </c>
      <c t="str" s="470" r="AA165">
        <f>IF(ISNUMBER(T165),IF((AH$22=1),(Z165+T165),(Q165-T165)),NA())</f>
        <v>#N/A:explicit</v>
      </c>
      <c t="str" s="470" r="AB165">
        <f>IF(ISNUMBER(U165),(Q165-U165),NA())</f>
        <v>#N/A:explicit</v>
      </c>
      <c t="str" s="470" r="AC165">
        <f>IF(ISNUMBER(V165),(Q165-V165),NA())</f>
        <v>#N/A:explicit</v>
      </c>
      <c t="str" s="470" r="AD165">
        <f>IF(ISNUMBER(W165),(Q165-W165),NA())</f>
        <v>#N/A:explicit</v>
      </c>
      <c t="str" s="470" r="AE165">
        <f>IF(ISNUMBER(X165),(Q165-X165),NA())</f>
        <v>#N/A:explicit</v>
      </c>
      <c t="str" s="552" r="AF165">
        <f>IF(ISNUMBER(Z165),Z165,"---")</f>
        <v>---</v>
      </c>
      <c s="142" r="AG165"/>
      <c t="str" s="142" r="AH165">
        <f>IF(ISBLANK(L165),NA(),MIN(AF$44:AF$361))</f>
        <v>#N/A:explicit</v>
      </c>
      <c t="str" s="142" r="AI165">
        <f>IF(ISNA(AA165),Z165,AA165)</f>
        <v>#N/A:explicit</v>
      </c>
      <c s="142" r="AJ165">
        <f>MIN(AF$44:AF$361)</f>
        <v>0</v>
      </c>
      <c s="142" r="AK165"/>
      <c t="str" s="142" r="AL165">
        <f>IF(ISNUMBER(AB165),O165,"---")</f>
        <v>---</v>
      </c>
      <c t="str" s="80" r="AM165">
        <f>IF(ISNUMBER(AB165),AB165,"---")</f>
        <v>---</v>
      </c>
      <c s="80" r="AN165"/>
      <c t="str" s="142" r="AO165">
        <f>IF((M165="r"),Z165,NA())</f>
        <v>#N/A:explicit</v>
      </c>
      <c t="str" s="142" r="AP165">
        <f>IF((M165="p"),Z165,NA())</f>
        <v>#N/A:explicit</v>
      </c>
      <c t="str" s="142" r="AQ165">
        <f>IF((M165="n"),Z165,NA())</f>
        <v>#N/A:explicit</v>
      </c>
      <c t="str" s="142" r="AR165">
        <f>IF((M165="g"),Z165,NA())</f>
        <v>#N/A:explicit</v>
      </c>
      <c s="142" r="AS165"/>
      <c t="str" s="142" r="AT165">
        <f>IF((COUNTA($M165:$M$361)=0),"---",IF(AND(($M165="r"),(COUNTA($M166:$M$361)&gt;0)),(MAX(AT$44:AT164)+1),IF(OR(($M164="p"),($M164="n"),($M164="g")),"---",AT164)))</f>
        <v>---</v>
      </c>
      <c t="str" s="142" r="AU165">
        <f>IF((COUNTA($M165:$M$361)=0),"---",IF(AND(($M165="p"),(COUNTA($M166:$M$361)&gt;0)),(MAX(AU$44:AU164)+1),IF(OR(($M164="r"),($M164="n"),($M164="g")),"---",AU164)))</f>
        <v>---</v>
      </c>
      <c t="str" s="142" r="AV165">
        <f>IF((COUNTA($M165:$M$361)=0),"---",IF(AND(($M165="n"),(COUNTA($M166:$M$361)&gt;0)),(MAX(AV$44:AV164)+1),IF(OR(($M164="r"),($M164="p"),($M164="g")),"---",AV164)))</f>
        <v>---</v>
      </c>
      <c t="str" s="142" r="AW165">
        <f>IF((COUNTA($M165:$M$361)=0),"---",IF(AND(($M165="g"),(COUNTA($M166:$M$361)&gt;0)),(MAX(AW$44:AW164)+1),IF(OR(($M164="r"),($M164="p"),($M164="n")),"---",AW164)))</f>
        <v>---</v>
      </c>
      <c s="676" r="AX165">
        <f>IF((M165="p"),(1+MAX(AX$44:AX164)),0)</f>
        <v>0</v>
      </c>
      <c s="51" r="AY165"/>
      <c s="761" r="AZ165"/>
      <c s="761" r="BA165"/>
      <c s="125" r="BB165"/>
      <c s="125" r="BC165"/>
      <c s="125" r="BD165"/>
      <c s="125" r="BE165"/>
      <c s="125" r="BF165"/>
      <c s="125" r="BG165"/>
      <c s="125" r="BH165"/>
      <c s="125" r="BI165"/>
    </row>
    <row r="166">
      <c s="125" r="A166"/>
      <c s="125" r="B166"/>
      <c s="125" r="C166"/>
      <c s="125" r="D166"/>
      <c s="125" r="E166"/>
      <c s="125" r="F166"/>
      <c s="125" r="G166"/>
      <c s="125" r="H166"/>
      <c s="125" r="I166"/>
      <c s="822" r="J166"/>
      <c s="848" r="K166"/>
      <c s="550" r="L166"/>
      <c s="104" r="M166"/>
      <c s="550" r="N166"/>
      <c t="str" s="589" r="O166">
        <f>IF((AH$28=2),IF(ISBLANK(N166),O165,N166),IF(ISNUMBER(N166),(MAX(O$44:O165)+N166),O165))</f>
        <v/>
      </c>
      <c s="694" r="P166"/>
      <c s="273" r="Q166">
        <f>IF(ISNUMBER(P166),((Q165+P166)-R165),Q165)</f>
        <v>100</v>
      </c>
      <c s="694" r="R166"/>
      <c s="821" r="S166"/>
      <c s="550" r="T166"/>
      <c s="550" r="U166"/>
      <c s="550" r="V166"/>
      <c s="550" r="W166"/>
      <c s="550" r="X166"/>
      <c s="550" r="Y166"/>
      <c t="str" s="470" r="Z166">
        <f>IF(ISNUMBER(S166),(Q166-S166),NA())</f>
        <v>#N/A:explicit</v>
      </c>
      <c t="str" s="470" r="AA166">
        <f>IF(ISNUMBER(T166),IF((AH$22=1),(Z166+T166),(Q166-T166)),NA())</f>
        <v>#N/A:explicit</v>
      </c>
      <c t="str" s="470" r="AB166">
        <f>IF(ISNUMBER(U166),(Q166-U166),NA())</f>
        <v>#N/A:explicit</v>
      </c>
      <c t="str" s="470" r="AC166">
        <f>IF(ISNUMBER(V166),(Q166-V166),NA())</f>
        <v>#N/A:explicit</v>
      </c>
      <c t="str" s="470" r="AD166">
        <f>IF(ISNUMBER(W166),(Q166-W166),NA())</f>
        <v>#N/A:explicit</v>
      </c>
      <c t="str" s="470" r="AE166">
        <f>IF(ISNUMBER(X166),(Q166-X166),NA())</f>
        <v>#N/A:explicit</v>
      </c>
      <c t="str" s="552" r="AF166">
        <f>IF(ISNUMBER(Z166),Z166,"---")</f>
        <v>---</v>
      </c>
      <c s="142" r="AG166"/>
      <c t="str" s="142" r="AH166">
        <f>IF(ISBLANK(L166),NA(),MIN(AF$44:AF$361))</f>
        <v>#N/A:explicit</v>
      </c>
      <c t="str" s="142" r="AI166">
        <f>IF(ISNA(AA166),Z166,AA166)</f>
        <v>#N/A:explicit</v>
      </c>
      <c s="142" r="AJ166">
        <f>MIN(AF$44:AF$361)</f>
        <v>0</v>
      </c>
      <c s="142" r="AK166"/>
      <c t="str" s="142" r="AL166">
        <f>IF(ISNUMBER(AB166),O166,"---")</f>
        <v>---</v>
      </c>
      <c t="str" s="80" r="AM166">
        <f>IF(ISNUMBER(AB166),AB166,"---")</f>
        <v>---</v>
      </c>
      <c s="80" r="AN166"/>
      <c t="str" s="142" r="AO166">
        <f>IF((M166="r"),Z166,NA())</f>
        <v>#N/A:explicit</v>
      </c>
      <c t="str" s="142" r="AP166">
        <f>IF((M166="p"),Z166,NA())</f>
        <v>#N/A:explicit</v>
      </c>
      <c t="str" s="142" r="AQ166">
        <f>IF((M166="n"),Z166,NA())</f>
        <v>#N/A:explicit</v>
      </c>
      <c t="str" s="142" r="AR166">
        <f>IF((M166="g"),Z166,NA())</f>
        <v>#N/A:explicit</v>
      </c>
      <c s="142" r="AS166"/>
      <c t="str" s="142" r="AT166">
        <f>IF((COUNTA($M166:$M$361)=0),"---",IF(AND(($M166="r"),(COUNTA($M167:$M$361)&gt;0)),(MAX(AT$44:AT165)+1),IF(OR(($M165="p"),($M165="n"),($M165="g")),"---",AT165)))</f>
        <v>---</v>
      </c>
      <c t="str" s="142" r="AU166">
        <f>IF((COUNTA($M166:$M$361)=0),"---",IF(AND(($M166="p"),(COUNTA($M167:$M$361)&gt;0)),(MAX(AU$44:AU165)+1),IF(OR(($M165="r"),($M165="n"),($M165="g")),"---",AU165)))</f>
        <v>---</v>
      </c>
      <c t="str" s="142" r="AV166">
        <f>IF((COUNTA($M166:$M$361)=0),"---",IF(AND(($M166="n"),(COUNTA($M167:$M$361)&gt;0)),(MAX(AV$44:AV165)+1),IF(OR(($M165="r"),($M165="p"),($M165="g")),"---",AV165)))</f>
        <v>---</v>
      </c>
      <c t="str" s="142" r="AW166">
        <f>IF((COUNTA($M166:$M$361)=0),"---",IF(AND(($M166="g"),(COUNTA($M167:$M$361)&gt;0)),(MAX(AW$44:AW165)+1),IF(OR(($M165="r"),($M165="p"),($M165="n")),"---",AW165)))</f>
        <v>---</v>
      </c>
      <c s="676" r="AX166">
        <f>IF((M166="p"),(1+MAX(AX$44:AX165)),0)</f>
        <v>0</v>
      </c>
      <c s="51" r="AY166"/>
      <c s="761" r="AZ166"/>
      <c s="761" r="BA166"/>
      <c s="125" r="BB166"/>
      <c s="125" r="BC166"/>
      <c s="125" r="BD166"/>
      <c s="125" r="BE166"/>
      <c s="125" r="BF166"/>
      <c s="125" r="BG166"/>
      <c s="125" r="BH166"/>
      <c s="125" r="BI166"/>
    </row>
    <row r="167">
      <c s="125" r="A167"/>
      <c s="125" r="B167"/>
      <c s="125" r="C167"/>
      <c s="125" r="D167"/>
      <c s="125" r="E167"/>
      <c s="125" r="F167"/>
      <c s="125" r="G167"/>
      <c s="125" r="H167"/>
      <c s="125" r="I167"/>
      <c s="822" r="J167"/>
      <c s="848" r="K167"/>
      <c s="550" r="L167"/>
      <c s="104" r="M167"/>
      <c s="550" r="N167"/>
      <c t="str" s="589" r="O167">
        <f>IF((AH$28=2),IF(ISBLANK(N167),O166,N167),IF(ISNUMBER(N167),(MAX(O$44:O166)+N167),O166))</f>
        <v/>
      </c>
      <c s="694" r="P167"/>
      <c s="273" r="Q167">
        <f>IF(ISNUMBER(P167),((Q166+P167)-R166),Q166)</f>
        <v>100</v>
      </c>
      <c s="694" r="R167"/>
      <c s="821" r="S167"/>
      <c s="550" r="T167"/>
      <c s="550" r="U167"/>
      <c s="550" r="V167"/>
      <c s="550" r="W167"/>
      <c s="550" r="X167"/>
      <c s="550" r="Y167"/>
      <c t="str" s="470" r="Z167">
        <f>IF(ISNUMBER(S167),(Q167-S167),NA())</f>
        <v>#N/A:explicit</v>
      </c>
      <c t="str" s="470" r="AA167">
        <f>IF(ISNUMBER(T167),IF((AH$22=1),(Z167+T167),(Q167-T167)),NA())</f>
        <v>#N/A:explicit</v>
      </c>
      <c t="str" s="470" r="AB167">
        <f>IF(ISNUMBER(U167),(Q167-U167),NA())</f>
        <v>#N/A:explicit</v>
      </c>
      <c t="str" s="470" r="AC167">
        <f>IF(ISNUMBER(V167),(Q167-V167),NA())</f>
        <v>#N/A:explicit</v>
      </c>
      <c t="str" s="470" r="AD167">
        <f>IF(ISNUMBER(W167),(Q167-W167),NA())</f>
        <v>#N/A:explicit</v>
      </c>
      <c t="str" s="470" r="AE167">
        <f>IF(ISNUMBER(X167),(Q167-X167),NA())</f>
        <v>#N/A:explicit</v>
      </c>
      <c t="str" s="552" r="AF167">
        <f>IF(ISNUMBER(Z167),Z167,"---")</f>
        <v>---</v>
      </c>
      <c s="142" r="AG167"/>
      <c t="str" s="142" r="AH167">
        <f>IF(ISBLANK(L167),NA(),MIN(AF$44:AF$361))</f>
        <v>#N/A:explicit</v>
      </c>
      <c t="str" s="142" r="AI167">
        <f>IF(ISNA(AA167),Z167,AA167)</f>
        <v>#N/A:explicit</v>
      </c>
      <c s="142" r="AJ167">
        <f>MIN(AF$44:AF$361)</f>
        <v>0</v>
      </c>
      <c s="142" r="AK167"/>
      <c t="str" s="142" r="AL167">
        <f>IF(ISNUMBER(AB167),O167,"---")</f>
        <v>---</v>
      </c>
      <c t="str" s="80" r="AM167">
        <f>IF(ISNUMBER(AB167),AB167,"---")</f>
        <v>---</v>
      </c>
      <c s="80" r="AN167"/>
      <c t="str" s="142" r="AO167">
        <f>IF((M167="r"),Z167,NA())</f>
        <v>#N/A:explicit</v>
      </c>
      <c t="str" s="142" r="AP167">
        <f>IF((M167="p"),Z167,NA())</f>
        <v>#N/A:explicit</v>
      </c>
      <c t="str" s="142" r="AQ167">
        <f>IF((M167="n"),Z167,NA())</f>
        <v>#N/A:explicit</v>
      </c>
      <c t="str" s="142" r="AR167">
        <f>IF((M167="g"),Z167,NA())</f>
        <v>#N/A:explicit</v>
      </c>
      <c s="142" r="AS167"/>
      <c t="str" s="142" r="AT167">
        <f>IF((COUNTA($M167:$M$361)=0),"---",IF(AND(($M167="r"),(COUNTA($M168:$M$361)&gt;0)),(MAX(AT$44:AT166)+1),IF(OR(($M166="p"),($M166="n"),($M166="g")),"---",AT166)))</f>
        <v>---</v>
      </c>
      <c t="str" s="142" r="AU167">
        <f>IF((COUNTA($M167:$M$361)=0),"---",IF(AND(($M167="p"),(COUNTA($M168:$M$361)&gt;0)),(MAX(AU$44:AU166)+1),IF(OR(($M166="r"),($M166="n"),($M166="g")),"---",AU166)))</f>
        <v>---</v>
      </c>
      <c t="str" s="142" r="AV167">
        <f>IF((COUNTA($M167:$M$361)=0),"---",IF(AND(($M167="n"),(COUNTA($M168:$M$361)&gt;0)),(MAX(AV$44:AV166)+1),IF(OR(($M166="r"),($M166="p"),($M166="g")),"---",AV166)))</f>
        <v>---</v>
      </c>
      <c t="str" s="142" r="AW167">
        <f>IF((COUNTA($M167:$M$361)=0),"---",IF(AND(($M167="g"),(COUNTA($M168:$M$361)&gt;0)),(MAX(AW$44:AW166)+1),IF(OR(($M166="r"),($M166="p"),($M166="n")),"---",AW166)))</f>
        <v>---</v>
      </c>
      <c s="676" r="AX167">
        <f>IF((M167="p"),(1+MAX(AX$44:AX166)),0)</f>
        <v>0</v>
      </c>
      <c s="51" r="AY167"/>
      <c s="761" r="AZ167"/>
      <c s="761" r="BA167"/>
      <c s="125" r="BB167"/>
      <c s="125" r="BC167"/>
      <c s="125" r="BD167"/>
      <c s="125" r="BE167"/>
      <c s="125" r="BF167"/>
      <c s="125" r="BG167"/>
      <c s="125" r="BH167"/>
      <c s="125" r="BI167"/>
    </row>
    <row r="168">
      <c s="125" r="A168"/>
      <c s="125" r="B168"/>
      <c s="125" r="C168"/>
      <c s="125" r="D168"/>
      <c s="125" r="E168"/>
      <c s="125" r="F168"/>
      <c s="125" r="G168"/>
      <c s="125" r="H168"/>
      <c s="125" r="I168"/>
      <c s="822" r="J168"/>
      <c s="429" r="K168"/>
      <c s="458" r="L168"/>
      <c s="104" r="M168"/>
      <c s="458" r="N168"/>
      <c t="str" s="589" r="O168">
        <f>IF((AH$28=2),IF(ISBLANK(N168),O167,N168),IF(ISNUMBER(N168),(MAX(O$44:O167)+N168),O167))</f>
        <v/>
      </c>
      <c s="228" r="P168"/>
      <c s="273" r="Q168">
        <f>IF(ISNUMBER(P168),((Q167+P168)-R167),Q167)</f>
        <v>100</v>
      </c>
      <c s="228" r="R168"/>
      <c s="610" r="S168"/>
      <c s="458" r="T168"/>
      <c s="458" r="U168"/>
      <c s="458" r="V168"/>
      <c s="458" r="W168"/>
      <c s="458" r="X168"/>
      <c s="458" r="Y168"/>
      <c t="str" s="620" r="Z168">
        <f>IF(ISNUMBER(S168),(Q168-S168),NA())</f>
        <v>#N/A:explicit</v>
      </c>
      <c t="str" s="620" r="AA168">
        <f>IF(ISNUMBER(T168),IF((AH$22=1),(Z168+T168),(Q168-T168)),NA())</f>
        <v>#N/A:explicit</v>
      </c>
      <c t="str" s="620" r="AB168">
        <f>IF(ISNUMBER(U168),(Q168-U168),NA())</f>
        <v>#N/A:explicit</v>
      </c>
      <c t="str" s="620" r="AC168">
        <f>IF(ISNUMBER(V168),(Q168-V168),NA())</f>
        <v>#N/A:explicit</v>
      </c>
      <c t="str" s="620" r="AD168">
        <f>IF(ISNUMBER(W168),(Q168-W168),NA())</f>
        <v>#N/A:explicit</v>
      </c>
      <c t="str" s="620" r="AE168">
        <f>IF(ISNUMBER(X168),(Q168-X168),NA())</f>
        <v>#N/A:explicit</v>
      </c>
      <c t="str" s="552" r="AF168">
        <f>IF(ISNUMBER(Z168),Z168,"---")</f>
        <v>---</v>
      </c>
      <c s="142" r="AG168"/>
      <c t="str" s="142" r="AH168">
        <f>IF(ISBLANK(L168),NA(),MIN(AF$44:AF$361))</f>
        <v>#N/A:explicit</v>
      </c>
      <c t="str" s="142" r="AI168">
        <f>IF(ISNA(AA168),Z168,AA168)</f>
        <v>#N/A:explicit</v>
      </c>
      <c s="142" r="AJ168">
        <f>MIN(AF$44:AF$361)</f>
        <v>0</v>
      </c>
      <c s="142" r="AK168"/>
      <c t="str" s="142" r="AL168">
        <f>IF(ISNUMBER(AB168),O168,"---")</f>
        <v>---</v>
      </c>
      <c t="str" s="80" r="AM168">
        <f>IF(ISNUMBER(AB168),AB168,"---")</f>
        <v>---</v>
      </c>
      <c s="80" r="AN168"/>
      <c t="str" s="142" r="AO168">
        <f>IF((M168="r"),Z168,NA())</f>
        <v>#N/A:explicit</v>
      </c>
      <c t="str" s="142" r="AP168">
        <f>IF((M168="p"),Z168,NA())</f>
        <v>#N/A:explicit</v>
      </c>
      <c t="str" s="142" r="AQ168">
        <f>IF((M168="n"),Z168,NA())</f>
        <v>#N/A:explicit</v>
      </c>
      <c t="str" s="142" r="AR168">
        <f>IF((M168="g"),Z168,NA())</f>
        <v>#N/A:explicit</v>
      </c>
      <c s="142" r="AS168"/>
      <c t="str" s="142" r="AT168">
        <f>IF((COUNTA($M168:$M$361)=0),"---",IF(AND(($M168="r"),(COUNTA($M169:$M$361)&gt;0)),(MAX(AT$44:AT167)+1),IF(OR(($M167="p"),($M167="n"),($M167="g")),"---",AT167)))</f>
        <v>---</v>
      </c>
      <c t="str" s="142" r="AU168">
        <f>IF((COUNTA($M168:$M$361)=0),"---",IF(AND(($M168="p"),(COUNTA($M169:$M$361)&gt;0)),(MAX(AU$44:AU167)+1),IF(OR(($M167="r"),($M167="n"),($M167="g")),"---",AU167)))</f>
        <v>---</v>
      </c>
      <c t="str" s="142" r="AV168">
        <f>IF((COUNTA($M168:$M$361)=0),"---",IF(AND(($M168="n"),(COUNTA($M169:$M$361)&gt;0)),(MAX(AV$44:AV167)+1),IF(OR(($M167="r"),($M167="p"),($M167="g")),"---",AV167)))</f>
        <v>---</v>
      </c>
      <c t="str" s="142" r="AW168">
        <f>IF((COUNTA($M168:$M$361)=0),"---",IF(AND(($M168="g"),(COUNTA($M169:$M$361)&gt;0)),(MAX(AW$44:AW167)+1),IF(OR(($M167="r"),($M167="p"),($M167="n")),"---",AW167)))</f>
        <v>---</v>
      </c>
      <c s="676" r="AX168">
        <f>IF((M168="p"),(1+MAX(AX$44:AX167)),0)</f>
        <v>0</v>
      </c>
      <c s="51" r="AY168"/>
      <c s="761" r="AZ168"/>
      <c s="761" r="BA168"/>
      <c s="125" r="BB168"/>
      <c s="125" r="BC168"/>
      <c s="125" r="BD168"/>
      <c s="125" r="BE168"/>
      <c s="125" r="BF168"/>
      <c s="125" r="BG168"/>
      <c s="125" r="BH168"/>
      <c s="125" r="BI168"/>
    </row>
    <row r="169">
      <c s="125" r="A169"/>
      <c s="125" r="B169"/>
      <c s="125" r="C169"/>
      <c s="125" r="D169"/>
      <c s="125" r="E169"/>
      <c s="125" r="F169"/>
      <c s="125" r="G169"/>
      <c s="125" r="H169"/>
      <c s="125" r="I169"/>
      <c s="822" r="J169"/>
      <c s="429" r="K169"/>
      <c s="458" r="L169"/>
      <c s="104" r="M169"/>
      <c s="458" r="N169"/>
      <c t="str" s="589" r="O169">
        <f>IF((AH$28=2),IF(ISBLANK(N169),O168,N169),IF(ISNUMBER(N169),(MAX(O$44:O168)+N169),O168))</f>
        <v/>
      </c>
      <c s="228" r="P169"/>
      <c s="273" r="Q169">
        <f>IF(ISNUMBER(P169),((Q168+P169)-R168),Q168)</f>
        <v>100</v>
      </c>
      <c s="228" r="R169"/>
      <c s="610" r="S169"/>
      <c s="458" r="T169"/>
      <c s="458" r="U169"/>
      <c s="458" r="V169"/>
      <c s="458" r="W169"/>
      <c s="458" r="X169"/>
      <c s="458" r="Y169"/>
      <c t="str" s="620" r="Z169">
        <f>IF(ISNUMBER(S169),(Q169-S169),NA())</f>
        <v>#N/A:explicit</v>
      </c>
      <c t="str" s="620" r="AA169">
        <f>IF(ISNUMBER(T169),IF((AH$22=1),(Z169+T169),(Q169-T169)),NA())</f>
        <v>#N/A:explicit</v>
      </c>
      <c t="str" s="620" r="AB169">
        <f>IF(ISNUMBER(U169),(Q169-U169),NA())</f>
        <v>#N/A:explicit</v>
      </c>
      <c t="str" s="620" r="AC169">
        <f>IF(ISNUMBER(V169),(Q169-V169),NA())</f>
        <v>#N/A:explicit</v>
      </c>
      <c t="str" s="620" r="AD169">
        <f>IF(ISNUMBER(W169),(Q169-W169),NA())</f>
        <v>#N/A:explicit</v>
      </c>
      <c t="str" s="620" r="AE169">
        <f>IF(ISNUMBER(X169),(Q169-X169),NA())</f>
        <v>#N/A:explicit</v>
      </c>
      <c t="str" s="552" r="AF169">
        <f>IF(ISNUMBER(Z169),Z169,"---")</f>
        <v>---</v>
      </c>
      <c s="142" r="AG169"/>
      <c t="str" s="142" r="AH169">
        <f>IF(ISBLANK(L169),NA(),MIN(AF$44:AF$361))</f>
        <v>#N/A:explicit</v>
      </c>
      <c t="str" s="142" r="AI169">
        <f>IF(ISNA(AA169),Z169,AA169)</f>
        <v>#N/A:explicit</v>
      </c>
      <c s="142" r="AJ169">
        <f>MIN(AF$44:AF$361)</f>
        <v>0</v>
      </c>
      <c s="142" r="AK169"/>
      <c t="str" s="142" r="AL169">
        <f>IF(ISNUMBER(AB169),O169,"---")</f>
        <v>---</v>
      </c>
      <c t="str" s="80" r="AM169">
        <f>IF(ISNUMBER(AB169),AB169,"---")</f>
        <v>---</v>
      </c>
      <c s="80" r="AN169"/>
      <c t="str" s="142" r="AO169">
        <f>IF((M169="r"),Z169,NA())</f>
        <v>#N/A:explicit</v>
      </c>
      <c t="str" s="142" r="AP169">
        <f>IF((M169="p"),Z169,NA())</f>
        <v>#N/A:explicit</v>
      </c>
      <c t="str" s="142" r="AQ169">
        <f>IF((M169="n"),Z169,NA())</f>
        <v>#N/A:explicit</v>
      </c>
      <c t="str" s="142" r="AR169">
        <f>IF((M169="g"),Z169,NA())</f>
        <v>#N/A:explicit</v>
      </c>
      <c s="142" r="AS169"/>
      <c t="str" s="142" r="AT169">
        <f>IF((COUNTA($M169:$M$361)=0),"---",IF(AND(($M169="r"),(COUNTA($M170:$M$361)&gt;0)),(MAX(AT$44:AT168)+1),IF(OR(($M168="p"),($M168="n"),($M168="g")),"---",AT168)))</f>
        <v>---</v>
      </c>
      <c t="str" s="142" r="AU169">
        <f>IF((COUNTA($M169:$M$361)=0),"---",IF(AND(($M169="p"),(COUNTA($M170:$M$361)&gt;0)),(MAX(AU$44:AU168)+1),IF(OR(($M168="r"),($M168="n"),($M168="g")),"---",AU168)))</f>
        <v>---</v>
      </c>
      <c t="str" s="142" r="AV169">
        <f>IF((COUNTA($M169:$M$361)=0),"---",IF(AND(($M169="n"),(COUNTA($M170:$M$361)&gt;0)),(MAX(AV$44:AV168)+1),IF(OR(($M168="r"),($M168="p"),($M168="g")),"---",AV168)))</f>
        <v>---</v>
      </c>
      <c t="str" s="142" r="AW169">
        <f>IF((COUNTA($M169:$M$361)=0),"---",IF(AND(($M169="g"),(COUNTA($M170:$M$361)&gt;0)),(MAX(AW$44:AW168)+1),IF(OR(($M168="r"),($M168="p"),($M168="n")),"---",AW168)))</f>
        <v>---</v>
      </c>
      <c s="676" r="AX169">
        <f>IF((M169="p"),(1+MAX(AX$44:AX168)),0)</f>
        <v>0</v>
      </c>
      <c s="51" r="AY169"/>
      <c s="761" r="AZ169"/>
      <c s="761" r="BA169"/>
      <c s="125" r="BB169"/>
      <c s="125" r="BC169"/>
      <c s="125" r="BD169"/>
      <c s="125" r="BE169"/>
      <c s="125" r="BF169"/>
      <c s="125" r="BG169"/>
      <c s="125" r="BH169"/>
      <c s="125" r="BI169"/>
    </row>
    <row r="170">
      <c s="125" r="A170"/>
      <c s="125" r="B170"/>
      <c s="125" r="C170"/>
      <c s="125" r="D170"/>
      <c s="125" r="E170"/>
      <c s="125" r="F170"/>
      <c s="125" r="G170"/>
      <c s="125" r="H170"/>
      <c s="125" r="I170"/>
      <c s="822" r="J170"/>
      <c s="429" r="K170"/>
      <c s="458" r="L170"/>
      <c s="104" r="M170"/>
      <c s="458" r="N170"/>
      <c t="str" s="589" r="O170">
        <f>IF((AH$28=2),IF(ISBLANK(N170),O169,N170),IF(ISNUMBER(N170),(MAX(O$44:O169)+N170),O169))</f>
        <v/>
      </c>
      <c s="228" r="P170"/>
      <c s="273" r="Q170">
        <f>IF(ISNUMBER(P170),((Q169+P170)-R169),Q169)</f>
        <v>100</v>
      </c>
      <c s="228" r="R170"/>
      <c s="610" r="S170"/>
      <c s="458" r="T170"/>
      <c s="458" r="U170"/>
      <c s="458" r="V170"/>
      <c s="458" r="W170"/>
      <c s="458" r="X170"/>
      <c s="458" r="Y170"/>
      <c t="str" s="620" r="Z170">
        <f>IF(ISNUMBER(S170),(Q170-S170),NA())</f>
        <v>#N/A:explicit</v>
      </c>
      <c t="str" s="620" r="AA170">
        <f>IF(ISNUMBER(T170),IF((AH$22=1),(Z170+T170),(Q170-T170)),NA())</f>
        <v>#N/A:explicit</v>
      </c>
      <c t="str" s="620" r="AB170">
        <f>IF(ISNUMBER(U170),(Q170-U170),NA())</f>
        <v>#N/A:explicit</v>
      </c>
      <c t="str" s="620" r="AC170">
        <f>IF(ISNUMBER(V170),(Q170-V170),NA())</f>
        <v>#N/A:explicit</v>
      </c>
      <c t="str" s="620" r="AD170">
        <f>IF(ISNUMBER(W170),(Q170-W170),NA())</f>
        <v>#N/A:explicit</v>
      </c>
      <c t="str" s="620" r="AE170">
        <f>IF(ISNUMBER(X170),(Q170-X170),NA())</f>
        <v>#N/A:explicit</v>
      </c>
      <c t="str" s="552" r="AF170">
        <f>IF(ISNUMBER(Z170),Z170,"---")</f>
        <v>---</v>
      </c>
      <c s="142" r="AG170"/>
      <c t="str" s="142" r="AH170">
        <f>IF(ISBLANK(L170),NA(),MIN(AF$44:AF$361))</f>
        <v>#N/A:explicit</v>
      </c>
      <c t="str" s="142" r="AI170">
        <f>IF(ISNA(AA170),Z170,AA170)</f>
        <v>#N/A:explicit</v>
      </c>
      <c s="142" r="AJ170">
        <f>MIN(AF$44:AF$361)</f>
        <v>0</v>
      </c>
      <c s="142" r="AK170"/>
      <c t="str" s="142" r="AL170">
        <f>IF(ISNUMBER(AB170),O170,"---")</f>
        <v>---</v>
      </c>
      <c t="str" s="80" r="AM170">
        <f>IF(ISNUMBER(AB170),AB170,"---")</f>
        <v>---</v>
      </c>
      <c s="80" r="AN170"/>
      <c t="str" s="142" r="AO170">
        <f>IF((M170="r"),Z170,NA())</f>
        <v>#N/A:explicit</v>
      </c>
      <c t="str" s="142" r="AP170">
        <f>IF((M170="p"),Z170,NA())</f>
        <v>#N/A:explicit</v>
      </c>
      <c t="str" s="142" r="AQ170">
        <f>IF((M170="n"),Z170,NA())</f>
        <v>#N/A:explicit</v>
      </c>
      <c t="str" s="142" r="AR170">
        <f>IF((M170="g"),Z170,NA())</f>
        <v>#N/A:explicit</v>
      </c>
      <c s="142" r="AS170"/>
      <c t="str" s="142" r="AT170">
        <f>IF((COUNTA($M170:$M$361)=0),"---",IF(AND(($M170="r"),(COUNTA($M171:$M$361)&gt;0)),(MAX(AT$44:AT169)+1),IF(OR(($M169="p"),($M169="n"),($M169="g")),"---",AT169)))</f>
        <v>---</v>
      </c>
      <c t="str" s="142" r="AU170">
        <f>IF((COUNTA($M170:$M$361)=0),"---",IF(AND(($M170="p"),(COUNTA($M171:$M$361)&gt;0)),(MAX(AU$44:AU169)+1),IF(OR(($M169="r"),($M169="n"),($M169="g")),"---",AU169)))</f>
        <v>---</v>
      </c>
      <c t="str" s="142" r="AV170">
        <f>IF((COUNTA($M170:$M$361)=0),"---",IF(AND(($M170="n"),(COUNTA($M171:$M$361)&gt;0)),(MAX(AV$44:AV169)+1),IF(OR(($M169="r"),($M169="p"),($M169="g")),"---",AV169)))</f>
        <v>---</v>
      </c>
      <c t="str" s="142" r="AW170">
        <f>IF((COUNTA($M170:$M$361)=0),"---",IF(AND(($M170="g"),(COUNTA($M171:$M$361)&gt;0)),(MAX(AW$44:AW169)+1),IF(OR(($M169="r"),($M169="p"),($M169="n")),"---",AW169)))</f>
        <v>---</v>
      </c>
      <c s="676" r="AX170">
        <f>IF((M170="p"),(1+MAX(AX$44:AX169)),0)</f>
        <v>0</v>
      </c>
      <c s="51" r="AY170"/>
      <c s="761" r="AZ170"/>
      <c s="761" r="BA170"/>
      <c s="125" r="BB170"/>
      <c s="125" r="BC170"/>
      <c s="125" r="BD170"/>
      <c s="125" r="BE170"/>
      <c s="125" r="BF170"/>
      <c s="125" r="BG170"/>
      <c s="125" r="BH170"/>
      <c s="125" r="BI170"/>
    </row>
    <row r="171">
      <c s="125" r="A171"/>
      <c s="125" r="B171"/>
      <c s="125" r="C171"/>
      <c s="125" r="D171"/>
      <c s="125" r="E171"/>
      <c s="125" r="F171"/>
      <c s="125" r="G171"/>
      <c s="125" r="H171"/>
      <c s="125" r="I171"/>
      <c s="822" r="J171"/>
      <c s="848" r="K171"/>
      <c s="550" r="L171"/>
      <c s="104" r="M171"/>
      <c s="550" r="N171"/>
      <c t="str" s="589" r="O171">
        <f>IF((AH$28=2),IF(ISBLANK(N171),O170,N171),IF(ISNUMBER(N171),(MAX(O$44:O170)+N171),O170))</f>
        <v/>
      </c>
      <c s="694" r="P171"/>
      <c s="273" r="Q171">
        <f>IF(ISNUMBER(P171),((Q170+P171)-R170),Q170)</f>
        <v>100</v>
      </c>
      <c s="694" r="R171"/>
      <c s="821" r="S171"/>
      <c s="550" r="T171"/>
      <c s="550" r="U171"/>
      <c s="550" r="V171"/>
      <c s="550" r="W171"/>
      <c s="550" r="X171"/>
      <c s="550" r="Y171"/>
      <c t="str" s="470" r="Z171">
        <f>IF(ISNUMBER(S171),(Q171-S171),NA())</f>
        <v>#N/A:explicit</v>
      </c>
      <c t="str" s="470" r="AA171">
        <f>IF(ISNUMBER(T171),IF((AH$22=1),(Z171+T171),(Q171-T171)),NA())</f>
        <v>#N/A:explicit</v>
      </c>
      <c t="str" s="470" r="AB171">
        <f>IF(ISNUMBER(U171),(Q171-U171),NA())</f>
        <v>#N/A:explicit</v>
      </c>
      <c t="str" s="470" r="AC171">
        <f>IF(ISNUMBER(V171),(Q171-V171),NA())</f>
        <v>#N/A:explicit</v>
      </c>
      <c t="str" s="470" r="AD171">
        <f>IF(ISNUMBER(W171),(Q171-W171),NA())</f>
        <v>#N/A:explicit</v>
      </c>
      <c t="str" s="470" r="AE171">
        <f>IF(ISNUMBER(X171),(Q171-X171),NA())</f>
        <v>#N/A:explicit</v>
      </c>
      <c t="str" s="552" r="AF171">
        <f>IF(ISNUMBER(Z171),Z171,"---")</f>
        <v>---</v>
      </c>
      <c s="142" r="AG171"/>
      <c t="str" s="142" r="AH171">
        <f>IF(ISBLANK(L171),NA(),MIN(AF$44:AF$361))</f>
        <v>#N/A:explicit</v>
      </c>
      <c t="str" s="142" r="AI171">
        <f>IF(ISNA(AA171),Z171,AA171)</f>
        <v>#N/A:explicit</v>
      </c>
      <c s="142" r="AJ171">
        <f>MIN(AF$44:AF$361)</f>
        <v>0</v>
      </c>
      <c s="142" r="AK171"/>
      <c t="str" s="142" r="AL171">
        <f>IF(ISNUMBER(AB171),O171,"---")</f>
        <v>---</v>
      </c>
      <c t="str" s="80" r="AM171">
        <f>IF(ISNUMBER(AB171),AB171,"---")</f>
        <v>---</v>
      </c>
      <c s="80" r="AN171"/>
      <c t="str" s="142" r="AO171">
        <f>IF((M171="r"),Z171,NA())</f>
        <v>#N/A:explicit</v>
      </c>
      <c t="str" s="142" r="AP171">
        <f>IF((M171="p"),Z171,NA())</f>
        <v>#N/A:explicit</v>
      </c>
      <c t="str" s="142" r="AQ171">
        <f>IF((M171="n"),Z171,NA())</f>
        <v>#N/A:explicit</v>
      </c>
      <c t="str" s="142" r="AR171">
        <f>IF((M171="g"),Z171,NA())</f>
        <v>#N/A:explicit</v>
      </c>
      <c s="142" r="AS171"/>
      <c t="str" s="142" r="AT171">
        <f>IF((COUNTA($M171:$M$361)=0),"---",IF(AND(($M171="r"),(COUNTA($M172:$M$361)&gt;0)),(MAX(AT$44:AT170)+1),IF(OR(($M170="p"),($M170="n"),($M170="g")),"---",AT170)))</f>
        <v>---</v>
      </c>
      <c t="str" s="142" r="AU171">
        <f>IF((COUNTA($M171:$M$361)=0),"---",IF(AND(($M171="p"),(COUNTA($M172:$M$361)&gt;0)),(MAX(AU$44:AU170)+1),IF(OR(($M170="r"),($M170="n"),($M170="g")),"---",AU170)))</f>
        <v>---</v>
      </c>
      <c t="str" s="142" r="AV171">
        <f>IF((COUNTA($M171:$M$361)=0),"---",IF(AND(($M171="n"),(COUNTA($M172:$M$361)&gt;0)),(MAX(AV$44:AV170)+1),IF(OR(($M170="r"),($M170="p"),($M170="g")),"---",AV170)))</f>
        <v>---</v>
      </c>
      <c t="str" s="142" r="AW171">
        <f>IF((COUNTA($M171:$M$361)=0),"---",IF(AND(($M171="g"),(COUNTA($M172:$M$361)&gt;0)),(MAX(AW$44:AW170)+1),IF(OR(($M170="r"),($M170="p"),($M170="n")),"---",AW170)))</f>
        <v>---</v>
      </c>
      <c s="676" r="AX171">
        <f>IF((M171="p"),(1+MAX(AX$44:AX170)),0)</f>
        <v>0</v>
      </c>
      <c s="51" r="AY171"/>
      <c s="761" r="AZ171"/>
      <c s="761" r="BA171"/>
      <c s="125" r="BB171"/>
      <c s="125" r="BC171"/>
      <c s="125" r="BD171"/>
      <c s="125" r="BE171"/>
      <c s="125" r="BF171"/>
      <c s="125" r="BG171"/>
      <c s="125" r="BH171"/>
      <c s="125" r="BI171"/>
    </row>
    <row r="172">
      <c s="125" r="A172"/>
      <c s="125" r="B172"/>
      <c s="125" r="C172"/>
      <c s="125" r="D172"/>
      <c s="125" r="E172"/>
      <c s="125" r="F172"/>
      <c s="125" r="G172"/>
      <c s="125" r="H172"/>
      <c s="125" r="I172"/>
      <c s="822" r="J172"/>
      <c s="848" r="K172"/>
      <c s="550" r="L172"/>
      <c s="104" r="M172"/>
      <c s="550" r="N172"/>
      <c t="str" s="589" r="O172">
        <f>IF((AH$28=2),IF(ISBLANK(N172),O171,N172),IF(ISNUMBER(N172),(MAX(O$44:O171)+N172),O171))</f>
        <v/>
      </c>
      <c s="694" r="P172"/>
      <c s="273" r="Q172">
        <f>IF(ISNUMBER(P172),((Q171+P172)-R171),Q171)</f>
        <v>100</v>
      </c>
      <c s="694" r="R172"/>
      <c s="821" r="S172"/>
      <c s="550" r="T172"/>
      <c s="550" r="U172"/>
      <c s="550" r="V172"/>
      <c s="550" r="W172"/>
      <c s="550" r="X172"/>
      <c s="550" r="Y172"/>
      <c t="str" s="470" r="Z172">
        <f>IF(ISNUMBER(S172),(Q172-S172),NA())</f>
        <v>#N/A:explicit</v>
      </c>
      <c t="str" s="470" r="AA172">
        <f>IF(ISNUMBER(T172),IF((AH$22=1),(Z172+T172),(Q172-T172)),NA())</f>
        <v>#N/A:explicit</v>
      </c>
      <c t="str" s="470" r="AB172">
        <f>IF(ISNUMBER(U172),(Q172-U172),NA())</f>
        <v>#N/A:explicit</v>
      </c>
      <c t="str" s="470" r="AC172">
        <f>IF(ISNUMBER(V172),(Q172-V172),NA())</f>
        <v>#N/A:explicit</v>
      </c>
      <c t="str" s="470" r="AD172">
        <f>IF(ISNUMBER(W172),(Q172-W172),NA())</f>
        <v>#N/A:explicit</v>
      </c>
      <c t="str" s="470" r="AE172">
        <f>IF(ISNUMBER(X172),(Q172-X172),NA())</f>
        <v>#N/A:explicit</v>
      </c>
      <c t="str" s="552" r="AF172">
        <f>IF(ISNUMBER(Z172),Z172,"---")</f>
        <v>---</v>
      </c>
      <c s="142" r="AG172"/>
      <c t="str" s="142" r="AH172">
        <f>IF(ISBLANK(L172),NA(),MIN(AF$44:AF$361))</f>
        <v>#N/A:explicit</v>
      </c>
      <c t="str" s="142" r="AI172">
        <f>IF(ISNA(AA172),Z172,AA172)</f>
        <v>#N/A:explicit</v>
      </c>
      <c s="142" r="AJ172">
        <f>MIN(AF$44:AF$361)</f>
        <v>0</v>
      </c>
      <c s="142" r="AK172"/>
      <c t="str" s="142" r="AL172">
        <f>IF(ISNUMBER(AB172),O172,"---")</f>
        <v>---</v>
      </c>
      <c t="str" s="80" r="AM172">
        <f>IF(ISNUMBER(AB172),AB172,"---")</f>
        <v>---</v>
      </c>
      <c s="80" r="AN172"/>
      <c t="str" s="142" r="AO172">
        <f>IF((M172="r"),Z172,NA())</f>
        <v>#N/A:explicit</v>
      </c>
      <c t="str" s="142" r="AP172">
        <f>IF((M172="p"),Z172,NA())</f>
        <v>#N/A:explicit</v>
      </c>
      <c t="str" s="142" r="AQ172">
        <f>IF((M172="n"),Z172,NA())</f>
        <v>#N/A:explicit</v>
      </c>
      <c t="str" s="142" r="AR172">
        <f>IF((M172="g"),Z172,NA())</f>
        <v>#N/A:explicit</v>
      </c>
      <c s="142" r="AS172"/>
      <c t="str" s="142" r="AT172">
        <f>IF((COUNTA($M172:$M$361)=0),"---",IF(AND(($M172="r"),(COUNTA($M173:$M$361)&gt;0)),(MAX(AT$44:AT171)+1),IF(OR(($M171="p"),($M171="n"),($M171="g")),"---",AT171)))</f>
        <v>---</v>
      </c>
      <c t="str" s="142" r="AU172">
        <f>IF((COUNTA($M172:$M$361)=0),"---",IF(AND(($M172="p"),(COUNTA($M173:$M$361)&gt;0)),(MAX(AU$44:AU171)+1),IF(OR(($M171="r"),($M171="n"),($M171="g")),"---",AU171)))</f>
        <v>---</v>
      </c>
      <c t="str" s="142" r="AV172">
        <f>IF((COUNTA($M172:$M$361)=0),"---",IF(AND(($M172="n"),(COUNTA($M173:$M$361)&gt;0)),(MAX(AV$44:AV171)+1),IF(OR(($M171="r"),($M171="p"),($M171="g")),"---",AV171)))</f>
        <v>---</v>
      </c>
      <c t="str" s="142" r="AW172">
        <f>IF((COUNTA($M172:$M$361)=0),"---",IF(AND(($M172="g"),(COUNTA($M173:$M$361)&gt;0)),(MAX(AW$44:AW171)+1),IF(OR(($M171="r"),($M171="p"),($M171="n")),"---",AW171)))</f>
        <v>---</v>
      </c>
      <c s="676" r="AX172">
        <f>IF((M172="p"),(1+MAX(AX$44:AX171)),0)</f>
        <v>0</v>
      </c>
      <c s="51" r="AY172"/>
      <c s="761" r="AZ172"/>
      <c s="761" r="BA172"/>
      <c s="125" r="BB172"/>
      <c s="125" r="BC172"/>
      <c s="125" r="BD172"/>
      <c s="125" r="BE172"/>
      <c s="125" r="BF172"/>
      <c s="125" r="BG172"/>
      <c s="125" r="BH172"/>
      <c s="125" r="BI172"/>
    </row>
    <row r="173">
      <c s="125" r="A173"/>
      <c s="125" r="B173"/>
      <c s="125" r="C173"/>
      <c s="125" r="D173"/>
      <c s="125" r="E173"/>
      <c s="125" r="F173"/>
      <c s="125" r="G173"/>
      <c s="125" r="H173"/>
      <c s="125" r="I173"/>
      <c s="822" r="J173"/>
      <c s="848" r="K173"/>
      <c s="550" r="L173"/>
      <c s="104" r="M173"/>
      <c s="550" r="N173"/>
      <c t="str" s="589" r="O173">
        <f>IF((AH$28=2),IF(ISBLANK(N173),O172,N173),IF(ISNUMBER(N173),(MAX(O$44:O172)+N173),O172))</f>
        <v/>
      </c>
      <c s="694" r="P173"/>
      <c s="273" r="Q173">
        <f>IF(ISNUMBER(P173),((Q172+P173)-R172),Q172)</f>
        <v>100</v>
      </c>
      <c s="694" r="R173"/>
      <c s="821" r="S173"/>
      <c s="550" r="T173"/>
      <c s="550" r="U173"/>
      <c s="550" r="V173"/>
      <c s="550" r="W173"/>
      <c s="550" r="X173"/>
      <c s="550" r="Y173"/>
      <c t="str" s="470" r="Z173">
        <f>IF(ISNUMBER(S173),(Q173-S173),NA())</f>
        <v>#N/A:explicit</v>
      </c>
      <c t="str" s="470" r="AA173">
        <f>IF(ISNUMBER(T173),IF((AH$22=1),(Z173+T173),(Q173-T173)),NA())</f>
        <v>#N/A:explicit</v>
      </c>
      <c t="str" s="470" r="AB173">
        <f>IF(ISNUMBER(U173),(Q173-U173),NA())</f>
        <v>#N/A:explicit</v>
      </c>
      <c t="str" s="470" r="AC173">
        <f>IF(ISNUMBER(V173),(Q173-V173),NA())</f>
        <v>#N/A:explicit</v>
      </c>
      <c t="str" s="470" r="AD173">
        <f>IF(ISNUMBER(W173),(Q173-W173),NA())</f>
        <v>#N/A:explicit</v>
      </c>
      <c t="str" s="470" r="AE173">
        <f>IF(ISNUMBER(X173),(Q173-X173),NA())</f>
        <v>#N/A:explicit</v>
      </c>
      <c t="str" s="552" r="AF173">
        <f>IF(ISNUMBER(Z173),Z173,"---")</f>
        <v>---</v>
      </c>
      <c s="142" r="AG173"/>
      <c t="str" s="142" r="AH173">
        <f>IF(ISBLANK(L173),NA(),MIN(AF$44:AF$361))</f>
        <v>#N/A:explicit</v>
      </c>
      <c t="str" s="142" r="AI173">
        <f>IF(ISNA(AA173),Z173,AA173)</f>
        <v>#N/A:explicit</v>
      </c>
      <c s="142" r="AJ173">
        <f>MIN(AF$44:AF$361)</f>
        <v>0</v>
      </c>
      <c s="142" r="AK173"/>
      <c t="str" s="142" r="AL173">
        <f>IF(ISNUMBER(AB173),O173,"---")</f>
        <v>---</v>
      </c>
      <c t="str" s="80" r="AM173">
        <f>IF(ISNUMBER(AB173),AB173,"---")</f>
        <v>---</v>
      </c>
      <c s="80" r="AN173"/>
      <c t="str" s="142" r="AO173">
        <f>IF((M173="r"),Z173,NA())</f>
        <v>#N/A:explicit</v>
      </c>
      <c t="str" s="142" r="AP173">
        <f>IF((M173="p"),Z173,NA())</f>
        <v>#N/A:explicit</v>
      </c>
      <c t="str" s="142" r="AQ173">
        <f>IF((M173="n"),Z173,NA())</f>
        <v>#N/A:explicit</v>
      </c>
      <c t="str" s="142" r="AR173">
        <f>IF((M173="g"),Z173,NA())</f>
        <v>#N/A:explicit</v>
      </c>
      <c s="142" r="AS173"/>
      <c t="str" s="142" r="AT173">
        <f>IF((COUNTA($M173:$M$361)=0),"---",IF(AND(($M173="r"),(COUNTA($M174:$M$361)&gt;0)),(MAX(AT$44:AT172)+1),IF(OR(($M172="p"),($M172="n"),($M172="g")),"---",AT172)))</f>
        <v>---</v>
      </c>
      <c t="str" s="142" r="AU173">
        <f>IF((COUNTA($M173:$M$361)=0),"---",IF(AND(($M173="p"),(COUNTA($M174:$M$361)&gt;0)),(MAX(AU$44:AU172)+1),IF(OR(($M172="r"),($M172="n"),($M172="g")),"---",AU172)))</f>
        <v>---</v>
      </c>
      <c t="str" s="142" r="AV173">
        <f>IF((COUNTA($M173:$M$361)=0),"---",IF(AND(($M173="n"),(COUNTA($M174:$M$361)&gt;0)),(MAX(AV$44:AV172)+1),IF(OR(($M172="r"),($M172="p"),($M172="g")),"---",AV172)))</f>
        <v>---</v>
      </c>
      <c t="str" s="142" r="AW173">
        <f>IF((COUNTA($M173:$M$361)=0),"---",IF(AND(($M173="g"),(COUNTA($M174:$M$361)&gt;0)),(MAX(AW$44:AW172)+1),IF(OR(($M172="r"),($M172="p"),($M172="n")),"---",AW172)))</f>
        <v>---</v>
      </c>
      <c s="676" r="AX173">
        <f>IF((M173="p"),(1+MAX(AX$44:AX172)),0)</f>
        <v>0</v>
      </c>
      <c s="51" r="AY173"/>
      <c s="761" r="AZ173"/>
      <c s="761" r="BA173"/>
      <c s="125" r="BB173"/>
      <c s="125" r="BC173"/>
      <c s="125" r="BD173"/>
      <c s="125" r="BE173"/>
      <c s="125" r="BF173"/>
      <c s="125" r="BG173"/>
      <c s="125" r="BH173"/>
      <c s="125" r="BI173"/>
    </row>
    <row r="174">
      <c s="125" r="A174"/>
      <c s="125" r="B174"/>
      <c s="125" r="C174"/>
      <c s="125" r="D174"/>
      <c s="125" r="E174"/>
      <c s="125" r="F174"/>
      <c s="125" r="G174"/>
      <c s="125" r="H174"/>
      <c s="125" r="I174"/>
      <c s="822" r="J174"/>
      <c s="429" r="K174"/>
      <c s="458" r="L174"/>
      <c s="104" r="M174"/>
      <c s="458" r="N174"/>
      <c t="str" s="589" r="O174">
        <f>IF((AH$28=2),IF(ISBLANK(N174),O173,N174),IF(ISNUMBER(N174),(MAX(O$44:O173)+N174),O173))</f>
        <v/>
      </c>
      <c s="228" r="P174"/>
      <c s="273" r="Q174">
        <f>IF(ISNUMBER(P174),((Q173+P174)-R173),Q173)</f>
        <v>100</v>
      </c>
      <c s="228" r="R174"/>
      <c s="610" r="S174"/>
      <c s="458" r="T174"/>
      <c s="458" r="U174"/>
      <c s="458" r="V174"/>
      <c s="458" r="W174"/>
      <c s="458" r="X174"/>
      <c s="458" r="Y174"/>
      <c t="str" s="620" r="Z174">
        <f>IF(ISNUMBER(S174),(Q174-S174),NA())</f>
        <v>#N/A:explicit</v>
      </c>
      <c t="str" s="620" r="AA174">
        <f>IF(ISNUMBER(T174),IF((AH$22=1),(Z174+T174),(Q174-T174)),NA())</f>
        <v>#N/A:explicit</v>
      </c>
      <c t="str" s="620" r="AB174">
        <f>IF(ISNUMBER(U174),(Q174-U174),NA())</f>
        <v>#N/A:explicit</v>
      </c>
      <c t="str" s="620" r="AC174">
        <f>IF(ISNUMBER(V174),(Q174-V174),NA())</f>
        <v>#N/A:explicit</v>
      </c>
      <c t="str" s="620" r="AD174">
        <f>IF(ISNUMBER(W174),(Q174-W174),NA())</f>
        <v>#N/A:explicit</v>
      </c>
      <c t="str" s="620" r="AE174">
        <f>IF(ISNUMBER(X174),(Q174-X174),NA())</f>
        <v>#N/A:explicit</v>
      </c>
      <c t="str" s="552" r="AF174">
        <f>IF(ISNUMBER(Z174),Z174,"---")</f>
        <v>---</v>
      </c>
      <c s="142" r="AG174"/>
      <c t="str" s="142" r="AH174">
        <f>IF(ISBLANK(L174),NA(),MIN(AF$44:AF$361))</f>
        <v>#N/A:explicit</v>
      </c>
      <c t="str" s="142" r="AI174">
        <f>IF(ISNA(AA174),Z174,AA174)</f>
        <v>#N/A:explicit</v>
      </c>
      <c s="142" r="AJ174">
        <f>MIN(AF$44:AF$361)</f>
        <v>0</v>
      </c>
      <c s="142" r="AK174"/>
      <c t="str" s="142" r="AL174">
        <f>IF(ISNUMBER(AB174),O174,"---")</f>
        <v>---</v>
      </c>
      <c t="str" s="80" r="AM174">
        <f>IF(ISNUMBER(AB174),AB174,"---")</f>
        <v>---</v>
      </c>
      <c s="80" r="AN174"/>
      <c t="str" s="142" r="AO174">
        <f>IF((M174="r"),Z174,NA())</f>
        <v>#N/A:explicit</v>
      </c>
      <c t="str" s="142" r="AP174">
        <f>IF((M174="p"),Z174,NA())</f>
        <v>#N/A:explicit</v>
      </c>
      <c t="str" s="142" r="AQ174">
        <f>IF((M174="n"),Z174,NA())</f>
        <v>#N/A:explicit</v>
      </c>
      <c t="str" s="142" r="AR174">
        <f>IF((M174="g"),Z174,NA())</f>
        <v>#N/A:explicit</v>
      </c>
      <c s="142" r="AS174"/>
      <c t="str" s="142" r="AT174">
        <f>IF((COUNTA($M174:$M$361)=0),"---",IF(AND(($M174="r"),(COUNTA($M175:$M$361)&gt;0)),(MAX(AT$44:AT173)+1),IF(OR(($M173="p"),($M173="n"),($M173="g")),"---",AT173)))</f>
        <v>---</v>
      </c>
      <c t="str" s="142" r="AU174">
        <f>IF((COUNTA($M174:$M$361)=0),"---",IF(AND(($M174="p"),(COUNTA($M175:$M$361)&gt;0)),(MAX(AU$44:AU173)+1),IF(OR(($M173="r"),($M173="n"),($M173="g")),"---",AU173)))</f>
        <v>---</v>
      </c>
      <c t="str" s="142" r="AV174">
        <f>IF((COUNTA($M174:$M$361)=0),"---",IF(AND(($M174="n"),(COUNTA($M175:$M$361)&gt;0)),(MAX(AV$44:AV173)+1),IF(OR(($M173="r"),($M173="p"),($M173="g")),"---",AV173)))</f>
        <v>---</v>
      </c>
      <c t="str" s="142" r="AW174">
        <f>IF((COUNTA($M174:$M$361)=0),"---",IF(AND(($M174="g"),(COUNTA($M175:$M$361)&gt;0)),(MAX(AW$44:AW173)+1),IF(OR(($M173="r"),($M173="p"),($M173="n")),"---",AW173)))</f>
        <v>---</v>
      </c>
      <c s="676" r="AX174">
        <f>IF((M174="p"),(1+MAX(AX$44:AX173)),0)</f>
        <v>0</v>
      </c>
      <c s="51" r="AY174"/>
      <c s="761" r="AZ174"/>
      <c s="761" r="BA174"/>
      <c s="125" r="BB174"/>
      <c s="125" r="BC174"/>
      <c s="125" r="BD174"/>
      <c s="125" r="BE174"/>
      <c s="125" r="BF174"/>
      <c s="125" r="BG174"/>
      <c s="125" r="BH174"/>
      <c s="125" r="BI174"/>
    </row>
    <row r="175">
      <c s="125" r="A175"/>
      <c s="125" r="B175"/>
      <c s="125" r="C175"/>
      <c s="125" r="D175"/>
      <c s="125" r="E175"/>
      <c s="125" r="F175"/>
      <c s="125" r="G175"/>
      <c s="125" r="H175"/>
      <c s="125" r="I175"/>
      <c s="822" r="J175"/>
      <c s="429" r="K175"/>
      <c s="458" r="L175"/>
      <c s="104" r="M175"/>
      <c s="458" r="N175"/>
      <c t="str" s="589" r="O175">
        <f>IF((AH$28=2),IF(ISBLANK(N175),O174,N175),IF(ISNUMBER(N175),(MAX(O$44:O174)+N175),O174))</f>
        <v/>
      </c>
      <c s="228" r="P175"/>
      <c s="273" r="Q175">
        <f>IF(ISNUMBER(P175),((Q174+P175)-R174),Q174)</f>
        <v>100</v>
      </c>
      <c s="228" r="R175"/>
      <c s="610" r="S175"/>
      <c s="458" r="T175"/>
      <c s="458" r="U175"/>
      <c s="458" r="V175"/>
      <c s="458" r="W175"/>
      <c s="458" r="X175"/>
      <c s="458" r="Y175"/>
      <c t="str" s="620" r="Z175">
        <f>IF(ISNUMBER(S175),(Q175-S175),NA())</f>
        <v>#N/A:explicit</v>
      </c>
      <c t="str" s="620" r="AA175">
        <f>IF(ISNUMBER(T175),IF((AH$22=1),(Z175+T175),(Q175-T175)),NA())</f>
        <v>#N/A:explicit</v>
      </c>
      <c t="str" s="620" r="AB175">
        <f>IF(ISNUMBER(U175),(Q175-U175),NA())</f>
        <v>#N/A:explicit</v>
      </c>
      <c t="str" s="620" r="AC175">
        <f>IF(ISNUMBER(V175),(Q175-V175),NA())</f>
        <v>#N/A:explicit</v>
      </c>
      <c t="str" s="620" r="AD175">
        <f>IF(ISNUMBER(W175),(Q175-W175),NA())</f>
        <v>#N/A:explicit</v>
      </c>
      <c t="str" s="620" r="AE175">
        <f>IF(ISNUMBER(X175),(Q175-X175),NA())</f>
        <v>#N/A:explicit</v>
      </c>
      <c t="str" s="552" r="AF175">
        <f>IF(ISNUMBER(Z175),Z175,"---")</f>
        <v>---</v>
      </c>
      <c s="142" r="AG175"/>
      <c t="str" s="142" r="AH175">
        <f>IF(ISBLANK(L175),NA(),MIN(AF$44:AF$361))</f>
        <v>#N/A:explicit</v>
      </c>
      <c t="str" s="142" r="AI175">
        <f>IF(ISNA(AA175),Z175,AA175)</f>
        <v>#N/A:explicit</v>
      </c>
      <c s="142" r="AJ175">
        <f>MIN(AF$44:AF$361)</f>
        <v>0</v>
      </c>
      <c s="142" r="AK175"/>
      <c t="str" s="142" r="AL175">
        <f>IF(ISNUMBER(AB175),O175,"---")</f>
        <v>---</v>
      </c>
      <c t="str" s="80" r="AM175">
        <f>IF(ISNUMBER(AB175),AB175,"---")</f>
        <v>---</v>
      </c>
      <c s="80" r="AN175"/>
      <c t="str" s="142" r="AO175">
        <f>IF((M175="r"),Z175,NA())</f>
        <v>#N/A:explicit</v>
      </c>
      <c t="str" s="142" r="AP175">
        <f>IF((M175="p"),Z175,NA())</f>
        <v>#N/A:explicit</v>
      </c>
      <c t="str" s="142" r="AQ175">
        <f>IF((M175="n"),Z175,NA())</f>
        <v>#N/A:explicit</v>
      </c>
      <c t="str" s="142" r="AR175">
        <f>IF((M175="g"),Z175,NA())</f>
        <v>#N/A:explicit</v>
      </c>
      <c s="142" r="AS175"/>
      <c t="str" s="142" r="AT175">
        <f>IF((COUNTA($M175:$M$361)=0),"---",IF(AND(($M175="r"),(COUNTA($M176:$M$361)&gt;0)),(MAX(AT$44:AT174)+1),IF(OR(($M174="p"),($M174="n"),($M174="g")),"---",AT174)))</f>
        <v>---</v>
      </c>
      <c t="str" s="142" r="AU175">
        <f>IF((COUNTA($M175:$M$361)=0),"---",IF(AND(($M175="p"),(COUNTA($M176:$M$361)&gt;0)),(MAX(AU$44:AU174)+1),IF(OR(($M174="r"),($M174="n"),($M174="g")),"---",AU174)))</f>
        <v>---</v>
      </c>
      <c t="str" s="142" r="AV175">
        <f>IF((COUNTA($M175:$M$361)=0),"---",IF(AND(($M175="n"),(COUNTA($M176:$M$361)&gt;0)),(MAX(AV$44:AV174)+1),IF(OR(($M174="r"),($M174="p"),($M174="g")),"---",AV174)))</f>
        <v>---</v>
      </c>
      <c t="str" s="142" r="AW175">
        <f>IF((COUNTA($M175:$M$361)=0),"---",IF(AND(($M175="g"),(COUNTA($M176:$M$361)&gt;0)),(MAX(AW$44:AW174)+1),IF(OR(($M174="r"),($M174="p"),($M174="n")),"---",AW174)))</f>
        <v>---</v>
      </c>
      <c s="676" r="AX175">
        <f>IF((M175="p"),(1+MAX(AX$44:AX174)),0)</f>
        <v>0</v>
      </c>
      <c s="51" r="AY175"/>
      <c s="761" r="AZ175"/>
      <c s="761" r="BA175"/>
      <c s="125" r="BB175"/>
      <c s="125" r="BC175"/>
      <c s="125" r="BD175"/>
      <c s="125" r="BE175"/>
      <c s="125" r="BF175"/>
      <c s="125" r="BG175"/>
      <c s="125" r="BH175"/>
      <c s="125" r="BI175"/>
    </row>
    <row r="176">
      <c s="125" r="A176"/>
      <c s="125" r="B176"/>
      <c s="125" r="C176"/>
      <c s="125" r="D176"/>
      <c s="125" r="E176"/>
      <c s="125" r="F176"/>
      <c s="125" r="G176"/>
      <c s="125" r="H176"/>
      <c s="125" r="I176"/>
      <c s="822" r="J176"/>
      <c s="429" r="K176"/>
      <c s="458" r="L176"/>
      <c s="104" r="M176"/>
      <c s="458" r="N176"/>
      <c t="str" s="589" r="O176">
        <f>IF((AH$28=2),IF(ISBLANK(N176),O175,N176),IF(ISNUMBER(N176),(MAX(O$44:O175)+N176),O175))</f>
        <v/>
      </c>
      <c s="228" r="P176"/>
      <c s="273" r="Q176">
        <f>IF(ISNUMBER(P176),((Q175+P176)-R175),Q175)</f>
        <v>100</v>
      </c>
      <c s="228" r="R176"/>
      <c s="610" r="S176"/>
      <c s="458" r="T176"/>
      <c s="458" r="U176"/>
      <c s="458" r="V176"/>
      <c s="458" r="W176"/>
      <c s="458" r="X176"/>
      <c s="458" r="Y176"/>
      <c t="str" s="620" r="Z176">
        <f>IF(ISNUMBER(S176),(Q176-S176),NA())</f>
        <v>#N/A:explicit</v>
      </c>
      <c t="str" s="620" r="AA176">
        <f>IF(ISNUMBER(T176),IF((AH$22=1),(Z176+T176),(Q176-T176)),NA())</f>
        <v>#N/A:explicit</v>
      </c>
      <c t="str" s="620" r="AB176">
        <f>IF(ISNUMBER(U176),(Q176-U176),NA())</f>
        <v>#N/A:explicit</v>
      </c>
      <c t="str" s="620" r="AC176">
        <f>IF(ISNUMBER(V176),(Q176-V176),NA())</f>
        <v>#N/A:explicit</v>
      </c>
      <c t="str" s="620" r="AD176">
        <f>IF(ISNUMBER(W176),(Q176-W176),NA())</f>
        <v>#N/A:explicit</v>
      </c>
      <c t="str" s="620" r="AE176">
        <f>IF(ISNUMBER(X176),(Q176-X176),NA())</f>
        <v>#N/A:explicit</v>
      </c>
      <c t="str" s="552" r="AF176">
        <f>IF(ISNUMBER(Z176),Z176,"---")</f>
        <v>---</v>
      </c>
      <c s="142" r="AG176"/>
      <c t="str" s="142" r="AH176">
        <f>IF(ISBLANK(L176),NA(),MIN(AF$44:AF$361))</f>
        <v>#N/A:explicit</v>
      </c>
      <c t="str" s="142" r="AI176">
        <f>IF(ISNA(AA176),Z176,AA176)</f>
        <v>#N/A:explicit</v>
      </c>
      <c s="142" r="AJ176">
        <f>MIN(AF$44:AF$361)</f>
        <v>0</v>
      </c>
      <c s="142" r="AK176"/>
      <c t="str" s="142" r="AL176">
        <f>IF(ISNUMBER(AB176),O176,"---")</f>
        <v>---</v>
      </c>
      <c t="str" s="80" r="AM176">
        <f>IF(ISNUMBER(AB176),AB176,"---")</f>
        <v>---</v>
      </c>
      <c s="80" r="AN176"/>
      <c t="str" s="142" r="AO176">
        <f>IF((M176="r"),Z176,NA())</f>
        <v>#N/A:explicit</v>
      </c>
      <c t="str" s="142" r="AP176">
        <f>IF((M176="p"),Z176,NA())</f>
        <v>#N/A:explicit</v>
      </c>
      <c t="str" s="142" r="AQ176">
        <f>IF((M176="n"),Z176,NA())</f>
        <v>#N/A:explicit</v>
      </c>
      <c t="str" s="142" r="AR176">
        <f>IF((M176="g"),Z176,NA())</f>
        <v>#N/A:explicit</v>
      </c>
      <c s="142" r="AS176"/>
      <c t="str" s="142" r="AT176">
        <f>IF((COUNTA($M176:$M$361)=0),"---",IF(AND(($M176="r"),(COUNTA($M177:$M$361)&gt;0)),(MAX(AT$44:AT175)+1),IF(OR(($M175="p"),($M175="n"),($M175="g")),"---",AT175)))</f>
        <v>---</v>
      </c>
      <c t="str" s="142" r="AU176">
        <f>IF((COUNTA($M176:$M$361)=0),"---",IF(AND(($M176="p"),(COUNTA($M177:$M$361)&gt;0)),(MAX(AU$44:AU175)+1),IF(OR(($M175="r"),($M175="n"),($M175="g")),"---",AU175)))</f>
        <v>---</v>
      </c>
      <c t="str" s="142" r="AV176">
        <f>IF((COUNTA($M176:$M$361)=0),"---",IF(AND(($M176="n"),(COUNTA($M177:$M$361)&gt;0)),(MAX(AV$44:AV175)+1),IF(OR(($M175="r"),($M175="p"),($M175="g")),"---",AV175)))</f>
        <v>---</v>
      </c>
      <c t="str" s="142" r="AW176">
        <f>IF((COUNTA($M176:$M$361)=0),"---",IF(AND(($M176="g"),(COUNTA($M177:$M$361)&gt;0)),(MAX(AW$44:AW175)+1),IF(OR(($M175="r"),($M175="p"),($M175="n")),"---",AW175)))</f>
        <v>---</v>
      </c>
      <c s="676" r="AX176">
        <f>IF((M176="p"),(1+MAX(AX$44:AX175)),0)</f>
        <v>0</v>
      </c>
      <c s="51" r="AY176"/>
      <c s="761" r="AZ176"/>
      <c s="761" r="BA176"/>
      <c s="125" r="BB176"/>
      <c s="125" r="BC176"/>
      <c s="125" r="BD176"/>
      <c s="125" r="BE176"/>
      <c s="125" r="BF176"/>
      <c s="125" r="BG176"/>
      <c s="125" r="BH176"/>
      <c s="125" r="BI176"/>
    </row>
    <row r="177">
      <c s="125" r="A177"/>
      <c s="125" r="B177"/>
      <c s="125" r="C177"/>
      <c s="125" r="D177"/>
      <c s="125" r="E177"/>
      <c s="125" r="F177"/>
      <c s="125" r="G177"/>
      <c s="125" r="H177"/>
      <c s="125" r="I177"/>
      <c s="822" r="J177"/>
      <c s="848" r="K177"/>
      <c s="550" r="L177"/>
      <c s="104" r="M177"/>
      <c s="550" r="N177"/>
      <c t="str" s="589" r="O177">
        <f>IF((AH$28=2),IF(ISBLANK(N177),O176,N177),IF(ISNUMBER(N177),(MAX(O$44:O176)+N177),O176))</f>
        <v/>
      </c>
      <c s="694" r="P177"/>
      <c s="273" r="Q177">
        <f>IF(ISNUMBER(P177),((Q176+P177)-R176),Q176)</f>
        <v>100</v>
      </c>
      <c s="694" r="R177"/>
      <c s="821" r="S177"/>
      <c s="550" r="T177"/>
      <c s="550" r="U177"/>
      <c s="550" r="V177"/>
      <c s="550" r="W177"/>
      <c s="550" r="X177"/>
      <c s="550" r="Y177"/>
      <c t="str" s="470" r="Z177">
        <f>IF(ISNUMBER(S177),(Q177-S177),NA())</f>
        <v>#N/A:explicit</v>
      </c>
      <c t="str" s="470" r="AA177">
        <f>IF(ISNUMBER(T177),IF((AH$22=1),(Z177+T177),(Q177-T177)),NA())</f>
        <v>#N/A:explicit</v>
      </c>
      <c t="str" s="470" r="AB177">
        <f>IF(ISNUMBER(U177),(Q177-U177),NA())</f>
        <v>#N/A:explicit</v>
      </c>
      <c t="str" s="470" r="AC177">
        <f>IF(ISNUMBER(V177),(Q177-V177),NA())</f>
        <v>#N/A:explicit</v>
      </c>
      <c t="str" s="470" r="AD177">
        <f>IF(ISNUMBER(W177),(Q177-W177),NA())</f>
        <v>#N/A:explicit</v>
      </c>
      <c t="str" s="470" r="AE177">
        <f>IF(ISNUMBER(X177),(Q177-X177),NA())</f>
        <v>#N/A:explicit</v>
      </c>
      <c t="str" s="552" r="AF177">
        <f>IF(ISNUMBER(Z177),Z177,"---")</f>
        <v>---</v>
      </c>
      <c s="142" r="AG177"/>
      <c t="str" s="142" r="AH177">
        <f>IF(ISBLANK(L177),NA(),MIN(AF$44:AF$361))</f>
        <v>#N/A:explicit</v>
      </c>
      <c t="str" s="142" r="AI177">
        <f>IF(ISNA(AA177),Z177,AA177)</f>
        <v>#N/A:explicit</v>
      </c>
      <c s="142" r="AJ177">
        <f>MIN(AF$44:AF$361)</f>
        <v>0</v>
      </c>
      <c s="142" r="AK177"/>
      <c t="str" s="142" r="AL177">
        <f>IF(ISNUMBER(AB177),O177,"---")</f>
        <v>---</v>
      </c>
      <c t="str" s="80" r="AM177">
        <f>IF(ISNUMBER(AB177),AB177,"---")</f>
        <v>---</v>
      </c>
      <c s="80" r="AN177"/>
      <c t="str" s="142" r="AO177">
        <f>IF((M177="r"),Z177,NA())</f>
        <v>#N/A:explicit</v>
      </c>
      <c t="str" s="142" r="AP177">
        <f>IF((M177="p"),Z177,NA())</f>
        <v>#N/A:explicit</v>
      </c>
      <c t="str" s="142" r="AQ177">
        <f>IF((M177="n"),Z177,NA())</f>
        <v>#N/A:explicit</v>
      </c>
      <c t="str" s="142" r="AR177">
        <f>IF((M177="g"),Z177,NA())</f>
        <v>#N/A:explicit</v>
      </c>
      <c s="142" r="AS177"/>
      <c t="str" s="142" r="AT177">
        <f>IF((COUNTA($M177:$M$361)=0),"---",IF(AND(($M177="r"),(COUNTA($M178:$M$361)&gt;0)),(MAX(AT$44:AT176)+1),IF(OR(($M176="p"),($M176="n"),($M176="g")),"---",AT176)))</f>
        <v>---</v>
      </c>
      <c t="str" s="142" r="AU177">
        <f>IF((COUNTA($M177:$M$361)=0),"---",IF(AND(($M177="p"),(COUNTA($M178:$M$361)&gt;0)),(MAX(AU$44:AU176)+1),IF(OR(($M176="r"),($M176="n"),($M176="g")),"---",AU176)))</f>
        <v>---</v>
      </c>
      <c t="str" s="142" r="AV177">
        <f>IF((COUNTA($M177:$M$361)=0),"---",IF(AND(($M177="n"),(COUNTA($M178:$M$361)&gt;0)),(MAX(AV$44:AV176)+1),IF(OR(($M176="r"),($M176="p"),($M176="g")),"---",AV176)))</f>
        <v>---</v>
      </c>
      <c t="str" s="142" r="AW177">
        <f>IF((COUNTA($M177:$M$361)=0),"---",IF(AND(($M177="g"),(COUNTA($M178:$M$361)&gt;0)),(MAX(AW$44:AW176)+1),IF(OR(($M176="r"),($M176="p"),($M176="n")),"---",AW176)))</f>
        <v>---</v>
      </c>
      <c s="676" r="AX177">
        <f>IF((M177="p"),(1+MAX(AX$44:AX176)),0)</f>
        <v>0</v>
      </c>
      <c s="51" r="AY177"/>
      <c s="761" r="AZ177"/>
      <c s="761" r="BA177"/>
      <c s="125" r="BB177"/>
      <c s="125" r="BC177"/>
      <c s="125" r="BD177"/>
      <c s="125" r="BE177"/>
      <c s="125" r="BF177"/>
      <c s="125" r="BG177"/>
      <c s="125" r="BH177"/>
      <c s="125" r="BI177"/>
    </row>
    <row r="178">
      <c s="125" r="A178"/>
      <c s="125" r="B178"/>
      <c s="125" r="C178"/>
      <c s="125" r="D178"/>
      <c s="125" r="E178"/>
      <c s="125" r="F178"/>
      <c s="125" r="G178"/>
      <c s="125" r="H178"/>
      <c s="125" r="I178"/>
      <c s="822" r="J178"/>
      <c s="848" r="K178"/>
      <c s="550" r="L178"/>
      <c s="104" r="M178"/>
      <c s="550" r="N178"/>
      <c t="str" s="589" r="O178">
        <f>IF((AH$28=2),IF(ISBLANK(N178),O177,N178),IF(ISNUMBER(N178),(MAX(O$44:O177)+N178),O177))</f>
        <v/>
      </c>
      <c s="694" r="P178"/>
      <c s="273" r="Q178">
        <f>IF(ISNUMBER(P178),((Q177+P178)-R177),Q177)</f>
        <v>100</v>
      </c>
      <c s="694" r="R178"/>
      <c s="821" r="S178"/>
      <c s="550" r="T178"/>
      <c s="550" r="U178"/>
      <c s="550" r="V178"/>
      <c s="550" r="W178"/>
      <c s="550" r="X178"/>
      <c s="550" r="Y178"/>
      <c t="str" s="470" r="Z178">
        <f>IF(ISNUMBER(S178),(Q178-S178),NA())</f>
        <v>#N/A:explicit</v>
      </c>
      <c t="str" s="470" r="AA178">
        <f>IF(ISNUMBER(T178),IF((AH$22=1),(Z178+T178),(Q178-T178)),NA())</f>
        <v>#N/A:explicit</v>
      </c>
      <c t="str" s="470" r="AB178">
        <f>IF(ISNUMBER(U178),(Q178-U178),NA())</f>
        <v>#N/A:explicit</v>
      </c>
      <c t="str" s="470" r="AC178">
        <f>IF(ISNUMBER(V178),(Q178-V178),NA())</f>
        <v>#N/A:explicit</v>
      </c>
      <c t="str" s="470" r="AD178">
        <f>IF(ISNUMBER(W178),(Q178-W178),NA())</f>
        <v>#N/A:explicit</v>
      </c>
      <c t="str" s="470" r="AE178">
        <f>IF(ISNUMBER(X178),(Q178-X178),NA())</f>
        <v>#N/A:explicit</v>
      </c>
      <c t="str" s="552" r="AF178">
        <f>IF(ISNUMBER(Z178),Z178,"---")</f>
        <v>---</v>
      </c>
      <c s="142" r="AG178"/>
      <c t="str" s="142" r="AH178">
        <f>IF(ISBLANK(L178),NA(),MIN(AF$44:AF$361))</f>
        <v>#N/A:explicit</v>
      </c>
      <c t="str" s="142" r="AI178">
        <f>IF(ISNA(AA178),Z178,AA178)</f>
        <v>#N/A:explicit</v>
      </c>
      <c s="142" r="AJ178">
        <f>MIN(AF$44:AF$361)</f>
        <v>0</v>
      </c>
      <c s="142" r="AK178"/>
      <c t="str" s="142" r="AL178">
        <f>IF(ISNUMBER(AB178),O178,"---")</f>
        <v>---</v>
      </c>
      <c t="str" s="80" r="AM178">
        <f>IF(ISNUMBER(AB178),AB178,"---")</f>
        <v>---</v>
      </c>
      <c s="80" r="AN178"/>
      <c t="str" s="142" r="AO178">
        <f>IF((M178="r"),Z178,NA())</f>
        <v>#N/A:explicit</v>
      </c>
      <c t="str" s="142" r="AP178">
        <f>IF((M178="p"),Z178,NA())</f>
        <v>#N/A:explicit</v>
      </c>
      <c t="str" s="142" r="AQ178">
        <f>IF((M178="n"),Z178,NA())</f>
        <v>#N/A:explicit</v>
      </c>
      <c t="str" s="142" r="AR178">
        <f>IF((M178="g"),Z178,NA())</f>
        <v>#N/A:explicit</v>
      </c>
      <c s="142" r="AS178"/>
      <c t="str" s="142" r="AT178">
        <f>IF((COUNTA($M178:$M$361)=0),"---",IF(AND(($M178="r"),(COUNTA($M179:$M$361)&gt;0)),(MAX(AT$44:AT177)+1),IF(OR(($M177="p"),($M177="n"),($M177="g")),"---",AT177)))</f>
        <v>---</v>
      </c>
      <c t="str" s="142" r="AU178">
        <f>IF((COUNTA($M178:$M$361)=0),"---",IF(AND(($M178="p"),(COUNTA($M179:$M$361)&gt;0)),(MAX(AU$44:AU177)+1),IF(OR(($M177="r"),($M177="n"),($M177="g")),"---",AU177)))</f>
        <v>---</v>
      </c>
      <c t="str" s="142" r="AV178">
        <f>IF((COUNTA($M178:$M$361)=0),"---",IF(AND(($M178="n"),(COUNTA($M179:$M$361)&gt;0)),(MAX(AV$44:AV177)+1),IF(OR(($M177="r"),($M177="p"),($M177="g")),"---",AV177)))</f>
        <v>---</v>
      </c>
      <c t="str" s="142" r="AW178">
        <f>IF((COUNTA($M178:$M$361)=0),"---",IF(AND(($M178="g"),(COUNTA($M179:$M$361)&gt;0)),(MAX(AW$44:AW177)+1),IF(OR(($M177="r"),($M177="p"),($M177="n")),"---",AW177)))</f>
        <v>---</v>
      </c>
      <c s="676" r="AX178">
        <f>IF((M178="p"),(1+MAX(AX$44:AX177)),0)</f>
        <v>0</v>
      </c>
      <c s="51" r="AY178"/>
      <c s="761" r="AZ178"/>
      <c s="761" r="BA178"/>
      <c s="125" r="BB178"/>
      <c s="125" r="BC178"/>
      <c s="125" r="BD178"/>
      <c s="125" r="BE178"/>
      <c s="125" r="BF178"/>
      <c s="125" r="BG178"/>
      <c s="125" r="BH178"/>
      <c s="125" r="BI178"/>
    </row>
    <row r="179">
      <c s="125" r="A179"/>
      <c s="125" r="B179"/>
      <c s="125" r="C179"/>
      <c s="125" r="D179"/>
      <c s="125" r="E179"/>
      <c s="125" r="F179"/>
      <c s="125" r="G179"/>
      <c s="125" r="H179"/>
      <c s="125" r="I179"/>
      <c s="822" r="J179"/>
      <c s="848" r="K179"/>
      <c s="550" r="L179"/>
      <c s="104" r="M179"/>
      <c s="550" r="N179"/>
      <c t="str" s="589" r="O179">
        <f>IF((AH$28=2),IF(ISBLANK(N179),O178,N179),IF(ISNUMBER(N179),(MAX(O$44:O178)+N179),O178))</f>
        <v/>
      </c>
      <c s="694" r="P179"/>
      <c s="273" r="Q179">
        <f>IF(ISNUMBER(P179),((Q178+P179)-R178),Q178)</f>
        <v>100</v>
      </c>
      <c s="694" r="R179"/>
      <c s="821" r="S179"/>
      <c s="550" r="T179"/>
      <c s="550" r="U179"/>
      <c s="550" r="V179"/>
      <c s="550" r="W179"/>
      <c s="550" r="X179"/>
      <c s="550" r="Y179"/>
      <c t="str" s="470" r="Z179">
        <f>IF(ISNUMBER(S179),(Q179-S179),NA())</f>
        <v>#N/A:explicit</v>
      </c>
      <c t="str" s="470" r="AA179">
        <f>IF(ISNUMBER(T179),IF((AH$22=1),(Z179+T179),(Q179-T179)),NA())</f>
        <v>#N/A:explicit</v>
      </c>
      <c t="str" s="470" r="AB179">
        <f>IF(ISNUMBER(U179),(Q179-U179),NA())</f>
        <v>#N/A:explicit</v>
      </c>
      <c t="str" s="470" r="AC179">
        <f>IF(ISNUMBER(V179),(Q179-V179),NA())</f>
        <v>#N/A:explicit</v>
      </c>
      <c t="str" s="470" r="AD179">
        <f>IF(ISNUMBER(W179),(Q179-W179),NA())</f>
        <v>#N/A:explicit</v>
      </c>
      <c t="str" s="470" r="AE179">
        <f>IF(ISNUMBER(X179),(Q179-X179),NA())</f>
        <v>#N/A:explicit</v>
      </c>
      <c t="str" s="552" r="AF179">
        <f>IF(ISNUMBER(Z179),Z179,"---")</f>
        <v>---</v>
      </c>
      <c s="142" r="AG179"/>
      <c t="str" s="142" r="AH179">
        <f>IF(ISBLANK(L179),NA(),MIN(AF$44:AF$361))</f>
        <v>#N/A:explicit</v>
      </c>
      <c t="str" s="142" r="AI179">
        <f>IF(ISNA(AA179),Z179,AA179)</f>
        <v>#N/A:explicit</v>
      </c>
      <c s="142" r="AJ179">
        <f>MIN(AF$44:AF$361)</f>
        <v>0</v>
      </c>
      <c s="142" r="AK179"/>
      <c t="str" s="142" r="AL179">
        <f>IF(ISNUMBER(AB179),O179,"---")</f>
        <v>---</v>
      </c>
      <c t="str" s="80" r="AM179">
        <f>IF(ISNUMBER(AB179),AB179,"---")</f>
        <v>---</v>
      </c>
      <c s="80" r="AN179"/>
      <c t="str" s="142" r="AO179">
        <f>IF((M179="r"),Z179,NA())</f>
        <v>#N/A:explicit</v>
      </c>
      <c t="str" s="142" r="AP179">
        <f>IF((M179="p"),Z179,NA())</f>
        <v>#N/A:explicit</v>
      </c>
      <c t="str" s="142" r="AQ179">
        <f>IF((M179="n"),Z179,NA())</f>
        <v>#N/A:explicit</v>
      </c>
      <c t="str" s="142" r="AR179">
        <f>IF((M179="g"),Z179,NA())</f>
        <v>#N/A:explicit</v>
      </c>
      <c s="142" r="AS179"/>
      <c t="str" s="142" r="AT179">
        <f>IF((COUNTA($M179:$M$361)=0),"---",IF(AND(($M179="r"),(COUNTA($M180:$M$361)&gt;0)),(MAX(AT$44:AT178)+1),IF(OR(($M178="p"),($M178="n"),($M178="g")),"---",AT178)))</f>
        <v>---</v>
      </c>
      <c t="str" s="142" r="AU179">
        <f>IF((COUNTA($M179:$M$361)=0),"---",IF(AND(($M179="p"),(COUNTA($M180:$M$361)&gt;0)),(MAX(AU$44:AU178)+1),IF(OR(($M178="r"),($M178="n"),($M178="g")),"---",AU178)))</f>
        <v>---</v>
      </c>
      <c t="str" s="142" r="AV179">
        <f>IF((COUNTA($M179:$M$361)=0),"---",IF(AND(($M179="n"),(COUNTA($M180:$M$361)&gt;0)),(MAX(AV$44:AV178)+1),IF(OR(($M178="r"),($M178="p"),($M178="g")),"---",AV178)))</f>
        <v>---</v>
      </c>
      <c t="str" s="142" r="AW179">
        <f>IF((COUNTA($M179:$M$361)=0),"---",IF(AND(($M179="g"),(COUNTA($M180:$M$361)&gt;0)),(MAX(AW$44:AW178)+1),IF(OR(($M178="r"),($M178="p"),($M178="n")),"---",AW178)))</f>
        <v>---</v>
      </c>
      <c s="676" r="AX179">
        <f>IF((M179="p"),(1+MAX(AX$44:AX178)),0)</f>
        <v>0</v>
      </c>
      <c s="51" r="AY179"/>
      <c s="761" r="AZ179"/>
      <c s="761" r="BA179"/>
      <c s="125" r="BB179"/>
      <c s="125" r="BC179"/>
      <c s="125" r="BD179"/>
      <c s="125" r="BE179"/>
      <c s="125" r="BF179"/>
      <c s="125" r="BG179"/>
      <c s="125" r="BH179"/>
      <c s="125" r="BI179"/>
    </row>
    <row r="180">
      <c s="125" r="A180"/>
      <c s="125" r="B180"/>
      <c s="125" r="C180"/>
      <c s="125" r="D180"/>
      <c s="125" r="E180"/>
      <c s="125" r="F180"/>
      <c s="125" r="G180"/>
      <c s="125" r="H180"/>
      <c s="125" r="I180"/>
      <c s="822" r="J180"/>
      <c s="429" r="K180"/>
      <c s="458" r="L180"/>
      <c s="104" r="M180"/>
      <c s="458" r="N180"/>
      <c t="str" s="589" r="O180">
        <f>IF((AH$28=2),IF(ISBLANK(N180),O179,N180),IF(ISNUMBER(N180),(MAX(O$44:O179)+N180),O179))</f>
        <v/>
      </c>
      <c s="228" r="P180"/>
      <c s="273" r="Q180">
        <f>IF(ISNUMBER(P180),((Q179+P180)-R179),Q179)</f>
        <v>100</v>
      </c>
      <c s="228" r="R180"/>
      <c s="610" r="S180"/>
      <c s="458" r="T180"/>
      <c s="458" r="U180"/>
      <c s="458" r="V180"/>
      <c s="458" r="W180"/>
      <c s="458" r="X180"/>
      <c s="458" r="Y180"/>
      <c t="str" s="620" r="Z180">
        <f>IF(ISNUMBER(S180),(Q180-S180),NA())</f>
        <v>#N/A:explicit</v>
      </c>
      <c t="str" s="620" r="AA180">
        <f>IF(ISNUMBER(T180),IF((AH$22=1),(Z180+T180),(Q180-T180)),NA())</f>
        <v>#N/A:explicit</v>
      </c>
      <c t="str" s="620" r="AB180">
        <f>IF(ISNUMBER(U180),(Q180-U180),NA())</f>
        <v>#N/A:explicit</v>
      </c>
      <c t="str" s="620" r="AC180">
        <f>IF(ISNUMBER(V180),(Q180-V180),NA())</f>
        <v>#N/A:explicit</v>
      </c>
      <c t="str" s="620" r="AD180">
        <f>IF(ISNUMBER(W180),(Q180-W180),NA())</f>
        <v>#N/A:explicit</v>
      </c>
      <c t="str" s="620" r="AE180">
        <f>IF(ISNUMBER(X180),(Q180-X180),NA())</f>
        <v>#N/A:explicit</v>
      </c>
      <c t="str" s="552" r="AF180">
        <f>IF(ISNUMBER(Z180),Z180,"---")</f>
        <v>---</v>
      </c>
      <c s="142" r="AG180"/>
      <c t="str" s="142" r="AH180">
        <f>IF(ISBLANK(L180),NA(),MIN(AF$44:AF$361))</f>
        <v>#N/A:explicit</v>
      </c>
      <c t="str" s="142" r="AI180">
        <f>IF(ISNA(AA180),Z180,AA180)</f>
        <v>#N/A:explicit</v>
      </c>
      <c s="142" r="AJ180">
        <f>MIN(AF$44:AF$361)</f>
        <v>0</v>
      </c>
      <c s="142" r="AK180"/>
      <c t="str" s="142" r="AL180">
        <f>IF(ISNUMBER(AB180),O180,"---")</f>
        <v>---</v>
      </c>
      <c t="str" s="80" r="AM180">
        <f>IF(ISNUMBER(AB180),AB180,"---")</f>
        <v>---</v>
      </c>
      <c s="80" r="AN180"/>
      <c t="str" s="142" r="AO180">
        <f>IF((M180="r"),Z180,NA())</f>
        <v>#N/A:explicit</v>
      </c>
      <c t="str" s="142" r="AP180">
        <f>IF((M180="p"),Z180,NA())</f>
        <v>#N/A:explicit</v>
      </c>
      <c t="str" s="142" r="AQ180">
        <f>IF((M180="n"),Z180,NA())</f>
        <v>#N/A:explicit</v>
      </c>
      <c t="str" s="142" r="AR180">
        <f>IF((M180="g"),Z180,NA())</f>
        <v>#N/A:explicit</v>
      </c>
      <c s="142" r="AS180"/>
      <c t="str" s="142" r="AT180">
        <f>IF((COUNTA($M180:$M$361)=0),"---",IF(AND(($M180="r"),(COUNTA($M181:$M$361)&gt;0)),(MAX(AT$44:AT179)+1),IF(OR(($M179="p"),($M179="n"),($M179="g")),"---",AT179)))</f>
        <v>---</v>
      </c>
      <c t="str" s="142" r="AU180">
        <f>IF((COUNTA($M180:$M$361)=0),"---",IF(AND(($M180="p"),(COUNTA($M181:$M$361)&gt;0)),(MAX(AU$44:AU179)+1),IF(OR(($M179="r"),($M179="n"),($M179="g")),"---",AU179)))</f>
        <v>---</v>
      </c>
      <c t="str" s="142" r="AV180">
        <f>IF((COUNTA($M180:$M$361)=0),"---",IF(AND(($M180="n"),(COUNTA($M181:$M$361)&gt;0)),(MAX(AV$44:AV179)+1),IF(OR(($M179="r"),($M179="p"),($M179="g")),"---",AV179)))</f>
        <v>---</v>
      </c>
      <c t="str" s="142" r="AW180">
        <f>IF((COUNTA($M180:$M$361)=0),"---",IF(AND(($M180="g"),(COUNTA($M181:$M$361)&gt;0)),(MAX(AW$44:AW179)+1),IF(OR(($M179="r"),($M179="p"),($M179="n")),"---",AW179)))</f>
        <v>---</v>
      </c>
      <c s="676" r="AX180">
        <f>IF((M180="p"),(1+MAX(AX$44:AX179)),0)</f>
        <v>0</v>
      </c>
      <c s="51" r="AY180"/>
      <c s="761" r="AZ180"/>
      <c s="761" r="BA180"/>
      <c s="125" r="BB180"/>
      <c s="125" r="BC180"/>
      <c s="125" r="BD180"/>
      <c s="125" r="BE180"/>
      <c s="125" r="BF180"/>
      <c s="125" r="BG180"/>
      <c s="125" r="BH180"/>
      <c s="125" r="BI180"/>
    </row>
    <row r="181">
      <c s="125" r="A181"/>
      <c s="125" r="B181"/>
      <c s="125" r="C181"/>
      <c s="125" r="D181"/>
      <c s="125" r="E181"/>
      <c s="125" r="F181"/>
      <c s="125" r="G181"/>
      <c s="125" r="H181"/>
      <c s="125" r="I181"/>
      <c s="822" r="J181"/>
      <c s="429" r="K181"/>
      <c s="458" r="L181"/>
      <c s="104" r="M181"/>
      <c s="458" r="N181"/>
      <c t="str" s="589" r="O181">
        <f>IF((AH$28=2),IF(ISBLANK(N181),O180,N181),IF(ISNUMBER(N181),(MAX(O$44:O180)+N181),O180))</f>
        <v/>
      </c>
      <c s="228" r="P181"/>
      <c s="273" r="Q181">
        <f>IF(ISNUMBER(P181),((Q180+P181)-R180),Q180)</f>
        <v>100</v>
      </c>
      <c s="228" r="R181"/>
      <c s="610" r="S181"/>
      <c s="458" r="T181"/>
      <c s="458" r="U181"/>
      <c s="458" r="V181"/>
      <c s="458" r="W181"/>
      <c s="458" r="X181"/>
      <c s="458" r="Y181"/>
      <c t="str" s="620" r="Z181">
        <f>IF(ISNUMBER(S181),(Q181-S181),NA())</f>
        <v>#N/A:explicit</v>
      </c>
      <c t="str" s="620" r="AA181">
        <f>IF(ISNUMBER(T181),IF((AH$22=1),(Z181+T181),(Q181-T181)),NA())</f>
        <v>#N/A:explicit</v>
      </c>
      <c t="str" s="620" r="AB181">
        <f>IF(ISNUMBER(U181),(Q181-U181),NA())</f>
        <v>#N/A:explicit</v>
      </c>
      <c t="str" s="620" r="AC181">
        <f>IF(ISNUMBER(V181),(Q181-V181),NA())</f>
        <v>#N/A:explicit</v>
      </c>
      <c t="str" s="620" r="AD181">
        <f>IF(ISNUMBER(W181),(Q181-W181),NA())</f>
        <v>#N/A:explicit</v>
      </c>
      <c t="str" s="620" r="AE181">
        <f>IF(ISNUMBER(X181),(Q181-X181),NA())</f>
        <v>#N/A:explicit</v>
      </c>
      <c t="str" s="552" r="AF181">
        <f>IF(ISNUMBER(Z181),Z181,"---")</f>
        <v>---</v>
      </c>
      <c s="142" r="AG181"/>
      <c t="str" s="142" r="AH181">
        <f>IF(ISBLANK(L181),NA(),MIN(AF$44:AF$361))</f>
        <v>#N/A:explicit</v>
      </c>
      <c t="str" s="142" r="AI181">
        <f>IF(ISNA(AA181),Z181,AA181)</f>
        <v>#N/A:explicit</v>
      </c>
      <c s="142" r="AJ181">
        <f>MIN(AF$44:AF$361)</f>
        <v>0</v>
      </c>
      <c s="142" r="AK181"/>
      <c t="str" s="142" r="AL181">
        <f>IF(ISNUMBER(AB181),O181,"---")</f>
        <v>---</v>
      </c>
      <c t="str" s="80" r="AM181">
        <f>IF(ISNUMBER(AB181),AB181,"---")</f>
        <v>---</v>
      </c>
      <c s="80" r="AN181"/>
      <c t="str" s="142" r="AO181">
        <f>IF((M181="r"),Z181,NA())</f>
        <v>#N/A:explicit</v>
      </c>
      <c t="str" s="142" r="AP181">
        <f>IF((M181="p"),Z181,NA())</f>
        <v>#N/A:explicit</v>
      </c>
      <c t="str" s="142" r="AQ181">
        <f>IF((M181="n"),Z181,NA())</f>
        <v>#N/A:explicit</v>
      </c>
      <c t="str" s="142" r="AR181">
        <f>IF((M181="g"),Z181,NA())</f>
        <v>#N/A:explicit</v>
      </c>
      <c s="142" r="AS181"/>
      <c t="str" s="142" r="AT181">
        <f>IF((COUNTA($M181:$M$361)=0),"---",IF(AND(($M181="r"),(COUNTA($M182:$M$361)&gt;0)),(MAX(AT$44:AT180)+1),IF(OR(($M180="p"),($M180="n"),($M180="g")),"---",AT180)))</f>
        <v>---</v>
      </c>
      <c t="str" s="142" r="AU181">
        <f>IF((COUNTA($M181:$M$361)=0),"---",IF(AND(($M181="p"),(COUNTA($M182:$M$361)&gt;0)),(MAX(AU$44:AU180)+1),IF(OR(($M180="r"),($M180="n"),($M180="g")),"---",AU180)))</f>
        <v>---</v>
      </c>
      <c t="str" s="142" r="AV181">
        <f>IF((COUNTA($M181:$M$361)=0),"---",IF(AND(($M181="n"),(COUNTA($M182:$M$361)&gt;0)),(MAX(AV$44:AV180)+1),IF(OR(($M180="r"),($M180="p"),($M180="g")),"---",AV180)))</f>
        <v>---</v>
      </c>
      <c t="str" s="142" r="AW181">
        <f>IF((COUNTA($M181:$M$361)=0),"---",IF(AND(($M181="g"),(COUNTA($M182:$M$361)&gt;0)),(MAX(AW$44:AW180)+1),IF(OR(($M180="r"),($M180="p"),($M180="n")),"---",AW180)))</f>
        <v>---</v>
      </c>
      <c s="676" r="AX181">
        <f>IF((M181="p"),(1+MAX(AX$44:AX180)),0)</f>
        <v>0</v>
      </c>
      <c s="51" r="AY181"/>
      <c s="761" r="AZ181"/>
      <c s="761" r="BA181"/>
      <c s="125" r="BB181"/>
      <c s="125" r="BC181"/>
      <c s="125" r="BD181"/>
      <c s="125" r="BE181"/>
      <c s="125" r="BF181"/>
      <c s="125" r="BG181"/>
      <c s="125" r="BH181"/>
      <c s="125" r="BI181"/>
    </row>
    <row r="182">
      <c s="125" r="A182"/>
      <c s="125" r="B182"/>
      <c s="125" r="C182"/>
      <c s="125" r="D182"/>
      <c s="125" r="E182"/>
      <c s="125" r="F182"/>
      <c s="125" r="G182"/>
      <c s="125" r="H182"/>
      <c s="125" r="I182"/>
      <c s="822" r="J182"/>
      <c s="429" r="K182"/>
      <c s="458" r="L182"/>
      <c s="104" r="M182"/>
      <c s="458" r="N182"/>
      <c t="str" s="589" r="O182">
        <f>IF((AH$28=2),IF(ISBLANK(N182),O181,N182),IF(ISNUMBER(N182),(MAX(O$44:O181)+N182),O181))</f>
        <v/>
      </c>
      <c s="228" r="P182"/>
      <c s="273" r="Q182">
        <f>IF(ISNUMBER(P182),((Q181+P182)-R181),Q181)</f>
        <v>100</v>
      </c>
      <c s="228" r="R182"/>
      <c s="610" r="S182"/>
      <c s="458" r="T182"/>
      <c s="458" r="U182"/>
      <c s="458" r="V182"/>
      <c s="458" r="W182"/>
      <c s="458" r="X182"/>
      <c s="458" r="Y182"/>
      <c t="str" s="620" r="Z182">
        <f>IF(ISNUMBER(S182),(Q182-S182),NA())</f>
        <v>#N/A:explicit</v>
      </c>
      <c t="str" s="620" r="AA182">
        <f>IF(ISNUMBER(T182),IF((AH$22=1),(Z182+T182),(Q182-T182)),NA())</f>
        <v>#N/A:explicit</v>
      </c>
      <c t="str" s="620" r="AB182">
        <f>IF(ISNUMBER(U182),(Q182-U182),NA())</f>
        <v>#N/A:explicit</v>
      </c>
      <c t="str" s="620" r="AC182">
        <f>IF(ISNUMBER(V182),(Q182-V182),NA())</f>
        <v>#N/A:explicit</v>
      </c>
      <c t="str" s="620" r="AD182">
        <f>IF(ISNUMBER(W182),(Q182-W182),NA())</f>
        <v>#N/A:explicit</v>
      </c>
      <c t="str" s="620" r="AE182">
        <f>IF(ISNUMBER(X182),(Q182-X182),NA())</f>
        <v>#N/A:explicit</v>
      </c>
      <c t="str" s="552" r="AF182">
        <f>IF(ISNUMBER(Z182),Z182,"---")</f>
        <v>---</v>
      </c>
      <c s="142" r="AG182"/>
      <c t="str" s="142" r="AH182">
        <f>IF(ISBLANK(L182),NA(),MIN(AF$44:AF$361))</f>
        <v>#N/A:explicit</v>
      </c>
      <c t="str" s="142" r="AI182">
        <f>IF(ISNA(AA182),Z182,AA182)</f>
        <v>#N/A:explicit</v>
      </c>
      <c s="142" r="AJ182">
        <f>MIN(AF$44:AF$361)</f>
        <v>0</v>
      </c>
      <c s="142" r="AK182"/>
      <c t="str" s="142" r="AL182">
        <f>IF(ISNUMBER(AB182),O182,"---")</f>
        <v>---</v>
      </c>
      <c t="str" s="80" r="AM182">
        <f>IF(ISNUMBER(AB182),AB182,"---")</f>
        <v>---</v>
      </c>
      <c s="80" r="AN182"/>
      <c t="str" s="142" r="AO182">
        <f>IF((M182="r"),Z182,NA())</f>
        <v>#N/A:explicit</v>
      </c>
      <c t="str" s="142" r="AP182">
        <f>IF((M182="p"),Z182,NA())</f>
        <v>#N/A:explicit</v>
      </c>
      <c t="str" s="142" r="AQ182">
        <f>IF((M182="n"),Z182,NA())</f>
        <v>#N/A:explicit</v>
      </c>
      <c t="str" s="142" r="AR182">
        <f>IF((M182="g"),Z182,NA())</f>
        <v>#N/A:explicit</v>
      </c>
      <c s="142" r="AS182"/>
      <c t="str" s="142" r="AT182">
        <f>IF((COUNTA($M182:$M$361)=0),"---",IF(AND(($M182="r"),(COUNTA($M183:$M$361)&gt;0)),(MAX(AT$44:AT181)+1),IF(OR(($M181="p"),($M181="n"),($M181="g")),"---",AT181)))</f>
        <v>---</v>
      </c>
      <c t="str" s="142" r="AU182">
        <f>IF((COUNTA($M182:$M$361)=0),"---",IF(AND(($M182="p"),(COUNTA($M183:$M$361)&gt;0)),(MAX(AU$44:AU181)+1),IF(OR(($M181="r"),($M181="n"),($M181="g")),"---",AU181)))</f>
        <v>---</v>
      </c>
      <c t="str" s="142" r="AV182">
        <f>IF((COUNTA($M182:$M$361)=0),"---",IF(AND(($M182="n"),(COUNTA($M183:$M$361)&gt;0)),(MAX(AV$44:AV181)+1),IF(OR(($M181="r"),($M181="p"),($M181="g")),"---",AV181)))</f>
        <v>---</v>
      </c>
      <c t="str" s="142" r="AW182">
        <f>IF((COUNTA($M182:$M$361)=0),"---",IF(AND(($M182="g"),(COUNTA($M183:$M$361)&gt;0)),(MAX(AW$44:AW181)+1),IF(OR(($M181="r"),($M181="p"),($M181="n")),"---",AW181)))</f>
        <v>---</v>
      </c>
      <c s="676" r="AX182">
        <f>IF((M182="p"),(1+MAX(AX$44:AX181)),0)</f>
        <v>0</v>
      </c>
      <c s="51" r="AY182"/>
      <c s="761" r="AZ182"/>
      <c s="761" r="BA182"/>
      <c s="125" r="BB182"/>
      <c s="125" r="BC182"/>
      <c s="125" r="BD182"/>
      <c s="125" r="BE182"/>
      <c s="125" r="BF182"/>
      <c s="125" r="BG182"/>
      <c s="125" r="BH182"/>
      <c s="125" r="BI182"/>
    </row>
    <row r="183">
      <c s="125" r="A183"/>
      <c s="125" r="B183"/>
      <c s="125" r="C183"/>
      <c s="125" r="D183"/>
      <c s="125" r="E183"/>
      <c s="125" r="F183"/>
      <c s="125" r="G183"/>
      <c s="125" r="H183"/>
      <c s="125" r="I183"/>
      <c s="822" r="J183"/>
      <c s="848" r="K183"/>
      <c s="550" r="L183"/>
      <c s="104" r="M183"/>
      <c s="550" r="N183"/>
      <c t="str" s="589" r="O183">
        <f>IF((AH$28=2),IF(ISBLANK(N183),O182,N183),IF(ISNUMBER(N183),(MAX(O$44:O182)+N183),O182))</f>
        <v/>
      </c>
      <c s="694" r="P183"/>
      <c s="273" r="Q183">
        <f>IF(ISNUMBER(P183),((Q182+P183)-R182),Q182)</f>
        <v>100</v>
      </c>
      <c s="694" r="R183"/>
      <c s="821" r="S183"/>
      <c s="550" r="T183"/>
      <c s="550" r="U183"/>
      <c s="550" r="V183"/>
      <c s="550" r="W183"/>
      <c s="550" r="X183"/>
      <c s="550" r="Y183"/>
      <c t="str" s="470" r="Z183">
        <f>IF(ISNUMBER(S183),(Q183-S183),NA())</f>
        <v>#N/A:explicit</v>
      </c>
      <c t="str" s="470" r="AA183">
        <f>IF(ISNUMBER(T183),IF((AH$22=1),(Z183+T183),(Q183-T183)),NA())</f>
        <v>#N/A:explicit</v>
      </c>
      <c t="str" s="470" r="AB183">
        <f>IF(ISNUMBER(U183),(Q183-U183),NA())</f>
        <v>#N/A:explicit</v>
      </c>
      <c t="str" s="470" r="AC183">
        <f>IF(ISNUMBER(V183),(Q183-V183),NA())</f>
        <v>#N/A:explicit</v>
      </c>
      <c t="str" s="470" r="AD183">
        <f>IF(ISNUMBER(W183),(Q183-W183),NA())</f>
        <v>#N/A:explicit</v>
      </c>
      <c t="str" s="470" r="AE183">
        <f>IF(ISNUMBER(X183),(Q183-X183),NA())</f>
        <v>#N/A:explicit</v>
      </c>
      <c t="str" s="552" r="AF183">
        <f>IF(ISNUMBER(Z183),Z183,"---")</f>
        <v>---</v>
      </c>
      <c s="142" r="AG183"/>
      <c t="str" s="142" r="AH183">
        <f>IF(ISBLANK(L183),NA(),MIN(AF$44:AF$361))</f>
        <v>#N/A:explicit</v>
      </c>
      <c t="str" s="142" r="AI183">
        <f>IF(ISNA(AA183),Z183,AA183)</f>
        <v>#N/A:explicit</v>
      </c>
      <c s="142" r="AJ183">
        <f>MIN(AF$44:AF$361)</f>
        <v>0</v>
      </c>
      <c s="142" r="AK183"/>
      <c t="str" s="142" r="AL183">
        <f>IF(ISNUMBER(AB183),O183,"---")</f>
        <v>---</v>
      </c>
      <c t="str" s="80" r="AM183">
        <f>IF(ISNUMBER(AB183),AB183,"---")</f>
        <v>---</v>
      </c>
      <c s="80" r="AN183"/>
      <c t="str" s="142" r="AO183">
        <f>IF((M183="r"),Z183,NA())</f>
        <v>#N/A:explicit</v>
      </c>
      <c t="str" s="142" r="AP183">
        <f>IF((M183="p"),Z183,NA())</f>
        <v>#N/A:explicit</v>
      </c>
      <c t="str" s="142" r="AQ183">
        <f>IF((M183="n"),Z183,NA())</f>
        <v>#N/A:explicit</v>
      </c>
      <c t="str" s="142" r="AR183">
        <f>IF((M183="g"),Z183,NA())</f>
        <v>#N/A:explicit</v>
      </c>
      <c s="142" r="AS183"/>
      <c t="str" s="142" r="AT183">
        <f>IF((COUNTA($M183:$M$361)=0),"---",IF(AND(($M183="r"),(COUNTA($M184:$M$361)&gt;0)),(MAX(AT$44:AT182)+1),IF(OR(($M182="p"),($M182="n"),($M182="g")),"---",AT182)))</f>
        <v>---</v>
      </c>
      <c t="str" s="142" r="AU183">
        <f>IF((COUNTA($M183:$M$361)=0),"---",IF(AND(($M183="p"),(COUNTA($M184:$M$361)&gt;0)),(MAX(AU$44:AU182)+1),IF(OR(($M182="r"),($M182="n"),($M182="g")),"---",AU182)))</f>
        <v>---</v>
      </c>
      <c t="str" s="142" r="AV183">
        <f>IF((COUNTA($M183:$M$361)=0),"---",IF(AND(($M183="n"),(COUNTA($M184:$M$361)&gt;0)),(MAX(AV$44:AV182)+1),IF(OR(($M182="r"),($M182="p"),($M182="g")),"---",AV182)))</f>
        <v>---</v>
      </c>
      <c t="str" s="142" r="AW183">
        <f>IF((COUNTA($M183:$M$361)=0),"---",IF(AND(($M183="g"),(COUNTA($M184:$M$361)&gt;0)),(MAX(AW$44:AW182)+1),IF(OR(($M182="r"),($M182="p"),($M182="n")),"---",AW182)))</f>
        <v>---</v>
      </c>
      <c s="676" r="AX183">
        <f>IF((M183="p"),(1+MAX(AX$44:AX182)),0)</f>
        <v>0</v>
      </c>
      <c s="51" r="AY183"/>
      <c s="761" r="AZ183"/>
      <c s="761" r="BA183"/>
      <c s="125" r="BB183"/>
      <c s="125" r="BC183"/>
      <c s="125" r="BD183"/>
      <c s="125" r="BE183"/>
      <c s="125" r="BF183"/>
      <c s="125" r="BG183"/>
      <c s="125" r="BH183"/>
      <c s="125" r="BI183"/>
    </row>
    <row r="184">
      <c s="125" r="A184"/>
      <c s="125" r="B184"/>
      <c s="125" r="C184"/>
      <c s="125" r="D184"/>
      <c s="125" r="E184"/>
      <c s="125" r="F184"/>
      <c s="125" r="G184"/>
      <c s="125" r="H184"/>
      <c s="125" r="I184"/>
      <c s="822" r="J184"/>
      <c s="848" r="K184"/>
      <c s="550" r="L184"/>
      <c s="104" r="M184"/>
      <c s="550" r="N184"/>
      <c t="str" s="589" r="O184">
        <f>IF((AH$28=2),IF(ISBLANK(N184),O183,N184),IF(ISNUMBER(N184),(MAX(O$44:O183)+N184),O183))</f>
        <v/>
      </c>
      <c s="694" r="P184"/>
      <c s="273" r="Q184">
        <f>IF(ISNUMBER(P184),((Q183+P184)-R183),Q183)</f>
        <v>100</v>
      </c>
      <c s="694" r="R184"/>
      <c s="821" r="S184"/>
      <c s="550" r="T184"/>
      <c s="550" r="U184"/>
      <c s="550" r="V184"/>
      <c s="550" r="W184"/>
      <c s="550" r="X184"/>
      <c s="550" r="Y184"/>
      <c t="str" s="470" r="Z184">
        <f>IF(ISNUMBER(S184),(Q184-S184),NA())</f>
        <v>#N/A:explicit</v>
      </c>
      <c t="str" s="470" r="AA184">
        <f>IF(ISNUMBER(T184),IF((AH$22=1),(Z184+T184),(Q184-T184)),NA())</f>
        <v>#N/A:explicit</v>
      </c>
      <c t="str" s="470" r="AB184">
        <f>IF(ISNUMBER(U184),(Q184-U184),NA())</f>
        <v>#N/A:explicit</v>
      </c>
      <c t="str" s="470" r="AC184">
        <f>IF(ISNUMBER(V184),(Q184-V184),NA())</f>
        <v>#N/A:explicit</v>
      </c>
      <c t="str" s="470" r="AD184">
        <f>IF(ISNUMBER(W184),(Q184-W184),NA())</f>
        <v>#N/A:explicit</v>
      </c>
      <c t="str" s="470" r="AE184">
        <f>IF(ISNUMBER(X184),(Q184-X184),NA())</f>
        <v>#N/A:explicit</v>
      </c>
      <c t="str" s="552" r="AF184">
        <f>IF(ISNUMBER(Z184),Z184,"---")</f>
        <v>---</v>
      </c>
      <c s="142" r="AG184"/>
      <c t="str" s="142" r="AH184">
        <f>IF(ISBLANK(L184),NA(),MIN(AF$44:AF$361))</f>
        <v>#N/A:explicit</v>
      </c>
      <c t="str" s="142" r="AI184">
        <f>IF(ISNA(AA184),Z184,AA184)</f>
        <v>#N/A:explicit</v>
      </c>
      <c s="142" r="AJ184">
        <f>MIN(AF$44:AF$361)</f>
        <v>0</v>
      </c>
      <c s="142" r="AK184"/>
      <c t="str" s="142" r="AL184">
        <f>IF(ISNUMBER(AB184),O184,"---")</f>
        <v>---</v>
      </c>
      <c t="str" s="80" r="AM184">
        <f>IF(ISNUMBER(AB184),AB184,"---")</f>
        <v>---</v>
      </c>
      <c s="80" r="AN184"/>
      <c t="str" s="142" r="AO184">
        <f>IF((M184="r"),Z184,NA())</f>
        <v>#N/A:explicit</v>
      </c>
      <c t="str" s="142" r="AP184">
        <f>IF((M184="p"),Z184,NA())</f>
        <v>#N/A:explicit</v>
      </c>
      <c t="str" s="142" r="AQ184">
        <f>IF((M184="n"),Z184,NA())</f>
        <v>#N/A:explicit</v>
      </c>
      <c t="str" s="142" r="AR184">
        <f>IF((M184="g"),Z184,NA())</f>
        <v>#N/A:explicit</v>
      </c>
      <c s="142" r="AS184"/>
      <c t="str" s="142" r="AT184">
        <f>IF((COUNTA($M184:$M$361)=0),"---",IF(AND(($M184="r"),(COUNTA($M185:$M$361)&gt;0)),(MAX(AT$44:AT183)+1),IF(OR(($M183="p"),($M183="n"),($M183="g")),"---",AT183)))</f>
        <v>---</v>
      </c>
      <c t="str" s="142" r="AU184">
        <f>IF((COUNTA($M184:$M$361)=0),"---",IF(AND(($M184="p"),(COUNTA($M185:$M$361)&gt;0)),(MAX(AU$44:AU183)+1),IF(OR(($M183="r"),($M183="n"),($M183="g")),"---",AU183)))</f>
        <v>---</v>
      </c>
      <c t="str" s="142" r="AV184">
        <f>IF((COUNTA($M184:$M$361)=0),"---",IF(AND(($M184="n"),(COUNTA($M185:$M$361)&gt;0)),(MAX(AV$44:AV183)+1),IF(OR(($M183="r"),($M183="p"),($M183="g")),"---",AV183)))</f>
        <v>---</v>
      </c>
      <c t="str" s="142" r="AW184">
        <f>IF((COUNTA($M184:$M$361)=0),"---",IF(AND(($M184="g"),(COUNTA($M185:$M$361)&gt;0)),(MAX(AW$44:AW183)+1),IF(OR(($M183="r"),($M183="p"),($M183="n")),"---",AW183)))</f>
        <v>---</v>
      </c>
      <c s="676" r="AX184">
        <f>IF((M184="p"),(1+MAX(AX$44:AX183)),0)</f>
        <v>0</v>
      </c>
      <c s="51" r="AY184"/>
      <c s="761" r="AZ184"/>
      <c s="761" r="BA184"/>
      <c s="125" r="BB184"/>
      <c s="125" r="BC184"/>
      <c s="125" r="BD184"/>
      <c s="125" r="BE184"/>
      <c s="125" r="BF184"/>
      <c s="125" r="BG184"/>
      <c s="125" r="BH184"/>
      <c s="125" r="BI184"/>
    </row>
    <row r="185">
      <c s="125" r="A185"/>
      <c s="125" r="B185"/>
      <c s="125" r="C185"/>
      <c s="125" r="D185"/>
      <c s="125" r="E185"/>
      <c s="125" r="F185"/>
      <c s="125" r="G185"/>
      <c s="125" r="H185"/>
      <c s="125" r="I185"/>
      <c s="822" r="J185"/>
      <c s="848" r="K185"/>
      <c s="550" r="L185"/>
      <c s="104" r="M185"/>
      <c s="550" r="N185"/>
      <c t="str" s="589" r="O185">
        <f>IF((AH$28=2),IF(ISBLANK(N185),O184,N185),IF(ISNUMBER(N185),(MAX(O$44:O184)+N185),O184))</f>
        <v/>
      </c>
      <c s="694" r="P185"/>
      <c s="273" r="Q185">
        <f>IF(ISNUMBER(P185),((Q184+P185)-R184),Q184)</f>
        <v>100</v>
      </c>
      <c s="694" r="R185"/>
      <c s="821" r="S185"/>
      <c s="550" r="T185"/>
      <c s="550" r="U185"/>
      <c s="550" r="V185"/>
      <c s="550" r="W185"/>
      <c s="550" r="X185"/>
      <c s="550" r="Y185"/>
      <c t="str" s="470" r="Z185">
        <f>IF(ISNUMBER(S185),(Q185-S185),NA())</f>
        <v>#N/A:explicit</v>
      </c>
      <c t="str" s="470" r="AA185">
        <f>IF(ISNUMBER(T185),IF((AH$22=1),(Z185+T185),(Q185-T185)),NA())</f>
        <v>#N/A:explicit</v>
      </c>
      <c t="str" s="470" r="AB185">
        <f>IF(ISNUMBER(U185),(Q185-U185),NA())</f>
        <v>#N/A:explicit</v>
      </c>
      <c t="str" s="470" r="AC185">
        <f>IF(ISNUMBER(V185),(Q185-V185),NA())</f>
        <v>#N/A:explicit</v>
      </c>
      <c t="str" s="470" r="AD185">
        <f>IF(ISNUMBER(W185),(Q185-W185),NA())</f>
        <v>#N/A:explicit</v>
      </c>
      <c t="str" s="470" r="AE185">
        <f>IF(ISNUMBER(X185),(Q185-X185),NA())</f>
        <v>#N/A:explicit</v>
      </c>
      <c t="str" s="552" r="AF185">
        <f>IF(ISNUMBER(Z185),Z185,"---")</f>
        <v>---</v>
      </c>
      <c s="142" r="AG185"/>
      <c t="str" s="142" r="AH185">
        <f>IF(ISBLANK(L185),NA(),MIN(AF$44:AF$361))</f>
        <v>#N/A:explicit</v>
      </c>
      <c t="str" s="142" r="AI185">
        <f>IF(ISNA(AA185),Z185,AA185)</f>
        <v>#N/A:explicit</v>
      </c>
      <c s="142" r="AJ185">
        <f>MIN(AF$44:AF$361)</f>
        <v>0</v>
      </c>
      <c s="142" r="AK185"/>
      <c t="str" s="142" r="AL185">
        <f>IF(ISNUMBER(AB185),O185,"---")</f>
        <v>---</v>
      </c>
      <c t="str" s="80" r="AM185">
        <f>IF(ISNUMBER(AB185),AB185,"---")</f>
        <v>---</v>
      </c>
      <c s="80" r="AN185"/>
      <c t="str" s="142" r="AO185">
        <f>IF((M185="r"),Z185,NA())</f>
        <v>#N/A:explicit</v>
      </c>
      <c t="str" s="142" r="AP185">
        <f>IF((M185="p"),Z185,NA())</f>
        <v>#N/A:explicit</v>
      </c>
      <c t="str" s="142" r="AQ185">
        <f>IF((M185="n"),Z185,NA())</f>
        <v>#N/A:explicit</v>
      </c>
      <c t="str" s="142" r="AR185">
        <f>IF((M185="g"),Z185,NA())</f>
        <v>#N/A:explicit</v>
      </c>
      <c s="142" r="AS185"/>
      <c t="str" s="142" r="AT185">
        <f>IF((COUNTA($M185:$M$361)=0),"---",IF(AND(($M185="r"),(COUNTA($M186:$M$361)&gt;0)),(MAX(AT$44:AT184)+1),IF(OR(($M184="p"),($M184="n"),($M184="g")),"---",AT184)))</f>
        <v>---</v>
      </c>
      <c t="str" s="142" r="AU185">
        <f>IF((COUNTA($M185:$M$361)=0),"---",IF(AND(($M185="p"),(COUNTA($M186:$M$361)&gt;0)),(MAX(AU$44:AU184)+1),IF(OR(($M184="r"),($M184="n"),($M184="g")),"---",AU184)))</f>
        <v>---</v>
      </c>
      <c t="str" s="142" r="AV185">
        <f>IF((COUNTA($M185:$M$361)=0),"---",IF(AND(($M185="n"),(COUNTA($M186:$M$361)&gt;0)),(MAX(AV$44:AV184)+1),IF(OR(($M184="r"),($M184="p"),($M184="g")),"---",AV184)))</f>
        <v>---</v>
      </c>
      <c t="str" s="142" r="AW185">
        <f>IF((COUNTA($M185:$M$361)=0),"---",IF(AND(($M185="g"),(COUNTA($M186:$M$361)&gt;0)),(MAX(AW$44:AW184)+1),IF(OR(($M184="r"),($M184="p"),($M184="n")),"---",AW184)))</f>
        <v>---</v>
      </c>
      <c s="676" r="AX185">
        <f>IF((M185="p"),(1+MAX(AX$44:AX184)),0)</f>
        <v>0</v>
      </c>
      <c s="51" r="AY185"/>
      <c s="761" r="AZ185"/>
      <c s="761" r="BA185"/>
      <c s="125" r="BB185"/>
      <c s="125" r="BC185"/>
      <c s="125" r="BD185"/>
      <c s="125" r="BE185"/>
      <c s="125" r="BF185"/>
      <c s="125" r="BG185"/>
      <c s="125" r="BH185"/>
      <c s="125" r="BI185"/>
    </row>
    <row r="186">
      <c s="125" r="A186"/>
      <c s="125" r="B186"/>
      <c s="125" r="C186"/>
      <c s="125" r="D186"/>
      <c s="125" r="E186"/>
      <c s="125" r="F186"/>
      <c s="125" r="G186"/>
      <c s="125" r="H186"/>
      <c s="125" r="I186"/>
      <c s="822" r="J186"/>
      <c s="429" r="K186"/>
      <c s="458" r="L186"/>
      <c s="104" r="M186"/>
      <c s="458" r="N186"/>
      <c t="str" s="589" r="O186">
        <f>IF((AH$28=2),IF(ISBLANK(N186),O185,N186),IF(ISNUMBER(N186),(MAX(O$44:O185)+N186),O185))</f>
        <v/>
      </c>
      <c s="228" r="P186"/>
      <c s="273" r="Q186">
        <f>IF(ISNUMBER(P186),((Q185+P186)-R185),Q185)</f>
        <v>100</v>
      </c>
      <c s="228" r="R186"/>
      <c s="610" r="S186"/>
      <c s="458" r="T186"/>
      <c s="458" r="U186"/>
      <c s="458" r="V186"/>
      <c s="458" r="W186"/>
      <c s="458" r="X186"/>
      <c s="458" r="Y186"/>
      <c t="str" s="620" r="Z186">
        <f>IF(ISNUMBER(S186),(Q186-S186),NA())</f>
        <v>#N/A:explicit</v>
      </c>
      <c t="str" s="620" r="AA186">
        <f>IF(ISNUMBER(T186),IF((AH$22=1),(Z186+T186),(Q186-T186)),NA())</f>
        <v>#N/A:explicit</v>
      </c>
      <c t="str" s="620" r="AB186">
        <f>IF(ISNUMBER(U186),(Q186-U186),NA())</f>
        <v>#N/A:explicit</v>
      </c>
      <c t="str" s="620" r="AC186">
        <f>IF(ISNUMBER(V186),(Q186-V186),NA())</f>
        <v>#N/A:explicit</v>
      </c>
      <c t="str" s="620" r="AD186">
        <f>IF(ISNUMBER(W186),(Q186-W186),NA())</f>
        <v>#N/A:explicit</v>
      </c>
      <c t="str" s="620" r="AE186">
        <f>IF(ISNUMBER(X186),(Q186-X186),NA())</f>
        <v>#N/A:explicit</v>
      </c>
      <c t="str" s="552" r="AF186">
        <f>IF(ISNUMBER(Z186),Z186,"---")</f>
        <v>---</v>
      </c>
      <c s="142" r="AG186"/>
      <c t="str" s="142" r="AH186">
        <f>IF(ISBLANK(L186),NA(),MIN(AF$44:AF$361))</f>
        <v>#N/A:explicit</v>
      </c>
      <c t="str" s="142" r="AI186">
        <f>IF(ISNA(AA186),Z186,AA186)</f>
        <v>#N/A:explicit</v>
      </c>
      <c s="142" r="AJ186">
        <f>MIN(AF$44:AF$361)</f>
        <v>0</v>
      </c>
      <c s="142" r="AK186"/>
      <c t="str" s="142" r="AL186">
        <f>IF(ISNUMBER(AB186),O186,"---")</f>
        <v>---</v>
      </c>
      <c t="str" s="80" r="AM186">
        <f>IF(ISNUMBER(AB186),AB186,"---")</f>
        <v>---</v>
      </c>
      <c s="80" r="AN186"/>
      <c t="str" s="142" r="AO186">
        <f>IF((M186="r"),Z186,NA())</f>
        <v>#N/A:explicit</v>
      </c>
      <c t="str" s="142" r="AP186">
        <f>IF((M186="p"),Z186,NA())</f>
        <v>#N/A:explicit</v>
      </c>
      <c t="str" s="142" r="AQ186">
        <f>IF((M186="n"),Z186,NA())</f>
        <v>#N/A:explicit</v>
      </c>
      <c t="str" s="142" r="AR186">
        <f>IF((M186="g"),Z186,NA())</f>
        <v>#N/A:explicit</v>
      </c>
      <c s="142" r="AS186"/>
      <c t="str" s="142" r="AT186">
        <f>IF((COUNTA($M186:$M$361)=0),"---",IF(AND(($M186="r"),(COUNTA($M187:$M$361)&gt;0)),(MAX(AT$44:AT185)+1),IF(OR(($M185="p"),($M185="n"),($M185="g")),"---",AT185)))</f>
        <v>---</v>
      </c>
      <c t="str" s="142" r="AU186">
        <f>IF((COUNTA($M186:$M$361)=0),"---",IF(AND(($M186="p"),(COUNTA($M187:$M$361)&gt;0)),(MAX(AU$44:AU185)+1),IF(OR(($M185="r"),($M185="n"),($M185="g")),"---",AU185)))</f>
        <v>---</v>
      </c>
      <c t="str" s="142" r="AV186">
        <f>IF((COUNTA($M186:$M$361)=0),"---",IF(AND(($M186="n"),(COUNTA($M187:$M$361)&gt;0)),(MAX(AV$44:AV185)+1),IF(OR(($M185="r"),($M185="p"),($M185="g")),"---",AV185)))</f>
        <v>---</v>
      </c>
      <c t="str" s="142" r="AW186">
        <f>IF((COUNTA($M186:$M$361)=0),"---",IF(AND(($M186="g"),(COUNTA($M187:$M$361)&gt;0)),(MAX(AW$44:AW185)+1),IF(OR(($M185="r"),($M185="p"),($M185="n")),"---",AW185)))</f>
        <v>---</v>
      </c>
      <c s="676" r="AX186">
        <f>IF((M186="p"),(1+MAX(AX$44:AX185)),0)</f>
        <v>0</v>
      </c>
      <c s="51" r="AY186"/>
      <c s="761" r="AZ186"/>
      <c s="761" r="BA186"/>
      <c s="125" r="BB186"/>
      <c s="125" r="BC186"/>
      <c s="125" r="BD186"/>
      <c s="125" r="BE186"/>
      <c s="125" r="BF186"/>
      <c s="125" r="BG186"/>
      <c s="125" r="BH186"/>
      <c s="125" r="BI186"/>
    </row>
    <row r="187">
      <c s="125" r="A187"/>
      <c s="125" r="B187"/>
      <c s="125" r="C187"/>
      <c s="125" r="D187"/>
      <c s="125" r="E187"/>
      <c s="125" r="F187"/>
      <c s="125" r="G187"/>
      <c s="125" r="H187"/>
      <c s="125" r="I187"/>
      <c s="822" r="J187"/>
      <c s="429" r="K187"/>
      <c s="458" r="L187"/>
      <c s="104" r="M187"/>
      <c s="458" r="N187"/>
      <c t="str" s="589" r="O187">
        <f>IF((AH$28=2),IF(ISBLANK(N187),O186,N187),IF(ISNUMBER(N187),(MAX(O$44:O186)+N187),O186))</f>
        <v/>
      </c>
      <c s="228" r="P187"/>
      <c s="273" r="Q187">
        <f>IF(ISNUMBER(P187),((Q186+P187)-R186),Q186)</f>
        <v>100</v>
      </c>
      <c s="228" r="R187"/>
      <c s="610" r="S187"/>
      <c s="458" r="T187"/>
      <c s="458" r="U187"/>
      <c s="458" r="V187"/>
      <c s="458" r="W187"/>
      <c s="458" r="X187"/>
      <c s="458" r="Y187"/>
      <c t="str" s="620" r="Z187">
        <f>IF(ISNUMBER(S187),(Q187-S187),NA())</f>
        <v>#N/A:explicit</v>
      </c>
      <c t="str" s="620" r="AA187">
        <f>IF(ISNUMBER(T187),IF((AH$22=1),(Z187+T187),(Q187-T187)),NA())</f>
        <v>#N/A:explicit</v>
      </c>
      <c t="str" s="620" r="AB187">
        <f>IF(ISNUMBER(U187),(Q187-U187),NA())</f>
        <v>#N/A:explicit</v>
      </c>
      <c t="str" s="620" r="AC187">
        <f>IF(ISNUMBER(V187),(Q187-V187),NA())</f>
        <v>#N/A:explicit</v>
      </c>
      <c t="str" s="620" r="AD187">
        <f>IF(ISNUMBER(W187),(Q187-W187),NA())</f>
        <v>#N/A:explicit</v>
      </c>
      <c t="str" s="620" r="AE187">
        <f>IF(ISNUMBER(X187),(Q187-X187),NA())</f>
        <v>#N/A:explicit</v>
      </c>
      <c t="str" s="552" r="AF187">
        <f>IF(ISNUMBER(Z187),Z187,"---")</f>
        <v>---</v>
      </c>
      <c s="142" r="AG187"/>
      <c t="str" s="142" r="AH187">
        <f>IF(ISBLANK(L187),NA(),MIN(AF$44:AF$361))</f>
        <v>#N/A:explicit</v>
      </c>
      <c t="str" s="142" r="AI187">
        <f>IF(ISNA(AA187),Z187,AA187)</f>
        <v>#N/A:explicit</v>
      </c>
      <c s="142" r="AJ187">
        <f>MIN(AF$44:AF$361)</f>
        <v>0</v>
      </c>
      <c s="142" r="AK187"/>
      <c t="str" s="142" r="AL187">
        <f>IF(ISNUMBER(AB187),O187,"---")</f>
        <v>---</v>
      </c>
      <c t="str" s="80" r="AM187">
        <f>IF(ISNUMBER(AB187),AB187,"---")</f>
        <v>---</v>
      </c>
      <c s="80" r="AN187"/>
      <c t="str" s="142" r="AO187">
        <f>IF((M187="r"),Z187,NA())</f>
        <v>#N/A:explicit</v>
      </c>
      <c t="str" s="142" r="AP187">
        <f>IF((M187="p"),Z187,NA())</f>
        <v>#N/A:explicit</v>
      </c>
      <c t="str" s="142" r="AQ187">
        <f>IF((M187="n"),Z187,NA())</f>
        <v>#N/A:explicit</v>
      </c>
      <c t="str" s="142" r="AR187">
        <f>IF((M187="g"),Z187,NA())</f>
        <v>#N/A:explicit</v>
      </c>
      <c s="142" r="AS187"/>
      <c t="str" s="142" r="AT187">
        <f>IF((COUNTA($M187:$M$361)=0),"---",IF(AND(($M187="r"),(COUNTA($M188:$M$361)&gt;0)),(MAX(AT$44:AT186)+1),IF(OR(($M186="p"),($M186="n"),($M186="g")),"---",AT186)))</f>
        <v>---</v>
      </c>
      <c t="str" s="142" r="AU187">
        <f>IF((COUNTA($M187:$M$361)=0),"---",IF(AND(($M187="p"),(COUNTA($M188:$M$361)&gt;0)),(MAX(AU$44:AU186)+1),IF(OR(($M186="r"),($M186="n"),($M186="g")),"---",AU186)))</f>
        <v>---</v>
      </c>
      <c t="str" s="142" r="AV187">
        <f>IF((COUNTA($M187:$M$361)=0),"---",IF(AND(($M187="n"),(COUNTA($M188:$M$361)&gt;0)),(MAX(AV$44:AV186)+1),IF(OR(($M186="r"),($M186="p"),($M186="g")),"---",AV186)))</f>
        <v>---</v>
      </c>
      <c t="str" s="142" r="AW187">
        <f>IF((COUNTA($M187:$M$361)=0),"---",IF(AND(($M187="g"),(COUNTA($M188:$M$361)&gt;0)),(MAX(AW$44:AW186)+1),IF(OR(($M186="r"),($M186="p"),($M186="n")),"---",AW186)))</f>
        <v>---</v>
      </c>
      <c s="676" r="AX187">
        <f>IF((M187="p"),(1+MAX(AX$44:AX186)),0)</f>
        <v>0</v>
      </c>
      <c s="51" r="AY187"/>
      <c s="761" r="AZ187"/>
      <c s="761" r="BA187"/>
      <c s="125" r="BB187"/>
      <c s="125" r="BC187"/>
      <c s="125" r="BD187"/>
      <c s="125" r="BE187"/>
      <c s="125" r="BF187"/>
      <c s="125" r="BG187"/>
      <c s="125" r="BH187"/>
      <c s="125" r="BI187"/>
    </row>
    <row r="188">
      <c s="125" r="A188"/>
      <c s="125" r="B188"/>
      <c s="125" r="C188"/>
      <c s="125" r="D188"/>
      <c s="125" r="E188"/>
      <c s="125" r="F188"/>
      <c s="125" r="G188"/>
      <c s="125" r="H188"/>
      <c s="125" r="I188"/>
      <c s="822" r="J188"/>
      <c s="429" r="K188"/>
      <c s="458" r="L188"/>
      <c s="104" r="M188"/>
      <c s="458" r="N188"/>
      <c t="str" s="589" r="O188">
        <f>IF((AH$28=2),IF(ISBLANK(N188),O187,N188),IF(ISNUMBER(N188),(MAX(O$44:O187)+N188),O187))</f>
        <v/>
      </c>
      <c s="228" r="P188"/>
      <c s="273" r="Q188">
        <f>IF(ISNUMBER(P188),((Q187+P188)-R187),Q187)</f>
        <v>100</v>
      </c>
      <c s="228" r="R188"/>
      <c s="610" r="S188"/>
      <c s="458" r="T188"/>
      <c s="458" r="U188"/>
      <c s="458" r="V188"/>
      <c s="458" r="W188"/>
      <c s="458" r="X188"/>
      <c s="458" r="Y188"/>
      <c t="str" s="620" r="Z188">
        <f>IF(ISNUMBER(S188),(Q188-S188),NA())</f>
        <v>#N/A:explicit</v>
      </c>
      <c t="str" s="620" r="AA188">
        <f>IF(ISNUMBER(T188),IF((AH$22=1),(Z188+T188),(Q188-T188)),NA())</f>
        <v>#N/A:explicit</v>
      </c>
      <c t="str" s="620" r="AB188">
        <f>IF(ISNUMBER(U188),(Q188-U188),NA())</f>
        <v>#N/A:explicit</v>
      </c>
      <c t="str" s="620" r="AC188">
        <f>IF(ISNUMBER(V188),(Q188-V188),NA())</f>
        <v>#N/A:explicit</v>
      </c>
      <c t="str" s="620" r="AD188">
        <f>IF(ISNUMBER(W188),(Q188-W188),NA())</f>
        <v>#N/A:explicit</v>
      </c>
      <c t="str" s="620" r="AE188">
        <f>IF(ISNUMBER(X188),(Q188-X188),NA())</f>
        <v>#N/A:explicit</v>
      </c>
      <c t="str" s="552" r="AF188">
        <f>IF(ISNUMBER(Z188),Z188,"---")</f>
        <v>---</v>
      </c>
      <c s="142" r="AG188"/>
      <c t="str" s="142" r="AH188">
        <f>IF(ISBLANK(L188),NA(),MIN(AF$44:AF$361))</f>
        <v>#N/A:explicit</v>
      </c>
      <c t="str" s="142" r="AI188">
        <f>IF(ISNA(AA188),Z188,AA188)</f>
        <v>#N/A:explicit</v>
      </c>
      <c s="142" r="AJ188">
        <f>MIN(AF$44:AF$361)</f>
        <v>0</v>
      </c>
      <c s="142" r="AK188"/>
      <c t="str" s="142" r="AL188">
        <f>IF(ISNUMBER(AB188),O188,"---")</f>
        <v>---</v>
      </c>
      <c t="str" s="80" r="AM188">
        <f>IF(ISNUMBER(AB188),AB188,"---")</f>
        <v>---</v>
      </c>
      <c s="80" r="AN188"/>
      <c t="str" s="142" r="AO188">
        <f>IF((M188="r"),Z188,NA())</f>
        <v>#N/A:explicit</v>
      </c>
      <c t="str" s="142" r="AP188">
        <f>IF((M188="p"),Z188,NA())</f>
        <v>#N/A:explicit</v>
      </c>
      <c t="str" s="142" r="AQ188">
        <f>IF((M188="n"),Z188,NA())</f>
        <v>#N/A:explicit</v>
      </c>
      <c t="str" s="142" r="AR188">
        <f>IF((M188="g"),Z188,NA())</f>
        <v>#N/A:explicit</v>
      </c>
      <c s="142" r="AS188"/>
      <c t="str" s="142" r="AT188">
        <f>IF((COUNTA($M188:$M$361)=0),"---",IF(AND(($M188="r"),(COUNTA($M189:$M$361)&gt;0)),(MAX(AT$44:AT187)+1),IF(OR(($M187="p"),($M187="n"),($M187="g")),"---",AT187)))</f>
        <v>---</v>
      </c>
      <c t="str" s="142" r="AU188">
        <f>IF((COUNTA($M188:$M$361)=0),"---",IF(AND(($M188="p"),(COUNTA($M189:$M$361)&gt;0)),(MAX(AU$44:AU187)+1),IF(OR(($M187="r"),($M187="n"),($M187="g")),"---",AU187)))</f>
        <v>---</v>
      </c>
      <c t="str" s="142" r="AV188">
        <f>IF((COUNTA($M188:$M$361)=0),"---",IF(AND(($M188="n"),(COUNTA($M189:$M$361)&gt;0)),(MAX(AV$44:AV187)+1),IF(OR(($M187="r"),($M187="p"),($M187="g")),"---",AV187)))</f>
        <v>---</v>
      </c>
      <c t="str" s="142" r="AW188">
        <f>IF((COUNTA($M188:$M$361)=0),"---",IF(AND(($M188="g"),(COUNTA($M189:$M$361)&gt;0)),(MAX(AW$44:AW187)+1),IF(OR(($M187="r"),($M187="p"),($M187="n")),"---",AW187)))</f>
        <v>---</v>
      </c>
      <c s="676" r="AX188">
        <f>IF((M188="p"),(1+MAX(AX$44:AX187)),0)</f>
        <v>0</v>
      </c>
      <c s="51" r="AY188"/>
      <c s="761" r="AZ188"/>
      <c s="761" r="BA188"/>
      <c s="125" r="BB188"/>
      <c s="125" r="BC188"/>
      <c s="125" r="BD188"/>
      <c s="125" r="BE188"/>
      <c s="125" r="BF188"/>
      <c s="125" r="BG188"/>
      <c s="125" r="BH188"/>
      <c s="125" r="BI188"/>
    </row>
    <row r="189">
      <c s="125" r="A189"/>
      <c s="125" r="B189"/>
      <c s="125" r="C189"/>
      <c s="125" r="D189"/>
      <c s="125" r="E189"/>
      <c s="125" r="F189"/>
      <c s="125" r="G189"/>
      <c s="125" r="H189"/>
      <c s="125" r="I189"/>
      <c s="822" r="J189"/>
      <c s="848" r="K189"/>
      <c s="550" r="L189"/>
      <c s="104" r="M189"/>
      <c s="550" r="N189"/>
      <c t="str" s="589" r="O189">
        <f>IF((AH$28=2),IF(ISBLANK(N189),O188,N189),IF(ISNUMBER(N189),(MAX(O$44:O188)+N189),O188))</f>
        <v/>
      </c>
      <c s="694" r="P189"/>
      <c s="273" r="Q189">
        <f>IF(ISNUMBER(P189),((Q188+P189)-R188),Q188)</f>
        <v>100</v>
      </c>
      <c s="694" r="R189"/>
      <c s="821" r="S189"/>
      <c s="550" r="T189"/>
      <c s="550" r="U189"/>
      <c s="550" r="V189"/>
      <c s="550" r="W189"/>
      <c s="550" r="X189"/>
      <c s="550" r="Y189"/>
      <c t="str" s="470" r="Z189">
        <f>IF(ISNUMBER(S189),(Q189-S189),NA())</f>
        <v>#N/A:explicit</v>
      </c>
      <c t="str" s="470" r="AA189">
        <f>IF(ISNUMBER(T189),IF((AH$22=1),(Z189+T189),(Q189-T189)),NA())</f>
        <v>#N/A:explicit</v>
      </c>
      <c t="str" s="470" r="AB189">
        <f>IF(ISNUMBER(U189),(Q189-U189),NA())</f>
        <v>#N/A:explicit</v>
      </c>
      <c t="str" s="470" r="AC189">
        <f>IF(ISNUMBER(V189),(Q189-V189),NA())</f>
        <v>#N/A:explicit</v>
      </c>
      <c t="str" s="470" r="AD189">
        <f>IF(ISNUMBER(W189),(Q189-W189),NA())</f>
        <v>#N/A:explicit</v>
      </c>
      <c t="str" s="470" r="AE189">
        <f>IF(ISNUMBER(X189),(Q189-X189),NA())</f>
        <v>#N/A:explicit</v>
      </c>
      <c t="str" s="552" r="AF189">
        <f>IF(ISNUMBER(Z189),Z189,"---")</f>
        <v>---</v>
      </c>
      <c s="142" r="AG189"/>
      <c t="str" s="142" r="AH189">
        <f>IF(ISBLANK(L189),NA(),MIN(AF$44:AF$361))</f>
        <v>#N/A:explicit</v>
      </c>
      <c t="str" s="142" r="AI189">
        <f>IF(ISNA(AA189),Z189,AA189)</f>
        <v>#N/A:explicit</v>
      </c>
      <c s="142" r="AJ189">
        <f>MIN(AF$44:AF$361)</f>
        <v>0</v>
      </c>
      <c s="142" r="AK189"/>
      <c t="str" s="142" r="AL189">
        <f>IF(ISNUMBER(AB189),O189,"---")</f>
        <v>---</v>
      </c>
      <c t="str" s="80" r="AM189">
        <f>IF(ISNUMBER(AB189),AB189,"---")</f>
        <v>---</v>
      </c>
      <c s="80" r="AN189"/>
      <c t="str" s="142" r="AO189">
        <f>IF((M189="r"),Z189,NA())</f>
        <v>#N/A:explicit</v>
      </c>
      <c t="str" s="142" r="AP189">
        <f>IF((M189="p"),Z189,NA())</f>
        <v>#N/A:explicit</v>
      </c>
      <c t="str" s="142" r="AQ189">
        <f>IF((M189="n"),Z189,NA())</f>
        <v>#N/A:explicit</v>
      </c>
      <c t="str" s="142" r="AR189">
        <f>IF((M189="g"),Z189,NA())</f>
        <v>#N/A:explicit</v>
      </c>
      <c s="142" r="AS189"/>
      <c t="str" s="142" r="AT189">
        <f>IF((COUNTA($M189:$M$361)=0),"---",IF(AND(($M189="r"),(COUNTA($M190:$M$361)&gt;0)),(MAX(AT$44:AT188)+1),IF(OR(($M188="p"),($M188="n"),($M188="g")),"---",AT188)))</f>
        <v>---</v>
      </c>
      <c t="str" s="142" r="AU189">
        <f>IF((COUNTA($M189:$M$361)=0),"---",IF(AND(($M189="p"),(COUNTA($M190:$M$361)&gt;0)),(MAX(AU$44:AU188)+1),IF(OR(($M188="r"),($M188="n"),($M188="g")),"---",AU188)))</f>
        <v>---</v>
      </c>
      <c t="str" s="142" r="AV189">
        <f>IF((COUNTA($M189:$M$361)=0),"---",IF(AND(($M189="n"),(COUNTA($M190:$M$361)&gt;0)),(MAX(AV$44:AV188)+1),IF(OR(($M188="r"),($M188="p"),($M188="g")),"---",AV188)))</f>
        <v>---</v>
      </c>
      <c t="str" s="142" r="AW189">
        <f>IF((COUNTA($M189:$M$361)=0),"---",IF(AND(($M189="g"),(COUNTA($M190:$M$361)&gt;0)),(MAX(AW$44:AW188)+1),IF(OR(($M188="r"),($M188="p"),($M188="n")),"---",AW188)))</f>
        <v>---</v>
      </c>
      <c s="676" r="AX189">
        <f>IF((M189="p"),(1+MAX(AX$44:AX188)),0)</f>
        <v>0</v>
      </c>
      <c s="51" r="AY189"/>
      <c s="761" r="AZ189"/>
      <c s="761" r="BA189"/>
      <c s="125" r="BB189"/>
      <c s="125" r="BC189"/>
      <c s="125" r="BD189"/>
      <c s="125" r="BE189"/>
      <c s="125" r="BF189"/>
      <c s="125" r="BG189"/>
      <c s="125" r="BH189"/>
      <c s="125" r="BI189"/>
    </row>
    <row r="190">
      <c s="125" r="A190"/>
      <c s="125" r="B190"/>
      <c s="125" r="C190"/>
      <c s="125" r="D190"/>
      <c s="125" r="E190"/>
      <c s="125" r="F190"/>
      <c s="125" r="G190"/>
      <c s="125" r="H190"/>
      <c s="125" r="I190"/>
      <c s="822" r="J190"/>
      <c s="848" r="K190"/>
      <c s="550" r="L190"/>
      <c s="104" r="M190"/>
      <c s="550" r="N190"/>
      <c t="str" s="589" r="O190">
        <f>IF((AH$28=2),IF(ISBLANK(N190),O189,N190),IF(ISNUMBER(N190),(MAX(O$44:O189)+N190),O189))</f>
        <v/>
      </c>
      <c s="694" r="P190"/>
      <c s="273" r="Q190">
        <f>IF(ISNUMBER(P190),((Q189+P190)-R189),Q189)</f>
        <v>100</v>
      </c>
      <c s="694" r="R190"/>
      <c s="821" r="S190"/>
      <c s="550" r="T190"/>
      <c s="550" r="U190"/>
      <c s="550" r="V190"/>
      <c s="550" r="W190"/>
      <c s="550" r="X190"/>
      <c s="550" r="Y190"/>
      <c t="str" s="470" r="Z190">
        <f>IF(ISNUMBER(S190),(Q190-S190),NA())</f>
        <v>#N/A:explicit</v>
      </c>
      <c t="str" s="470" r="AA190">
        <f>IF(ISNUMBER(T190),IF((AH$22=1),(Z190+T190),(Q190-T190)),NA())</f>
        <v>#N/A:explicit</v>
      </c>
      <c t="str" s="470" r="AB190">
        <f>IF(ISNUMBER(U190),(Q190-U190),NA())</f>
        <v>#N/A:explicit</v>
      </c>
      <c t="str" s="470" r="AC190">
        <f>IF(ISNUMBER(V190),(Q190-V190),NA())</f>
        <v>#N/A:explicit</v>
      </c>
      <c t="str" s="470" r="AD190">
        <f>IF(ISNUMBER(W190),(Q190-W190),NA())</f>
        <v>#N/A:explicit</v>
      </c>
      <c t="str" s="470" r="AE190">
        <f>IF(ISNUMBER(X190),(Q190-X190),NA())</f>
        <v>#N/A:explicit</v>
      </c>
      <c t="str" s="552" r="AF190">
        <f>IF(ISNUMBER(Z190),Z190,"---")</f>
        <v>---</v>
      </c>
      <c s="142" r="AG190"/>
      <c t="str" s="142" r="AH190">
        <f>IF(ISBLANK(L190),NA(),MIN(AF$44:AF$361))</f>
        <v>#N/A:explicit</v>
      </c>
      <c t="str" s="142" r="AI190">
        <f>IF(ISNA(AA190),Z190,AA190)</f>
        <v>#N/A:explicit</v>
      </c>
      <c s="142" r="AJ190">
        <f>MIN(AF$44:AF$361)</f>
        <v>0</v>
      </c>
      <c s="142" r="AK190"/>
      <c t="str" s="142" r="AL190">
        <f>IF(ISNUMBER(AB190),O190,"---")</f>
        <v>---</v>
      </c>
      <c t="str" s="80" r="AM190">
        <f>IF(ISNUMBER(AB190),AB190,"---")</f>
        <v>---</v>
      </c>
      <c s="80" r="AN190"/>
      <c t="str" s="142" r="AO190">
        <f>IF((M190="r"),Z190,NA())</f>
        <v>#N/A:explicit</v>
      </c>
      <c t="str" s="142" r="AP190">
        <f>IF((M190="p"),Z190,NA())</f>
        <v>#N/A:explicit</v>
      </c>
      <c t="str" s="142" r="AQ190">
        <f>IF((M190="n"),Z190,NA())</f>
        <v>#N/A:explicit</v>
      </c>
      <c t="str" s="142" r="AR190">
        <f>IF((M190="g"),Z190,NA())</f>
        <v>#N/A:explicit</v>
      </c>
      <c s="142" r="AS190"/>
      <c t="str" s="142" r="AT190">
        <f>IF((COUNTA($M190:$M$361)=0),"---",IF(AND(($M190="r"),(COUNTA($M191:$M$361)&gt;0)),(MAX(AT$44:AT189)+1),IF(OR(($M189="p"),($M189="n"),($M189="g")),"---",AT189)))</f>
        <v>---</v>
      </c>
      <c t="str" s="142" r="AU190">
        <f>IF((COUNTA($M190:$M$361)=0),"---",IF(AND(($M190="p"),(COUNTA($M191:$M$361)&gt;0)),(MAX(AU$44:AU189)+1),IF(OR(($M189="r"),($M189="n"),($M189="g")),"---",AU189)))</f>
        <v>---</v>
      </c>
      <c t="str" s="142" r="AV190">
        <f>IF((COUNTA($M190:$M$361)=0),"---",IF(AND(($M190="n"),(COUNTA($M191:$M$361)&gt;0)),(MAX(AV$44:AV189)+1),IF(OR(($M189="r"),($M189="p"),($M189="g")),"---",AV189)))</f>
        <v>---</v>
      </c>
      <c t="str" s="142" r="AW190">
        <f>IF((COUNTA($M190:$M$361)=0),"---",IF(AND(($M190="g"),(COUNTA($M191:$M$361)&gt;0)),(MAX(AW$44:AW189)+1),IF(OR(($M189="r"),($M189="p"),($M189="n")),"---",AW189)))</f>
        <v>---</v>
      </c>
      <c s="676" r="AX190">
        <f>IF((M190="p"),(1+MAX(AX$44:AX189)),0)</f>
        <v>0</v>
      </c>
      <c s="51" r="AY190"/>
      <c s="761" r="AZ190"/>
      <c s="761" r="BA190"/>
      <c s="125" r="BB190"/>
      <c s="125" r="BC190"/>
      <c s="125" r="BD190"/>
      <c s="125" r="BE190"/>
      <c s="125" r="BF190"/>
      <c s="125" r="BG190"/>
      <c s="125" r="BH190"/>
      <c s="125" r="BI190"/>
    </row>
    <row r="191">
      <c s="125" r="A191"/>
      <c s="125" r="B191"/>
      <c s="125" r="C191"/>
      <c s="125" r="D191"/>
      <c s="125" r="E191"/>
      <c s="125" r="F191"/>
      <c s="125" r="G191"/>
      <c s="125" r="H191"/>
      <c s="125" r="I191"/>
      <c s="822" r="J191"/>
      <c s="848" r="K191"/>
      <c s="550" r="L191"/>
      <c s="104" r="M191"/>
      <c s="550" r="N191"/>
      <c t="str" s="589" r="O191">
        <f>IF((AH$28=2),IF(ISBLANK(N191),O190,N191),IF(ISNUMBER(N191),(MAX(O$44:O190)+N191),O190))</f>
        <v/>
      </c>
      <c s="694" r="P191"/>
      <c s="273" r="Q191">
        <f>IF(ISNUMBER(P191),((Q190+P191)-R190),Q190)</f>
        <v>100</v>
      </c>
      <c s="694" r="R191"/>
      <c s="821" r="S191"/>
      <c s="550" r="T191"/>
      <c s="550" r="U191"/>
      <c s="550" r="V191"/>
      <c s="550" r="W191"/>
      <c s="550" r="X191"/>
      <c s="550" r="Y191"/>
      <c t="str" s="470" r="Z191">
        <f>IF(ISNUMBER(S191),(Q191-S191),NA())</f>
        <v>#N/A:explicit</v>
      </c>
      <c t="str" s="470" r="AA191">
        <f>IF(ISNUMBER(T191),IF((AH$22=1),(Z191+T191),(Q191-T191)),NA())</f>
        <v>#N/A:explicit</v>
      </c>
      <c t="str" s="470" r="AB191">
        <f>IF(ISNUMBER(U191),(Q191-U191),NA())</f>
        <v>#N/A:explicit</v>
      </c>
      <c t="str" s="470" r="AC191">
        <f>IF(ISNUMBER(V191),(Q191-V191),NA())</f>
        <v>#N/A:explicit</v>
      </c>
      <c t="str" s="470" r="AD191">
        <f>IF(ISNUMBER(W191),(Q191-W191),NA())</f>
        <v>#N/A:explicit</v>
      </c>
      <c t="str" s="470" r="AE191">
        <f>IF(ISNUMBER(X191),(Q191-X191),NA())</f>
        <v>#N/A:explicit</v>
      </c>
      <c t="str" s="552" r="AF191">
        <f>IF(ISNUMBER(Z191),Z191,"---")</f>
        <v>---</v>
      </c>
      <c s="142" r="AG191"/>
      <c t="str" s="142" r="AH191">
        <f>IF(ISBLANK(L191),NA(),MIN(AF$44:AF$361))</f>
        <v>#N/A:explicit</v>
      </c>
      <c t="str" s="142" r="AI191">
        <f>IF(ISNA(AA191),Z191,AA191)</f>
        <v>#N/A:explicit</v>
      </c>
      <c s="142" r="AJ191">
        <f>MIN(AF$44:AF$361)</f>
        <v>0</v>
      </c>
      <c s="142" r="AK191"/>
      <c t="str" s="142" r="AL191">
        <f>IF(ISNUMBER(AB191),O191,"---")</f>
        <v>---</v>
      </c>
      <c t="str" s="80" r="AM191">
        <f>IF(ISNUMBER(AB191),AB191,"---")</f>
        <v>---</v>
      </c>
      <c s="80" r="AN191"/>
      <c t="str" s="142" r="AO191">
        <f>IF((M191="r"),Z191,NA())</f>
        <v>#N/A:explicit</v>
      </c>
      <c t="str" s="142" r="AP191">
        <f>IF((M191="p"),Z191,NA())</f>
        <v>#N/A:explicit</v>
      </c>
      <c t="str" s="142" r="AQ191">
        <f>IF((M191="n"),Z191,NA())</f>
        <v>#N/A:explicit</v>
      </c>
      <c t="str" s="142" r="AR191">
        <f>IF((M191="g"),Z191,NA())</f>
        <v>#N/A:explicit</v>
      </c>
      <c s="142" r="AS191"/>
      <c t="str" s="142" r="AT191">
        <f>IF((COUNTA($M191:$M$361)=0),"---",IF(AND(($M191="r"),(COUNTA($M192:$M$361)&gt;0)),(MAX(AT$44:AT190)+1),IF(OR(($M190="p"),($M190="n"),($M190="g")),"---",AT190)))</f>
        <v>---</v>
      </c>
      <c t="str" s="142" r="AU191">
        <f>IF((COUNTA($M191:$M$361)=0),"---",IF(AND(($M191="p"),(COUNTA($M192:$M$361)&gt;0)),(MAX(AU$44:AU190)+1),IF(OR(($M190="r"),($M190="n"),($M190="g")),"---",AU190)))</f>
        <v>---</v>
      </c>
      <c t="str" s="142" r="AV191">
        <f>IF((COUNTA($M191:$M$361)=0),"---",IF(AND(($M191="n"),(COUNTA($M192:$M$361)&gt;0)),(MAX(AV$44:AV190)+1),IF(OR(($M190="r"),($M190="p"),($M190="g")),"---",AV190)))</f>
        <v>---</v>
      </c>
      <c t="str" s="142" r="AW191">
        <f>IF((COUNTA($M191:$M$361)=0),"---",IF(AND(($M191="g"),(COUNTA($M192:$M$361)&gt;0)),(MAX(AW$44:AW190)+1),IF(OR(($M190="r"),($M190="p"),($M190="n")),"---",AW190)))</f>
        <v>---</v>
      </c>
      <c s="676" r="AX191">
        <f>IF((M191="p"),(1+MAX(AX$44:AX190)),0)</f>
        <v>0</v>
      </c>
      <c s="51" r="AY191"/>
      <c s="761" r="AZ191"/>
      <c s="761" r="BA191"/>
      <c s="125" r="BB191"/>
      <c s="125" r="BC191"/>
      <c s="125" r="BD191"/>
      <c s="125" r="BE191"/>
      <c s="125" r="BF191"/>
      <c s="125" r="BG191"/>
      <c s="125" r="BH191"/>
      <c s="125" r="BI191"/>
    </row>
    <row r="192">
      <c s="125" r="A192"/>
      <c s="125" r="B192"/>
      <c s="125" r="C192"/>
      <c s="125" r="D192"/>
      <c s="125" r="E192"/>
      <c s="125" r="F192"/>
      <c s="125" r="G192"/>
      <c s="125" r="H192"/>
      <c s="125" r="I192"/>
      <c s="822" r="J192"/>
      <c s="429" r="K192"/>
      <c s="458" r="L192"/>
      <c s="104" r="M192"/>
      <c s="458" r="N192"/>
      <c t="str" s="589" r="O192">
        <f>IF((AH$28=2),IF(ISBLANK(N192),O191,N192),IF(ISNUMBER(N192),(MAX(O$44:O191)+N192),O191))</f>
        <v/>
      </c>
      <c s="228" r="P192"/>
      <c s="273" r="Q192">
        <f>IF(ISNUMBER(P192),((Q191+P192)-R191),Q191)</f>
        <v>100</v>
      </c>
      <c s="228" r="R192"/>
      <c s="610" r="S192"/>
      <c s="458" r="T192"/>
      <c s="458" r="U192"/>
      <c s="458" r="V192"/>
      <c s="458" r="W192"/>
      <c s="458" r="X192"/>
      <c s="458" r="Y192"/>
      <c t="str" s="620" r="Z192">
        <f>IF(ISNUMBER(S192),(Q192-S192),NA())</f>
        <v>#N/A:explicit</v>
      </c>
      <c t="str" s="620" r="AA192">
        <f>IF(ISNUMBER(T192),IF((AH$22=1),(Z192+T192),(Q192-T192)),NA())</f>
        <v>#N/A:explicit</v>
      </c>
      <c t="str" s="620" r="AB192">
        <f>IF(ISNUMBER(U192),(Q192-U192),NA())</f>
        <v>#N/A:explicit</v>
      </c>
      <c t="str" s="620" r="AC192">
        <f>IF(ISNUMBER(V192),(Q192-V192),NA())</f>
        <v>#N/A:explicit</v>
      </c>
      <c t="str" s="620" r="AD192">
        <f>IF(ISNUMBER(W192),(Q192-W192),NA())</f>
        <v>#N/A:explicit</v>
      </c>
      <c t="str" s="620" r="AE192">
        <f>IF(ISNUMBER(X192),(Q192-X192),NA())</f>
        <v>#N/A:explicit</v>
      </c>
      <c t="str" s="552" r="AF192">
        <f>IF(ISNUMBER(Z192),Z192,"---")</f>
        <v>---</v>
      </c>
      <c s="142" r="AG192"/>
      <c t="str" s="142" r="AH192">
        <f>IF(ISBLANK(L192),NA(),MIN(AF$44:AF$361))</f>
        <v>#N/A:explicit</v>
      </c>
      <c t="str" s="142" r="AI192">
        <f>IF(ISNA(AA192),Z192,AA192)</f>
        <v>#N/A:explicit</v>
      </c>
      <c s="142" r="AJ192">
        <f>MIN(AF$44:AF$361)</f>
        <v>0</v>
      </c>
      <c s="142" r="AK192"/>
      <c t="str" s="142" r="AL192">
        <f>IF(ISNUMBER(AB192),O192,"---")</f>
        <v>---</v>
      </c>
      <c t="str" s="80" r="AM192">
        <f>IF(ISNUMBER(AB192),AB192,"---")</f>
        <v>---</v>
      </c>
      <c s="80" r="AN192"/>
      <c t="str" s="142" r="AO192">
        <f>IF((M192="r"),Z192,NA())</f>
        <v>#N/A:explicit</v>
      </c>
      <c t="str" s="142" r="AP192">
        <f>IF((M192="p"),Z192,NA())</f>
        <v>#N/A:explicit</v>
      </c>
      <c t="str" s="142" r="AQ192">
        <f>IF((M192="n"),Z192,NA())</f>
        <v>#N/A:explicit</v>
      </c>
      <c t="str" s="142" r="AR192">
        <f>IF((M192="g"),Z192,NA())</f>
        <v>#N/A:explicit</v>
      </c>
      <c s="142" r="AS192"/>
      <c t="str" s="142" r="AT192">
        <f>IF((COUNTA($M192:$M$361)=0),"---",IF(AND(($M192="r"),(COUNTA($M193:$M$361)&gt;0)),(MAX(AT$44:AT191)+1),IF(OR(($M191="p"),($M191="n"),($M191="g")),"---",AT191)))</f>
        <v>---</v>
      </c>
      <c t="str" s="142" r="AU192">
        <f>IF((COUNTA($M192:$M$361)=0),"---",IF(AND(($M192="p"),(COUNTA($M193:$M$361)&gt;0)),(MAX(AU$44:AU191)+1),IF(OR(($M191="r"),($M191="n"),($M191="g")),"---",AU191)))</f>
        <v>---</v>
      </c>
      <c t="str" s="142" r="AV192">
        <f>IF((COUNTA($M192:$M$361)=0),"---",IF(AND(($M192="n"),(COUNTA($M193:$M$361)&gt;0)),(MAX(AV$44:AV191)+1),IF(OR(($M191="r"),($M191="p"),($M191="g")),"---",AV191)))</f>
        <v>---</v>
      </c>
      <c t="str" s="142" r="AW192">
        <f>IF((COUNTA($M192:$M$361)=0),"---",IF(AND(($M192="g"),(COUNTA($M193:$M$361)&gt;0)),(MAX(AW$44:AW191)+1),IF(OR(($M191="r"),($M191="p"),($M191="n")),"---",AW191)))</f>
        <v>---</v>
      </c>
      <c s="676" r="AX192">
        <f>IF((M192="p"),(1+MAX(AX$44:AX191)),0)</f>
        <v>0</v>
      </c>
      <c s="51" r="AY192"/>
      <c s="761" r="AZ192"/>
      <c s="761" r="BA192"/>
      <c s="125" r="BB192"/>
      <c s="125" r="BC192"/>
      <c s="125" r="BD192"/>
      <c s="125" r="BE192"/>
      <c s="125" r="BF192"/>
      <c s="125" r="BG192"/>
      <c s="125" r="BH192"/>
      <c s="125" r="BI192"/>
    </row>
    <row r="193">
      <c s="125" r="A193"/>
      <c s="125" r="B193"/>
      <c s="125" r="C193"/>
      <c s="125" r="D193"/>
      <c s="125" r="E193"/>
      <c s="125" r="F193"/>
      <c s="125" r="G193"/>
      <c s="125" r="H193"/>
      <c s="125" r="I193"/>
      <c s="822" r="J193"/>
      <c s="429" r="K193"/>
      <c s="458" r="L193"/>
      <c s="104" r="M193"/>
      <c s="458" r="N193"/>
      <c t="str" s="589" r="O193">
        <f>IF((AH$28=2),IF(ISBLANK(N193),O192,N193),IF(ISNUMBER(N193),(MAX(O$44:O192)+N193),O192))</f>
        <v/>
      </c>
      <c s="228" r="P193"/>
      <c s="273" r="Q193">
        <f>IF(ISNUMBER(P193),((Q192+P193)-R192),Q192)</f>
        <v>100</v>
      </c>
      <c s="228" r="R193"/>
      <c s="610" r="S193"/>
      <c s="458" r="T193"/>
      <c s="458" r="U193"/>
      <c s="458" r="V193"/>
      <c s="458" r="W193"/>
      <c s="458" r="X193"/>
      <c s="458" r="Y193"/>
      <c t="str" s="620" r="Z193">
        <f>IF(ISNUMBER(S193),(Q193-S193),NA())</f>
        <v>#N/A:explicit</v>
      </c>
      <c t="str" s="620" r="AA193">
        <f>IF(ISNUMBER(T193),IF((AH$22=1),(Z193+T193),(Q193-T193)),NA())</f>
        <v>#N/A:explicit</v>
      </c>
      <c t="str" s="620" r="AB193">
        <f>IF(ISNUMBER(U193),(Q193-U193),NA())</f>
        <v>#N/A:explicit</v>
      </c>
      <c t="str" s="620" r="AC193">
        <f>IF(ISNUMBER(V193),(Q193-V193),NA())</f>
        <v>#N/A:explicit</v>
      </c>
      <c t="str" s="620" r="AD193">
        <f>IF(ISNUMBER(W193),(Q193-W193),NA())</f>
        <v>#N/A:explicit</v>
      </c>
      <c t="str" s="620" r="AE193">
        <f>IF(ISNUMBER(X193),(Q193-X193),NA())</f>
        <v>#N/A:explicit</v>
      </c>
      <c t="str" s="552" r="AF193">
        <f>IF(ISNUMBER(Z193),Z193,"---")</f>
        <v>---</v>
      </c>
      <c s="142" r="AG193"/>
      <c t="str" s="142" r="AH193">
        <f>IF(ISBLANK(L193),NA(),MIN(AF$44:AF$361))</f>
        <v>#N/A:explicit</v>
      </c>
      <c t="str" s="142" r="AI193">
        <f>IF(ISNA(AA193),Z193,AA193)</f>
        <v>#N/A:explicit</v>
      </c>
      <c s="142" r="AJ193">
        <f>MIN(AF$44:AF$361)</f>
        <v>0</v>
      </c>
      <c s="142" r="AK193"/>
      <c t="str" s="142" r="AL193">
        <f>IF(ISNUMBER(AB193),O193,"---")</f>
        <v>---</v>
      </c>
      <c t="str" s="80" r="AM193">
        <f>IF(ISNUMBER(AB193),AB193,"---")</f>
        <v>---</v>
      </c>
      <c s="80" r="AN193"/>
      <c t="str" s="142" r="AO193">
        <f>IF((M193="r"),Z193,NA())</f>
        <v>#N/A:explicit</v>
      </c>
      <c t="str" s="142" r="AP193">
        <f>IF((M193="p"),Z193,NA())</f>
        <v>#N/A:explicit</v>
      </c>
      <c t="str" s="142" r="AQ193">
        <f>IF((M193="n"),Z193,NA())</f>
        <v>#N/A:explicit</v>
      </c>
      <c t="str" s="142" r="AR193">
        <f>IF((M193="g"),Z193,NA())</f>
        <v>#N/A:explicit</v>
      </c>
      <c s="142" r="AS193"/>
      <c t="str" s="142" r="AT193">
        <f>IF((COUNTA($M193:$M$361)=0),"---",IF(AND(($M193="r"),(COUNTA($M194:$M$361)&gt;0)),(MAX(AT$44:AT192)+1),IF(OR(($M192="p"),($M192="n"),($M192="g")),"---",AT192)))</f>
        <v>---</v>
      </c>
      <c t="str" s="142" r="AU193">
        <f>IF((COUNTA($M193:$M$361)=0),"---",IF(AND(($M193="p"),(COUNTA($M194:$M$361)&gt;0)),(MAX(AU$44:AU192)+1),IF(OR(($M192="r"),($M192="n"),($M192="g")),"---",AU192)))</f>
        <v>---</v>
      </c>
      <c t="str" s="142" r="AV193">
        <f>IF((COUNTA($M193:$M$361)=0),"---",IF(AND(($M193="n"),(COUNTA($M194:$M$361)&gt;0)),(MAX(AV$44:AV192)+1),IF(OR(($M192="r"),($M192="p"),($M192="g")),"---",AV192)))</f>
        <v>---</v>
      </c>
      <c t="str" s="142" r="AW193">
        <f>IF((COUNTA($M193:$M$361)=0),"---",IF(AND(($M193="g"),(COUNTA($M194:$M$361)&gt;0)),(MAX(AW$44:AW192)+1),IF(OR(($M192="r"),($M192="p"),($M192="n")),"---",AW192)))</f>
        <v>---</v>
      </c>
      <c s="676" r="AX193">
        <f>IF((M193="p"),(1+MAX(AX$44:AX192)),0)</f>
        <v>0</v>
      </c>
      <c s="51" r="AY193"/>
      <c s="761" r="AZ193"/>
      <c s="761" r="BA193"/>
      <c s="125" r="BB193"/>
      <c s="125" r="BC193"/>
      <c s="125" r="BD193"/>
      <c s="125" r="BE193"/>
      <c s="125" r="BF193"/>
      <c s="125" r="BG193"/>
      <c s="125" r="BH193"/>
      <c s="125" r="BI193"/>
    </row>
    <row r="194">
      <c s="125" r="A194"/>
      <c s="125" r="B194"/>
      <c s="125" r="C194"/>
      <c s="125" r="D194"/>
      <c s="125" r="E194"/>
      <c s="125" r="F194"/>
      <c s="125" r="G194"/>
      <c s="125" r="H194"/>
      <c s="125" r="I194"/>
      <c s="822" r="J194"/>
      <c s="429" r="K194"/>
      <c s="458" r="L194"/>
      <c s="104" r="M194"/>
      <c s="458" r="N194"/>
      <c t="str" s="589" r="O194">
        <f>IF((AH$28=2),IF(ISBLANK(N194),O193,N194),IF(ISNUMBER(N194),(MAX(O$44:O193)+N194),O193))</f>
        <v/>
      </c>
      <c s="228" r="P194"/>
      <c s="273" r="Q194">
        <f>IF(ISNUMBER(P194),((Q193+P194)-R193),Q193)</f>
        <v>100</v>
      </c>
      <c s="228" r="R194"/>
      <c s="610" r="S194"/>
      <c s="458" r="T194"/>
      <c s="458" r="U194"/>
      <c s="458" r="V194"/>
      <c s="458" r="W194"/>
      <c s="458" r="X194"/>
      <c s="458" r="Y194"/>
      <c t="str" s="620" r="Z194">
        <f>IF(ISNUMBER(S194),(Q194-S194),NA())</f>
        <v>#N/A:explicit</v>
      </c>
      <c t="str" s="620" r="AA194">
        <f>IF(ISNUMBER(T194),IF((AH$22=1),(Z194+T194),(Q194-T194)),NA())</f>
        <v>#N/A:explicit</v>
      </c>
      <c t="str" s="620" r="AB194">
        <f>IF(ISNUMBER(U194),(Q194-U194),NA())</f>
        <v>#N/A:explicit</v>
      </c>
      <c t="str" s="620" r="AC194">
        <f>IF(ISNUMBER(V194),(Q194-V194),NA())</f>
        <v>#N/A:explicit</v>
      </c>
      <c t="str" s="620" r="AD194">
        <f>IF(ISNUMBER(W194),(Q194-W194),NA())</f>
        <v>#N/A:explicit</v>
      </c>
      <c t="str" s="620" r="AE194">
        <f>IF(ISNUMBER(X194),(Q194-X194),NA())</f>
        <v>#N/A:explicit</v>
      </c>
      <c t="str" s="552" r="AF194">
        <f>IF(ISNUMBER(Z194),Z194,"---")</f>
        <v>---</v>
      </c>
      <c s="142" r="AG194"/>
      <c t="str" s="142" r="AH194">
        <f>IF(ISBLANK(L194),NA(),MIN(AF$44:AF$361))</f>
        <v>#N/A:explicit</v>
      </c>
      <c t="str" s="142" r="AI194">
        <f>IF(ISNA(AA194),Z194,AA194)</f>
        <v>#N/A:explicit</v>
      </c>
      <c s="142" r="AJ194">
        <f>MIN(AF$44:AF$361)</f>
        <v>0</v>
      </c>
      <c s="142" r="AK194"/>
      <c t="str" s="142" r="AL194">
        <f>IF(ISNUMBER(AB194),O194,"---")</f>
        <v>---</v>
      </c>
      <c t="str" s="80" r="AM194">
        <f>IF(ISNUMBER(AB194),AB194,"---")</f>
        <v>---</v>
      </c>
      <c s="80" r="AN194"/>
      <c t="str" s="142" r="AO194">
        <f>IF((M194="r"),Z194,NA())</f>
        <v>#N/A:explicit</v>
      </c>
      <c t="str" s="142" r="AP194">
        <f>IF((M194="p"),Z194,NA())</f>
        <v>#N/A:explicit</v>
      </c>
      <c t="str" s="142" r="AQ194">
        <f>IF((M194="n"),Z194,NA())</f>
        <v>#N/A:explicit</v>
      </c>
      <c t="str" s="142" r="AR194">
        <f>IF((M194="g"),Z194,NA())</f>
        <v>#N/A:explicit</v>
      </c>
      <c s="142" r="AS194"/>
      <c t="str" s="142" r="AT194">
        <f>IF((COUNTA($M194:$M$361)=0),"---",IF(AND(($M194="r"),(COUNTA($M195:$M$361)&gt;0)),(MAX(AT$44:AT193)+1),IF(OR(($M193="p"),($M193="n"),($M193="g")),"---",AT193)))</f>
        <v>---</v>
      </c>
      <c t="str" s="142" r="AU194">
        <f>IF((COUNTA($M194:$M$361)=0),"---",IF(AND(($M194="p"),(COUNTA($M195:$M$361)&gt;0)),(MAX(AU$44:AU193)+1),IF(OR(($M193="r"),($M193="n"),($M193="g")),"---",AU193)))</f>
        <v>---</v>
      </c>
      <c t="str" s="142" r="AV194">
        <f>IF((COUNTA($M194:$M$361)=0),"---",IF(AND(($M194="n"),(COUNTA($M195:$M$361)&gt;0)),(MAX(AV$44:AV193)+1),IF(OR(($M193="r"),($M193="p"),($M193="g")),"---",AV193)))</f>
        <v>---</v>
      </c>
      <c t="str" s="142" r="AW194">
        <f>IF((COUNTA($M194:$M$361)=0),"---",IF(AND(($M194="g"),(COUNTA($M195:$M$361)&gt;0)),(MAX(AW$44:AW193)+1),IF(OR(($M193="r"),($M193="p"),($M193="n")),"---",AW193)))</f>
        <v>---</v>
      </c>
      <c s="676" r="AX194">
        <f>IF((M194="p"),(1+MAX(AX$44:AX193)),0)</f>
        <v>0</v>
      </c>
      <c s="51" r="AY194"/>
      <c s="761" r="AZ194"/>
      <c s="761" r="BA194"/>
      <c s="125" r="BB194"/>
      <c s="125" r="BC194"/>
      <c s="125" r="BD194"/>
      <c s="125" r="BE194"/>
      <c s="125" r="BF194"/>
      <c s="125" r="BG194"/>
      <c s="125" r="BH194"/>
      <c s="125" r="BI194"/>
    </row>
    <row r="195">
      <c s="125" r="A195"/>
      <c s="125" r="B195"/>
      <c s="125" r="C195"/>
      <c s="125" r="D195"/>
      <c s="125" r="E195"/>
      <c s="125" r="F195"/>
      <c s="125" r="G195"/>
      <c s="125" r="H195"/>
      <c s="125" r="I195"/>
      <c s="822" r="J195"/>
      <c s="848" r="K195"/>
      <c s="550" r="L195"/>
      <c s="104" r="M195"/>
      <c s="550" r="N195"/>
      <c t="str" s="589" r="O195">
        <f>IF((AH$28=2),IF(ISBLANK(N195),O194,N195),IF(ISNUMBER(N195),(MAX(O$44:O194)+N195),O194))</f>
        <v/>
      </c>
      <c s="694" r="P195"/>
      <c s="273" r="Q195">
        <f>IF(ISNUMBER(P195),((Q194+P195)-R194),Q194)</f>
        <v>100</v>
      </c>
      <c s="694" r="R195"/>
      <c s="821" r="S195"/>
      <c s="550" r="T195"/>
      <c s="550" r="U195"/>
      <c s="550" r="V195"/>
      <c s="550" r="W195"/>
      <c s="550" r="X195"/>
      <c s="550" r="Y195"/>
      <c t="str" s="470" r="Z195">
        <f>IF(ISNUMBER(S195),(Q195-S195),NA())</f>
        <v>#N/A:explicit</v>
      </c>
      <c t="str" s="470" r="AA195">
        <f>IF(ISNUMBER(T195),IF((AH$22=1),(Z195+T195),(Q195-T195)),NA())</f>
        <v>#N/A:explicit</v>
      </c>
      <c t="str" s="470" r="AB195">
        <f>IF(ISNUMBER(U195),(Q195-U195),NA())</f>
        <v>#N/A:explicit</v>
      </c>
      <c t="str" s="470" r="AC195">
        <f>IF(ISNUMBER(V195),(Q195-V195),NA())</f>
        <v>#N/A:explicit</v>
      </c>
      <c t="str" s="470" r="AD195">
        <f>IF(ISNUMBER(W195),(Q195-W195),NA())</f>
        <v>#N/A:explicit</v>
      </c>
      <c t="str" s="470" r="AE195">
        <f>IF(ISNUMBER(X195),(Q195-X195),NA())</f>
        <v>#N/A:explicit</v>
      </c>
      <c t="str" s="552" r="AF195">
        <f>IF(ISNUMBER(Z195),Z195,"---")</f>
        <v>---</v>
      </c>
      <c s="142" r="AG195"/>
      <c t="str" s="142" r="AH195">
        <f>IF(ISBLANK(L195),NA(),MIN(AF$44:AF$361))</f>
        <v>#N/A:explicit</v>
      </c>
      <c t="str" s="142" r="AI195">
        <f>IF(ISNA(AA195),Z195,AA195)</f>
        <v>#N/A:explicit</v>
      </c>
      <c s="142" r="AJ195">
        <f>MIN(AF$44:AF$361)</f>
        <v>0</v>
      </c>
      <c s="142" r="AK195"/>
      <c t="str" s="142" r="AL195">
        <f>IF(ISNUMBER(AB195),O195,"---")</f>
        <v>---</v>
      </c>
      <c t="str" s="80" r="AM195">
        <f>IF(ISNUMBER(AB195),AB195,"---")</f>
        <v>---</v>
      </c>
      <c s="80" r="AN195"/>
      <c t="str" s="142" r="AO195">
        <f>IF((M195="r"),Z195,NA())</f>
        <v>#N/A:explicit</v>
      </c>
      <c t="str" s="142" r="AP195">
        <f>IF((M195="p"),Z195,NA())</f>
        <v>#N/A:explicit</v>
      </c>
      <c t="str" s="142" r="AQ195">
        <f>IF((M195="n"),Z195,NA())</f>
        <v>#N/A:explicit</v>
      </c>
      <c t="str" s="142" r="AR195">
        <f>IF((M195="g"),Z195,NA())</f>
        <v>#N/A:explicit</v>
      </c>
      <c s="142" r="AS195"/>
      <c t="str" s="142" r="AT195">
        <f>IF((COUNTA($M195:$M$361)=0),"---",IF(AND(($M195="r"),(COUNTA($M196:$M$361)&gt;0)),(MAX(AT$44:AT194)+1),IF(OR(($M194="p"),($M194="n"),($M194="g")),"---",AT194)))</f>
        <v>---</v>
      </c>
      <c t="str" s="142" r="AU195">
        <f>IF((COUNTA($M195:$M$361)=0),"---",IF(AND(($M195="p"),(COUNTA($M196:$M$361)&gt;0)),(MAX(AU$44:AU194)+1),IF(OR(($M194="r"),($M194="n"),($M194="g")),"---",AU194)))</f>
        <v>---</v>
      </c>
      <c t="str" s="142" r="AV195">
        <f>IF((COUNTA($M195:$M$361)=0),"---",IF(AND(($M195="n"),(COUNTA($M196:$M$361)&gt;0)),(MAX(AV$44:AV194)+1),IF(OR(($M194="r"),($M194="p"),($M194="g")),"---",AV194)))</f>
        <v>---</v>
      </c>
      <c t="str" s="142" r="AW195">
        <f>IF((COUNTA($M195:$M$361)=0),"---",IF(AND(($M195="g"),(COUNTA($M196:$M$361)&gt;0)),(MAX(AW$44:AW194)+1),IF(OR(($M194="r"),($M194="p"),($M194="n")),"---",AW194)))</f>
        <v>---</v>
      </c>
      <c s="676" r="AX195">
        <f>IF((M195="p"),(1+MAX(AX$44:AX194)),0)</f>
        <v>0</v>
      </c>
      <c s="51" r="AY195"/>
      <c s="761" r="AZ195"/>
      <c s="761" r="BA195"/>
      <c s="125" r="BB195"/>
      <c s="125" r="BC195"/>
      <c s="125" r="BD195"/>
      <c s="125" r="BE195"/>
      <c s="125" r="BF195"/>
      <c s="125" r="BG195"/>
      <c s="125" r="BH195"/>
      <c s="125" r="BI195"/>
    </row>
    <row r="196">
      <c s="125" r="A196"/>
      <c s="125" r="B196"/>
      <c s="125" r="C196"/>
      <c s="125" r="D196"/>
      <c s="125" r="E196"/>
      <c s="125" r="F196"/>
      <c s="125" r="G196"/>
      <c s="125" r="H196"/>
      <c s="125" r="I196"/>
      <c s="822" r="J196"/>
      <c s="848" r="K196"/>
      <c s="550" r="L196"/>
      <c s="104" r="M196"/>
      <c s="550" r="N196"/>
      <c t="str" s="589" r="O196">
        <f>IF((AH$28=2),IF(ISBLANK(N196),O195,N196),IF(ISNUMBER(N196),(MAX(O$44:O195)+N196),O195))</f>
        <v/>
      </c>
      <c s="694" r="P196"/>
      <c s="273" r="Q196">
        <f>IF(ISNUMBER(P196),((Q195+P196)-R195),Q195)</f>
        <v>100</v>
      </c>
      <c s="694" r="R196"/>
      <c s="821" r="S196"/>
      <c s="550" r="T196"/>
      <c s="550" r="U196"/>
      <c s="550" r="V196"/>
      <c s="550" r="W196"/>
      <c s="550" r="X196"/>
      <c s="550" r="Y196"/>
      <c t="str" s="470" r="Z196">
        <f>IF(ISNUMBER(S196),(Q196-S196),NA())</f>
        <v>#N/A:explicit</v>
      </c>
      <c t="str" s="470" r="AA196">
        <f>IF(ISNUMBER(T196),IF((AH$22=1),(Z196+T196),(Q196-T196)),NA())</f>
        <v>#N/A:explicit</v>
      </c>
      <c t="str" s="470" r="AB196">
        <f>IF(ISNUMBER(U196),(Q196-U196),NA())</f>
        <v>#N/A:explicit</v>
      </c>
      <c t="str" s="470" r="AC196">
        <f>IF(ISNUMBER(V196),(Q196-V196),NA())</f>
        <v>#N/A:explicit</v>
      </c>
      <c t="str" s="470" r="AD196">
        <f>IF(ISNUMBER(W196),(Q196-W196),NA())</f>
        <v>#N/A:explicit</v>
      </c>
      <c t="str" s="470" r="AE196">
        <f>IF(ISNUMBER(X196),(Q196-X196),NA())</f>
        <v>#N/A:explicit</v>
      </c>
      <c t="str" s="552" r="AF196">
        <f>IF(ISNUMBER(Z196),Z196,"---")</f>
        <v>---</v>
      </c>
      <c s="142" r="AG196"/>
      <c t="str" s="142" r="AH196">
        <f>IF(ISBLANK(L196),NA(),MIN(AF$44:AF$361))</f>
        <v>#N/A:explicit</v>
      </c>
      <c t="str" s="142" r="AI196">
        <f>IF(ISNA(AA196),Z196,AA196)</f>
        <v>#N/A:explicit</v>
      </c>
      <c s="142" r="AJ196">
        <f>MIN(AF$44:AF$361)</f>
        <v>0</v>
      </c>
      <c s="142" r="AK196"/>
      <c t="str" s="142" r="AL196">
        <f>IF(ISNUMBER(AB196),O196,"---")</f>
        <v>---</v>
      </c>
      <c t="str" s="80" r="AM196">
        <f>IF(ISNUMBER(AB196),AB196,"---")</f>
        <v>---</v>
      </c>
      <c s="80" r="AN196"/>
      <c t="str" s="142" r="AO196">
        <f>IF((M196="r"),Z196,NA())</f>
        <v>#N/A:explicit</v>
      </c>
      <c t="str" s="142" r="AP196">
        <f>IF((M196="p"),Z196,NA())</f>
        <v>#N/A:explicit</v>
      </c>
      <c t="str" s="142" r="AQ196">
        <f>IF((M196="n"),Z196,NA())</f>
        <v>#N/A:explicit</v>
      </c>
      <c t="str" s="142" r="AR196">
        <f>IF((M196="g"),Z196,NA())</f>
        <v>#N/A:explicit</v>
      </c>
      <c s="142" r="AS196"/>
      <c t="str" s="142" r="AT196">
        <f>IF((COUNTA($M196:$M$361)=0),"---",IF(AND(($M196="r"),(COUNTA($M197:$M$361)&gt;0)),(MAX(AT$44:AT195)+1),IF(OR(($M195="p"),($M195="n"),($M195="g")),"---",AT195)))</f>
        <v>---</v>
      </c>
      <c t="str" s="142" r="AU196">
        <f>IF((COUNTA($M196:$M$361)=0),"---",IF(AND(($M196="p"),(COUNTA($M197:$M$361)&gt;0)),(MAX(AU$44:AU195)+1),IF(OR(($M195="r"),($M195="n"),($M195="g")),"---",AU195)))</f>
        <v>---</v>
      </c>
      <c t="str" s="142" r="AV196">
        <f>IF((COUNTA($M196:$M$361)=0),"---",IF(AND(($M196="n"),(COUNTA($M197:$M$361)&gt;0)),(MAX(AV$44:AV195)+1),IF(OR(($M195="r"),($M195="p"),($M195="g")),"---",AV195)))</f>
        <v>---</v>
      </c>
      <c t="str" s="142" r="AW196">
        <f>IF((COUNTA($M196:$M$361)=0),"---",IF(AND(($M196="g"),(COUNTA($M197:$M$361)&gt;0)),(MAX(AW$44:AW195)+1),IF(OR(($M195="r"),($M195="p"),($M195="n")),"---",AW195)))</f>
        <v>---</v>
      </c>
      <c s="676" r="AX196">
        <f>IF((M196="p"),(1+MAX(AX$44:AX195)),0)</f>
        <v>0</v>
      </c>
      <c s="51" r="AY196"/>
      <c s="761" r="AZ196"/>
      <c s="761" r="BA196"/>
      <c s="125" r="BB196"/>
      <c s="125" r="BC196"/>
      <c s="125" r="BD196"/>
      <c s="125" r="BE196"/>
      <c s="125" r="BF196"/>
      <c s="125" r="BG196"/>
      <c s="125" r="BH196"/>
      <c s="125" r="BI196"/>
    </row>
    <row r="197">
      <c s="125" r="A197"/>
      <c s="125" r="B197"/>
      <c s="125" r="C197"/>
      <c s="125" r="D197"/>
      <c s="125" r="E197"/>
      <c s="125" r="F197"/>
      <c s="125" r="G197"/>
      <c s="125" r="H197"/>
      <c s="125" r="I197"/>
      <c s="822" r="J197"/>
      <c s="848" r="K197"/>
      <c s="550" r="L197"/>
      <c s="104" r="M197"/>
      <c s="550" r="N197"/>
      <c t="str" s="589" r="O197">
        <f>IF((AH$28=2),IF(ISBLANK(N197),O196,N197),IF(ISNUMBER(N197),(MAX(O$44:O196)+N197),O196))</f>
        <v/>
      </c>
      <c s="694" r="P197"/>
      <c s="273" r="Q197">
        <f>IF(ISNUMBER(P197),((Q196+P197)-R196),Q196)</f>
        <v>100</v>
      </c>
      <c s="694" r="R197"/>
      <c s="821" r="S197"/>
      <c s="550" r="T197"/>
      <c s="550" r="U197"/>
      <c s="550" r="V197"/>
      <c s="550" r="W197"/>
      <c s="550" r="X197"/>
      <c s="550" r="Y197"/>
      <c t="str" s="470" r="Z197">
        <f>IF(ISNUMBER(S197),(Q197-S197),NA())</f>
        <v>#N/A:explicit</v>
      </c>
      <c t="str" s="470" r="AA197">
        <f>IF(ISNUMBER(T197),IF((AH$22=1),(Z197+T197),(Q197-T197)),NA())</f>
        <v>#N/A:explicit</v>
      </c>
      <c t="str" s="470" r="AB197">
        <f>IF(ISNUMBER(U197),(Q197-U197),NA())</f>
        <v>#N/A:explicit</v>
      </c>
      <c t="str" s="470" r="AC197">
        <f>IF(ISNUMBER(V197),(Q197-V197),NA())</f>
        <v>#N/A:explicit</v>
      </c>
      <c t="str" s="470" r="AD197">
        <f>IF(ISNUMBER(W197),(Q197-W197),NA())</f>
        <v>#N/A:explicit</v>
      </c>
      <c t="str" s="470" r="AE197">
        <f>IF(ISNUMBER(X197),(Q197-X197),NA())</f>
        <v>#N/A:explicit</v>
      </c>
      <c t="str" s="552" r="AF197">
        <f>IF(ISNUMBER(Z197),Z197,"---")</f>
        <v>---</v>
      </c>
      <c s="142" r="AG197"/>
      <c t="str" s="142" r="AH197">
        <f>IF(ISBLANK(L197),NA(),MIN(AF$44:AF$361))</f>
        <v>#N/A:explicit</v>
      </c>
      <c t="str" s="142" r="AI197">
        <f>IF(ISNA(AA197),Z197,AA197)</f>
        <v>#N/A:explicit</v>
      </c>
      <c s="142" r="AJ197">
        <f>MIN(AF$44:AF$361)</f>
        <v>0</v>
      </c>
      <c s="142" r="AK197"/>
      <c t="str" s="142" r="AL197">
        <f>IF(ISNUMBER(AB197),O197,"---")</f>
        <v>---</v>
      </c>
      <c t="str" s="80" r="AM197">
        <f>IF(ISNUMBER(AB197),AB197,"---")</f>
        <v>---</v>
      </c>
      <c s="80" r="AN197"/>
      <c t="str" s="142" r="AO197">
        <f>IF((M197="r"),Z197,NA())</f>
        <v>#N/A:explicit</v>
      </c>
      <c t="str" s="142" r="AP197">
        <f>IF((M197="p"),Z197,NA())</f>
        <v>#N/A:explicit</v>
      </c>
      <c t="str" s="142" r="AQ197">
        <f>IF((M197="n"),Z197,NA())</f>
        <v>#N/A:explicit</v>
      </c>
      <c t="str" s="142" r="AR197">
        <f>IF((M197="g"),Z197,NA())</f>
        <v>#N/A:explicit</v>
      </c>
      <c s="142" r="AS197"/>
      <c t="str" s="142" r="AT197">
        <f>IF((COUNTA($M197:$M$361)=0),"---",IF(AND(($M197="r"),(COUNTA($M198:$M$361)&gt;0)),(MAX(AT$44:AT196)+1),IF(OR(($M196="p"),($M196="n"),($M196="g")),"---",AT196)))</f>
        <v>---</v>
      </c>
      <c t="str" s="142" r="AU197">
        <f>IF((COUNTA($M197:$M$361)=0),"---",IF(AND(($M197="p"),(COUNTA($M198:$M$361)&gt;0)),(MAX(AU$44:AU196)+1),IF(OR(($M196="r"),($M196="n"),($M196="g")),"---",AU196)))</f>
        <v>---</v>
      </c>
      <c t="str" s="142" r="AV197">
        <f>IF((COUNTA($M197:$M$361)=0),"---",IF(AND(($M197="n"),(COUNTA($M198:$M$361)&gt;0)),(MAX(AV$44:AV196)+1),IF(OR(($M196="r"),($M196="p"),($M196="g")),"---",AV196)))</f>
        <v>---</v>
      </c>
      <c t="str" s="142" r="AW197">
        <f>IF((COUNTA($M197:$M$361)=0),"---",IF(AND(($M197="g"),(COUNTA($M198:$M$361)&gt;0)),(MAX(AW$44:AW196)+1),IF(OR(($M196="r"),($M196="p"),($M196="n")),"---",AW196)))</f>
        <v>---</v>
      </c>
      <c s="676" r="AX197">
        <f>IF((M197="p"),(1+MAX(AX$44:AX196)),0)</f>
        <v>0</v>
      </c>
      <c s="51" r="AY197"/>
      <c s="761" r="AZ197"/>
      <c s="761" r="BA197"/>
      <c s="125" r="BB197"/>
      <c s="125" r="BC197"/>
      <c s="125" r="BD197"/>
      <c s="125" r="BE197"/>
      <c s="125" r="BF197"/>
      <c s="125" r="BG197"/>
      <c s="125" r="BH197"/>
      <c s="125" r="BI197"/>
    </row>
    <row r="198">
      <c s="125" r="A198"/>
      <c s="125" r="B198"/>
      <c s="125" r="C198"/>
      <c s="125" r="D198"/>
      <c s="125" r="E198"/>
      <c s="125" r="F198"/>
      <c s="125" r="G198"/>
      <c s="125" r="H198"/>
      <c s="125" r="I198"/>
      <c s="822" r="J198"/>
      <c s="429" r="K198"/>
      <c s="458" r="L198"/>
      <c s="104" r="M198"/>
      <c s="458" r="N198"/>
      <c t="str" s="589" r="O198">
        <f>IF((AH$28=2),IF(ISBLANK(N198),O197,N198),IF(ISNUMBER(N198),(MAX(O$44:O197)+N198),O197))</f>
        <v/>
      </c>
      <c s="228" r="P198"/>
      <c s="273" r="Q198">
        <f>IF(ISNUMBER(P198),((Q197+P198)-R197),Q197)</f>
        <v>100</v>
      </c>
      <c s="228" r="R198"/>
      <c s="610" r="S198"/>
      <c s="458" r="T198"/>
      <c s="458" r="U198"/>
      <c s="458" r="V198"/>
      <c s="458" r="W198"/>
      <c s="458" r="X198"/>
      <c s="458" r="Y198"/>
      <c t="str" s="620" r="Z198">
        <f>IF(ISNUMBER(S198),(Q198-S198),NA())</f>
        <v>#N/A:explicit</v>
      </c>
      <c t="str" s="620" r="AA198">
        <f>IF(ISNUMBER(T198),IF((AH$22=1),(Z198+T198),(Q198-T198)),NA())</f>
        <v>#N/A:explicit</v>
      </c>
      <c t="str" s="620" r="AB198">
        <f>IF(ISNUMBER(U198),(Q198-U198),NA())</f>
        <v>#N/A:explicit</v>
      </c>
      <c t="str" s="620" r="AC198">
        <f>IF(ISNUMBER(V198),(Q198-V198),NA())</f>
        <v>#N/A:explicit</v>
      </c>
      <c t="str" s="620" r="AD198">
        <f>IF(ISNUMBER(W198),(Q198-W198),NA())</f>
        <v>#N/A:explicit</v>
      </c>
      <c t="str" s="620" r="AE198">
        <f>IF(ISNUMBER(X198),(Q198-X198),NA())</f>
        <v>#N/A:explicit</v>
      </c>
      <c t="str" s="552" r="AF198">
        <f>IF(ISNUMBER(Z198),Z198,"---")</f>
        <v>---</v>
      </c>
      <c s="142" r="AG198"/>
      <c t="str" s="142" r="AH198">
        <f>IF(ISBLANK(L198),NA(),MIN(AF$44:AF$361))</f>
        <v>#N/A:explicit</v>
      </c>
      <c t="str" s="142" r="AI198">
        <f>IF(ISNA(AA198),Z198,AA198)</f>
        <v>#N/A:explicit</v>
      </c>
      <c s="142" r="AJ198">
        <f>MIN(AF$44:AF$361)</f>
        <v>0</v>
      </c>
      <c s="142" r="AK198"/>
      <c t="str" s="142" r="AL198">
        <f>IF(ISNUMBER(AB198),O198,"---")</f>
        <v>---</v>
      </c>
      <c t="str" s="80" r="AM198">
        <f>IF(ISNUMBER(AB198),AB198,"---")</f>
        <v>---</v>
      </c>
      <c s="80" r="AN198"/>
      <c t="str" s="142" r="AO198">
        <f>IF((M198="r"),Z198,NA())</f>
        <v>#N/A:explicit</v>
      </c>
      <c t="str" s="142" r="AP198">
        <f>IF((M198="p"),Z198,NA())</f>
        <v>#N/A:explicit</v>
      </c>
      <c t="str" s="142" r="AQ198">
        <f>IF((M198="n"),Z198,NA())</f>
        <v>#N/A:explicit</v>
      </c>
      <c t="str" s="142" r="AR198">
        <f>IF((M198="g"),Z198,NA())</f>
        <v>#N/A:explicit</v>
      </c>
      <c s="142" r="AS198"/>
      <c t="str" s="142" r="AT198">
        <f>IF((COUNTA($M198:$M$361)=0),"---",IF(AND(($M198="r"),(COUNTA($M199:$M$361)&gt;0)),(MAX(AT$44:AT197)+1),IF(OR(($M197="p"),($M197="n"),($M197="g")),"---",AT197)))</f>
        <v>---</v>
      </c>
      <c t="str" s="142" r="AU198">
        <f>IF((COUNTA($M198:$M$361)=0),"---",IF(AND(($M198="p"),(COUNTA($M199:$M$361)&gt;0)),(MAX(AU$44:AU197)+1),IF(OR(($M197="r"),($M197="n"),($M197="g")),"---",AU197)))</f>
        <v>---</v>
      </c>
      <c t="str" s="142" r="AV198">
        <f>IF((COUNTA($M198:$M$361)=0),"---",IF(AND(($M198="n"),(COUNTA($M199:$M$361)&gt;0)),(MAX(AV$44:AV197)+1),IF(OR(($M197="r"),($M197="p"),($M197="g")),"---",AV197)))</f>
        <v>---</v>
      </c>
      <c t="str" s="142" r="AW198">
        <f>IF((COUNTA($M198:$M$361)=0),"---",IF(AND(($M198="g"),(COUNTA($M199:$M$361)&gt;0)),(MAX(AW$44:AW197)+1),IF(OR(($M197="r"),($M197="p"),($M197="n")),"---",AW197)))</f>
        <v>---</v>
      </c>
      <c s="676" r="AX198">
        <f>IF((M198="p"),(1+MAX(AX$44:AX197)),0)</f>
        <v>0</v>
      </c>
      <c s="51" r="AY198"/>
      <c s="761" r="AZ198"/>
      <c s="761" r="BA198"/>
      <c s="125" r="BB198"/>
      <c s="125" r="BC198"/>
      <c s="125" r="BD198"/>
      <c s="125" r="BE198"/>
      <c s="125" r="BF198"/>
      <c s="125" r="BG198"/>
      <c s="125" r="BH198"/>
      <c s="125" r="BI198"/>
    </row>
    <row r="199">
      <c s="125" r="A199"/>
      <c s="125" r="B199"/>
      <c s="125" r="C199"/>
      <c s="125" r="D199"/>
      <c s="125" r="E199"/>
      <c s="125" r="F199"/>
      <c s="125" r="G199"/>
      <c s="125" r="H199"/>
      <c s="125" r="I199"/>
      <c s="822" r="J199"/>
      <c s="429" r="K199"/>
      <c s="458" r="L199"/>
      <c s="104" r="M199"/>
      <c s="458" r="N199"/>
      <c t="str" s="589" r="O199">
        <f>IF((AH$28=2),IF(ISBLANK(N199),O198,N199),IF(ISNUMBER(N199),(MAX(O$44:O198)+N199),O198))</f>
        <v/>
      </c>
      <c s="228" r="P199"/>
      <c s="273" r="Q199">
        <f>IF(ISNUMBER(P199),((Q198+P199)-R198),Q198)</f>
        <v>100</v>
      </c>
      <c s="228" r="R199"/>
      <c s="610" r="S199"/>
      <c s="458" r="T199"/>
      <c s="458" r="U199"/>
      <c s="458" r="V199"/>
      <c s="458" r="W199"/>
      <c s="458" r="X199"/>
      <c s="458" r="Y199"/>
      <c t="str" s="620" r="Z199">
        <f>IF(ISNUMBER(S199),(Q199-S199),NA())</f>
        <v>#N/A:explicit</v>
      </c>
      <c t="str" s="620" r="AA199">
        <f>IF(ISNUMBER(T199),IF((AH$22=1),(Z199+T199),(Q199-T199)),NA())</f>
        <v>#N/A:explicit</v>
      </c>
      <c t="str" s="620" r="AB199">
        <f>IF(ISNUMBER(U199),(Q199-U199),NA())</f>
        <v>#N/A:explicit</v>
      </c>
      <c t="str" s="620" r="AC199">
        <f>IF(ISNUMBER(V199),(Q199-V199),NA())</f>
        <v>#N/A:explicit</v>
      </c>
      <c t="str" s="620" r="AD199">
        <f>IF(ISNUMBER(W199),(Q199-W199),NA())</f>
        <v>#N/A:explicit</v>
      </c>
      <c t="str" s="620" r="AE199">
        <f>IF(ISNUMBER(X199),(Q199-X199),NA())</f>
        <v>#N/A:explicit</v>
      </c>
      <c t="str" s="552" r="AF199">
        <f>IF(ISNUMBER(Z199),Z199,"---")</f>
        <v>---</v>
      </c>
      <c s="142" r="AG199"/>
      <c t="str" s="142" r="AH199">
        <f>IF(ISBLANK(L199),NA(),MIN(AF$44:AF$361))</f>
        <v>#N/A:explicit</v>
      </c>
      <c t="str" s="142" r="AI199">
        <f>IF(ISNA(AA199),Z199,AA199)</f>
        <v>#N/A:explicit</v>
      </c>
      <c s="142" r="AJ199">
        <f>MIN(AF$44:AF$361)</f>
        <v>0</v>
      </c>
      <c s="142" r="AK199"/>
      <c t="str" s="142" r="AL199">
        <f>IF(ISNUMBER(AB199),O199,"---")</f>
        <v>---</v>
      </c>
      <c t="str" s="80" r="AM199">
        <f>IF(ISNUMBER(AB199),AB199,"---")</f>
        <v>---</v>
      </c>
      <c s="80" r="AN199"/>
      <c t="str" s="142" r="AO199">
        <f>IF((M199="r"),Z199,NA())</f>
        <v>#N/A:explicit</v>
      </c>
      <c t="str" s="142" r="AP199">
        <f>IF((M199="p"),Z199,NA())</f>
        <v>#N/A:explicit</v>
      </c>
      <c t="str" s="142" r="AQ199">
        <f>IF((M199="n"),Z199,NA())</f>
        <v>#N/A:explicit</v>
      </c>
      <c t="str" s="142" r="AR199">
        <f>IF((M199="g"),Z199,NA())</f>
        <v>#N/A:explicit</v>
      </c>
      <c s="142" r="AS199"/>
      <c t="str" s="142" r="AT199">
        <f>IF((COUNTA($M199:$M$361)=0),"---",IF(AND(($M199="r"),(COUNTA($M200:$M$361)&gt;0)),(MAX(AT$44:AT198)+1),IF(OR(($M198="p"),($M198="n"),($M198="g")),"---",AT198)))</f>
        <v>---</v>
      </c>
      <c t="str" s="142" r="AU199">
        <f>IF((COUNTA($M199:$M$361)=0),"---",IF(AND(($M199="p"),(COUNTA($M200:$M$361)&gt;0)),(MAX(AU$44:AU198)+1),IF(OR(($M198="r"),($M198="n"),($M198="g")),"---",AU198)))</f>
        <v>---</v>
      </c>
      <c t="str" s="142" r="AV199">
        <f>IF((COUNTA($M199:$M$361)=0),"---",IF(AND(($M199="n"),(COUNTA($M200:$M$361)&gt;0)),(MAX(AV$44:AV198)+1),IF(OR(($M198="r"),($M198="p"),($M198="g")),"---",AV198)))</f>
        <v>---</v>
      </c>
      <c t="str" s="142" r="AW199">
        <f>IF((COUNTA($M199:$M$361)=0),"---",IF(AND(($M199="g"),(COUNTA($M200:$M$361)&gt;0)),(MAX(AW$44:AW198)+1),IF(OR(($M198="r"),($M198="p"),($M198="n")),"---",AW198)))</f>
        <v>---</v>
      </c>
      <c s="676" r="AX199">
        <f>IF((M199="p"),(1+MAX(AX$44:AX198)),0)</f>
        <v>0</v>
      </c>
      <c s="51" r="AY199"/>
      <c s="761" r="AZ199"/>
      <c s="761" r="BA199"/>
      <c s="125" r="BB199"/>
      <c s="125" r="BC199"/>
      <c s="125" r="BD199"/>
      <c s="125" r="BE199"/>
      <c s="125" r="BF199"/>
      <c s="125" r="BG199"/>
      <c s="125" r="BH199"/>
      <c s="125" r="BI199"/>
    </row>
    <row r="200">
      <c s="125" r="A200"/>
      <c s="125" r="B200"/>
      <c s="125" r="C200"/>
      <c s="125" r="D200"/>
      <c s="125" r="E200"/>
      <c s="125" r="F200"/>
      <c s="125" r="G200"/>
      <c s="125" r="H200"/>
      <c s="125" r="I200"/>
      <c s="822" r="J200"/>
      <c s="429" r="K200"/>
      <c s="458" r="L200"/>
      <c s="104" r="M200"/>
      <c s="458" r="N200"/>
      <c t="str" s="589" r="O200">
        <f>IF((AH$28=2),IF(ISBLANK(N200),O199,N200),IF(ISNUMBER(N200),(MAX(O$44:O199)+N200),O199))</f>
        <v/>
      </c>
      <c s="228" r="P200"/>
      <c s="273" r="Q200">
        <f>IF(ISNUMBER(P200),((Q199+P200)-R199),Q199)</f>
        <v>100</v>
      </c>
      <c s="228" r="R200"/>
      <c s="610" r="S200"/>
      <c s="458" r="T200"/>
      <c s="458" r="U200"/>
      <c s="458" r="V200"/>
      <c s="458" r="W200"/>
      <c s="458" r="X200"/>
      <c s="458" r="Y200"/>
      <c t="str" s="620" r="Z200">
        <f>IF(ISNUMBER(S200),(Q200-S200),NA())</f>
        <v>#N/A:explicit</v>
      </c>
      <c t="str" s="620" r="AA200">
        <f>IF(ISNUMBER(T200),IF((AH$22=1),(Z200+T200),(Q200-T200)),NA())</f>
        <v>#N/A:explicit</v>
      </c>
      <c t="str" s="620" r="AB200">
        <f>IF(ISNUMBER(U200),(Q200-U200),NA())</f>
        <v>#N/A:explicit</v>
      </c>
      <c t="str" s="620" r="AC200">
        <f>IF(ISNUMBER(V200),(Q200-V200),NA())</f>
        <v>#N/A:explicit</v>
      </c>
      <c t="str" s="620" r="AD200">
        <f>IF(ISNUMBER(W200),(Q200-W200),NA())</f>
        <v>#N/A:explicit</v>
      </c>
      <c t="str" s="620" r="AE200">
        <f>IF(ISNUMBER(X200),(Q200-X200),NA())</f>
        <v>#N/A:explicit</v>
      </c>
      <c t="str" s="552" r="AF200">
        <f>IF(ISNUMBER(Z200),Z200,"---")</f>
        <v>---</v>
      </c>
      <c s="142" r="AG200"/>
      <c t="str" s="142" r="AH200">
        <f>IF(ISBLANK(L200),NA(),MIN(AF$44:AF$361))</f>
        <v>#N/A:explicit</v>
      </c>
      <c t="str" s="142" r="AI200">
        <f>IF(ISNA(AA200),Z200,AA200)</f>
        <v>#N/A:explicit</v>
      </c>
      <c s="142" r="AJ200">
        <f>MIN(AF$44:AF$361)</f>
        <v>0</v>
      </c>
      <c s="142" r="AK200"/>
      <c t="str" s="142" r="AL200">
        <f>IF(ISNUMBER(AB200),O200,"---")</f>
        <v>---</v>
      </c>
      <c t="str" s="80" r="AM200">
        <f>IF(ISNUMBER(AB200),AB200,"---")</f>
        <v>---</v>
      </c>
      <c s="80" r="AN200"/>
      <c t="str" s="142" r="AO200">
        <f>IF((M200="r"),Z200,NA())</f>
        <v>#N/A:explicit</v>
      </c>
      <c t="str" s="142" r="AP200">
        <f>IF((M200="p"),Z200,NA())</f>
        <v>#N/A:explicit</v>
      </c>
      <c t="str" s="142" r="AQ200">
        <f>IF((M200="n"),Z200,NA())</f>
        <v>#N/A:explicit</v>
      </c>
      <c t="str" s="142" r="AR200">
        <f>IF((M200="g"),Z200,NA())</f>
        <v>#N/A:explicit</v>
      </c>
      <c s="142" r="AS200"/>
      <c t="str" s="142" r="AT200">
        <f>IF((COUNTA($M200:$M$361)=0),"---",IF(AND(($M200="r"),(COUNTA($M201:$M$361)&gt;0)),(MAX(AT$44:AT199)+1),IF(OR(($M199="p"),($M199="n"),($M199="g")),"---",AT199)))</f>
        <v>---</v>
      </c>
      <c t="str" s="142" r="AU200">
        <f>IF((COUNTA($M200:$M$361)=0),"---",IF(AND(($M200="p"),(COUNTA($M201:$M$361)&gt;0)),(MAX(AU$44:AU199)+1),IF(OR(($M199="r"),($M199="n"),($M199="g")),"---",AU199)))</f>
        <v>---</v>
      </c>
      <c t="str" s="142" r="AV200">
        <f>IF((COUNTA($M200:$M$361)=0),"---",IF(AND(($M200="n"),(COUNTA($M201:$M$361)&gt;0)),(MAX(AV$44:AV199)+1),IF(OR(($M199="r"),($M199="p"),($M199="g")),"---",AV199)))</f>
        <v>---</v>
      </c>
      <c t="str" s="142" r="AW200">
        <f>IF((COUNTA($M200:$M$361)=0),"---",IF(AND(($M200="g"),(COUNTA($M201:$M$361)&gt;0)),(MAX(AW$44:AW199)+1),IF(OR(($M199="r"),($M199="p"),($M199="n")),"---",AW199)))</f>
        <v>---</v>
      </c>
      <c s="676" r="AX200">
        <f>IF((M200="p"),(1+MAX(AX$44:AX199)),0)</f>
        <v>0</v>
      </c>
      <c s="51" r="AY200"/>
      <c s="761" r="AZ200"/>
      <c s="761" r="BA200"/>
      <c s="125" r="BB200"/>
      <c s="125" r="BC200"/>
      <c s="125" r="BD200"/>
      <c s="125" r="BE200"/>
      <c s="125" r="BF200"/>
      <c s="125" r="BG200"/>
      <c s="125" r="BH200"/>
      <c s="125" r="BI200"/>
    </row>
    <row r="201">
      <c s="125" r="A201"/>
      <c s="125" r="B201"/>
      <c s="125" r="C201"/>
      <c s="125" r="D201"/>
      <c s="125" r="E201"/>
      <c s="125" r="F201"/>
      <c s="125" r="G201"/>
      <c s="125" r="H201"/>
      <c s="125" r="I201"/>
      <c s="822" r="J201"/>
      <c s="848" r="K201"/>
      <c s="550" r="L201"/>
      <c s="104" r="M201"/>
      <c s="550" r="N201"/>
      <c t="str" s="589" r="O201">
        <f>IF((AH$28=2),IF(ISBLANK(N201),O200,N201),IF(ISNUMBER(N201),(MAX(O$44:O200)+N201),O200))</f>
        <v/>
      </c>
      <c s="694" r="P201"/>
      <c s="273" r="Q201">
        <f>IF(ISNUMBER(P201),((Q200+P201)-R200),Q200)</f>
        <v>100</v>
      </c>
      <c s="694" r="R201"/>
      <c s="821" r="S201"/>
      <c s="550" r="T201"/>
      <c s="550" r="U201"/>
      <c s="550" r="V201"/>
      <c s="550" r="W201"/>
      <c s="550" r="X201"/>
      <c s="550" r="Y201"/>
      <c t="str" s="470" r="Z201">
        <f>IF(ISNUMBER(S201),(Q201-S201),NA())</f>
        <v>#N/A:explicit</v>
      </c>
      <c t="str" s="470" r="AA201">
        <f>IF(ISNUMBER(T201),IF((AH$22=1),(Z201+T201),(Q201-T201)),NA())</f>
        <v>#N/A:explicit</v>
      </c>
      <c t="str" s="470" r="AB201">
        <f>IF(ISNUMBER(U201),(Q201-U201),NA())</f>
        <v>#N/A:explicit</v>
      </c>
      <c t="str" s="470" r="AC201">
        <f>IF(ISNUMBER(V201),(Q201-V201),NA())</f>
        <v>#N/A:explicit</v>
      </c>
      <c t="str" s="470" r="AD201">
        <f>IF(ISNUMBER(W201),(Q201-W201),NA())</f>
        <v>#N/A:explicit</v>
      </c>
      <c t="str" s="470" r="AE201">
        <f>IF(ISNUMBER(X201),(Q201-X201),NA())</f>
        <v>#N/A:explicit</v>
      </c>
      <c t="str" s="552" r="AF201">
        <f>IF(ISNUMBER(Z201),Z201,"---")</f>
        <v>---</v>
      </c>
      <c s="142" r="AG201"/>
      <c t="str" s="142" r="AH201">
        <f>IF(ISBLANK(L201),NA(),MIN(AF$44:AF$361))</f>
        <v>#N/A:explicit</v>
      </c>
      <c t="str" s="142" r="AI201">
        <f>IF(ISNA(AA201),Z201,AA201)</f>
        <v>#N/A:explicit</v>
      </c>
      <c s="142" r="AJ201">
        <f>MIN(AF$44:AF$361)</f>
        <v>0</v>
      </c>
      <c s="142" r="AK201"/>
      <c t="str" s="142" r="AL201">
        <f>IF(ISNUMBER(AB201),O201,"---")</f>
        <v>---</v>
      </c>
      <c t="str" s="80" r="AM201">
        <f>IF(ISNUMBER(AB201),AB201,"---")</f>
        <v>---</v>
      </c>
      <c s="80" r="AN201"/>
      <c t="str" s="142" r="AO201">
        <f>IF((M201="r"),Z201,NA())</f>
        <v>#N/A:explicit</v>
      </c>
      <c t="str" s="142" r="AP201">
        <f>IF((M201="p"),Z201,NA())</f>
        <v>#N/A:explicit</v>
      </c>
      <c t="str" s="142" r="AQ201">
        <f>IF((M201="n"),Z201,NA())</f>
        <v>#N/A:explicit</v>
      </c>
      <c t="str" s="142" r="AR201">
        <f>IF((M201="g"),Z201,NA())</f>
        <v>#N/A:explicit</v>
      </c>
      <c s="142" r="AS201"/>
      <c t="str" s="142" r="AT201">
        <f>IF((COUNTA($M201:$M$361)=0),"---",IF(AND(($M201="r"),(COUNTA($M202:$M$361)&gt;0)),(MAX(AT$44:AT200)+1),IF(OR(($M200="p"),($M200="n"),($M200="g")),"---",AT200)))</f>
        <v>---</v>
      </c>
      <c t="str" s="142" r="AU201">
        <f>IF((COUNTA($M201:$M$361)=0),"---",IF(AND(($M201="p"),(COUNTA($M202:$M$361)&gt;0)),(MAX(AU$44:AU200)+1),IF(OR(($M200="r"),($M200="n"),($M200="g")),"---",AU200)))</f>
        <v>---</v>
      </c>
      <c t="str" s="142" r="AV201">
        <f>IF((COUNTA($M201:$M$361)=0),"---",IF(AND(($M201="n"),(COUNTA($M202:$M$361)&gt;0)),(MAX(AV$44:AV200)+1),IF(OR(($M200="r"),($M200="p"),($M200="g")),"---",AV200)))</f>
        <v>---</v>
      </c>
      <c t="str" s="142" r="AW201">
        <f>IF((COUNTA($M201:$M$361)=0),"---",IF(AND(($M201="g"),(COUNTA($M202:$M$361)&gt;0)),(MAX(AW$44:AW200)+1),IF(OR(($M200="r"),($M200="p"),($M200="n")),"---",AW200)))</f>
        <v>---</v>
      </c>
      <c s="676" r="AX201">
        <f>IF((M201="p"),(1+MAX(AX$44:AX200)),0)</f>
        <v>0</v>
      </c>
      <c s="51" r="AY201"/>
      <c s="761" r="AZ201"/>
      <c s="761" r="BA201"/>
      <c s="125" r="BB201"/>
      <c s="125" r="BC201"/>
      <c s="125" r="BD201"/>
      <c s="125" r="BE201"/>
      <c s="125" r="BF201"/>
      <c s="125" r="BG201"/>
      <c s="125" r="BH201"/>
      <c s="125" r="BI201"/>
    </row>
    <row r="202">
      <c s="125" r="A202"/>
      <c s="125" r="B202"/>
      <c s="125" r="C202"/>
      <c s="125" r="D202"/>
      <c s="125" r="E202"/>
      <c s="125" r="F202"/>
      <c s="125" r="G202"/>
      <c s="125" r="H202"/>
      <c s="125" r="I202"/>
      <c s="822" r="J202"/>
      <c s="848" r="K202"/>
      <c s="550" r="L202"/>
      <c s="104" r="M202"/>
      <c s="550" r="N202"/>
      <c t="str" s="589" r="O202">
        <f>IF((AH$28=2),IF(ISBLANK(N202),O201,N202),IF(ISNUMBER(N202),(MAX(O$44:O201)+N202),O201))</f>
        <v/>
      </c>
      <c s="694" r="P202"/>
      <c s="273" r="Q202">
        <f>IF(ISNUMBER(P202),((Q201+P202)-R201),Q201)</f>
        <v>100</v>
      </c>
      <c s="694" r="R202"/>
      <c s="821" r="S202"/>
      <c s="550" r="T202"/>
      <c s="550" r="U202"/>
      <c s="550" r="V202"/>
      <c s="550" r="W202"/>
      <c s="550" r="X202"/>
      <c s="550" r="Y202"/>
      <c t="str" s="470" r="Z202">
        <f>IF(ISNUMBER(S202),(Q202-S202),NA())</f>
        <v>#N/A:explicit</v>
      </c>
      <c t="str" s="470" r="AA202">
        <f>IF(ISNUMBER(T202),IF((AH$22=1),(Z202+T202),(Q202-T202)),NA())</f>
        <v>#N/A:explicit</v>
      </c>
      <c t="str" s="470" r="AB202">
        <f>IF(ISNUMBER(U202),(Q202-U202),NA())</f>
        <v>#N/A:explicit</v>
      </c>
      <c t="str" s="470" r="AC202">
        <f>IF(ISNUMBER(V202),(Q202-V202),NA())</f>
        <v>#N/A:explicit</v>
      </c>
      <c t="str" s="470" r="AD202">
        <f>IF(ISNUMBER(W202),(Q202-W202),NA())</f>
        <v>#N/A:explicit</v>
      </c>
      <c t="str" s="470" r="AE202">
        <f>IF(ISNUMBER(X202),(Q202-X202),NA())</f>
        <v>#N/A:explicit</v>
      </c>
      <c t="str" s="552" r="AF202">
        <f>IF(ISNUMBER(Z202),Z202,"---")</f>
        <v>---</v>
      </c>
      <c s="142" r="AG202"/>
      <c t="str" s="142" r="AH202">
        <f>IF(ISBLANK(L202),NA(),MIN(AF$44:AF$361))</f>
        <v>#N/A:explicit</v>
      </c>
      <c t="str" s="142" r="AI202">
        <f>IF(ISNA(AA202),Z202,AA202)</f>
        <v>#N/A:explicit</v>
      </c>
      <c s="142" r="AJ202">
        <f>MIN(AF$44:AF$361)</f>
        <v>0</v>
      </c>
      <c s="142" r="AK202"/>
      <c t="str" s="142" r="AL202">
        <f>IF(ISNUMBER(AB202),O202,"---")</f>
        <v>---</v>
      </c>
      <c t="str" s="80" r="AM202">
        <f>IF(ISNUMBER(AB202),AB202,"---")</f>
        <v>---</v>
      </c>
      <c s="80" r="AN202"/>
      <c t="str" s="142" r="AO202">
        <f>IF((M202="r"),Z202,NA())</f>
        <v>#N/A:explicit</v>
      </c>
      <c t="str" s="142" r="AP202">
        <f>IF((M202="p"),Z202,NA())</f>
        <v>#N/A:explicit</v>
      </c>
      <c t="str" s="142" r="AQ202">
        <f>IF((M202="n"),Z202,NA())</f>
        <v>#N/A:explicit</v>
      </c>
      <c t="str" s="142" r="AR202">
        <f>IF((M202="g"),Z202,NA())</f>
        <v>#N/A:explicit</v>
      </c>
      <c s="142" r="AS202"/>
      <c t="str" s="142" r="AT202">
        <f>IF((COUNTA($M202:$M$361)=0),"---",IF(AND(($M202="r"),(COUNTA($M203:$M$361)&gt;0)),(MAX(AT$44:AT201)+1),IF(OR(($M201="p"),($M201="n"),($M201="g")),"---",AT201)))</f>
        <v>---</v>
      </c>
      <c t="str" s="142" r="AU202">
        <f>IF((COUNTA($M202:$M$361)=0),"---",IF(AND(($M202="p"),(COUNTA($M203:$M$361)&gt;0)),(MAX(AU$44:AU201)+1),IF(OR(($M201="r"),($M201="n"),($M201="g")),"---",AU201)))</f>
        <v>---</v>
      </c>
      <c t="str" s="142" r="AV202">
        <f>IF((COUNTA($M202:$M$361)=0),"---",IF(AND(($M202="n"),(COUNTA($M203:$M$361)&gt;0)),(MAX(AV$44:AV201)+1),IF(OR(($M201="r"),($M201="p"),($M201="g")),"---",AV201)))</f>
        <v>---</v>
      </c>
      <c t="str" s="142" r="AW202">
        <f>IF((COUNTA($M202:$M$361)=0),"---",IF(AND(($M202="g"),(COUNTA($M203:$M$361)&gt;0)),(MAX(AW$44:AW201)+1),IF(OR(($M201="r"),($M201="p"),($M201="n")),"---",AW201)))</f>
        <v>---</v>
      </c>
      <c s="676" r="AX202">
        <f>IF((M202="p"),(1+MAX(AX$44:AX201)),0)</f>
        <v>0</v>
      </c>
      <c s="51" r="AY202"/>
      <c s="761" r="AZ202"/>
      <c s="761" r="BA202"/>
      <c s="125" r="BB202"/>
      <c s="125" r="BC202"/>
      <c s="125" r="BD202"/>
      <c s="125" r="BE202"/>
      <c s="125" r="BF202"/>
      <c s="125" r="BG202"/>
      <c s="125" r="BH202"/>
      <c s="125" r="BI202"/>
    </row>
    <row r="203">
      <c s="125" r="A203"/>
      <c s="125" r="B203"/>
      <c s="125" r="C203"/>
      <c s="125" r="D203"/>
      <c s="125" r="E203"/>
      <c s="125" r="F203"/>
      <c s="125" r="G203"/>
      <c s="125" r="H203"/>
      <c s="125" r="I203"/>
      <c s="822" r="J203"/>
      <c s="848" r="K203"/>
      <c s="550" r="L203"/>
      <c s="104" r="M203"/>
      <c s="550" r="N203"/>
      <c t="str" s="589" r="O203">
        <f>IF((AH$28=2),IF(ISBLANK(N203),O202,N203),IF(ISNUMBER(N203),(MAX(O$44:O202)+N203),O202))</f>
        <v/>
      </c>
      <c s="694" r="P203"/>
      <c s="273" r="Q203">
        <f>IF(ISNUMBER(P203),((Q202+P203)-R202),Q202)</f>
        <v>100</v>
      </c>
      <c s="694" r="R203"/>
      <c s="821" r="S203"/>
      <c s="550" r="T203"/>
      <c s="550" r="U203"/>
      <c s="550" r="V203"/>
      <c s="550" r="W203"/>
      <c s="550" r="X203"/>
      <c s="550" r="Y203"/>
      <c t="str" s="470" r="Z203">
        <f>IF(ISNUMBER(S203),(Q203-S203),NA())</f>
        <v>#N/A:explicit</v>
      </c>
      <c t="str" s="470" r="AA203">
        <f>IF(ISNUMBER(T203),IF((AH$22=1),(Z203+T203),(Q203-T203)),NA())</f>
        <v>#N/A:explicit</v>
      </c>
      <c t="str" s="470" r="AB203">
        <f>IF(ISNUMBER(U203),(Q203-U203),NA())</f>
        <v>#N/A:explicit</v>
      </c>
      <c t="str" s="470" r="AC203">
        <f>IF(ISNUMBER(V203),(Q203-V203),NA())</f>
        <v>#N/A:explicit</v>
      </c>
      <c t="str" s="470" r="AD203">
        <f>IF(ISNUMBER(W203),(Q203-W203),NA())</f>
        <v>#N/A:explicit</v>
      </c>
      <c t="str" s="470" r="AE203">
        <f>IF(ISNUMBER(X203),(Q203-X203),NA())</f>
        <v>#N/A:explicit</v>
      </c>
      <c t="str" s="552" r="AF203">
        <f>IF(ISNUMBER(Z203),Z203,"---")</f>
        <v>---</v>
      </c>
      <c s="142" r="AG203"/>
      <c t="str" s="142" r="AH203">
        <f>IF(ISBLANK(L203),NA(),MIN(AF$44:AF$361))</f>
        <v>#N/A:explicit</v>
      </c>
      <c t="str" s="142" r="AI203">
        <f>IF(ISNA(AA203),Z203,AA203)</f>
        <v>#N/A:explicit</v>
      </c>
      <c s="142" r="AJ203">
        <f>MIN(AF$44:AF$361)</f>
        <v>0</v>
      </c>
      <c s="142" r="AK203"/>
      <c t="str" s="142" r="AL203">
        <f>IF(ISNUMBER(AB203),O203,"---")</f>
        <v>---</v>
      </c>
      <c t="str" s="80" r="AM203">
        <f>IF(ISNUMBER(AB203),AB203,"---")</f>
        <v>---</v>
      </c>
      <c s="80" r="AN203"/>
      <c t="str" s="142" r="AO203">
        <f>IF((M203="r"),Z203,NA())</f>
        <v>#N/A:explicit</v>
      </c>
      <c t="str" s="142" r="AP203">
        <f>IF((M203="p"),Z203,NA())</f>
        <v>#N/A:explicit</v>
      </c>
      <c t="str" s="142" r="AQ203">
        <f>IF((M203="n"),Z203,NA())</f>
        <v>#N/A:explicit</v>
      </c>
      <c t="str" s="142" r="AR203">
        <f>IF((M203="g"),Z203,NA())</f>
        <v>#N/A:explicit</v>
      </c>
      <c s="142" r="AS203"/>
      <c t="str" s="142" r="AT203">
        <f>IF((COUNTA($M203:$M$361)=0),"---",IF(AND(($M203="r"),(COUNTA($M204:$M$361)&gt;0)),(MAX(AT$44:AT202)+1),IF(OR(($M202="p"),($M202="n"),($M202="g")),"---",AT202)))</f>
        <v>---</v>
      </c>
      <c t="str" s="142" r="AU203">
        <f>IF((COUNTA($M203:$M$361)=0),"---",IF(AND(($M203="p"),(COUNTA($M204:$M$361)&gt;0)),(MAX(AU$44:AU202)+1),IF(OR(($M202="r"),($M202="n"),($M202="g")),"---",AU202)))</f>
        <v>---</v>
      </c>
      <c t="str" s="142" r="AV203">
        <f>IF((COUNTA($M203:$M$361)=0),"---",IF(AND(($M203="n"),(COUNTA($M204:$M$361)&gt;0)),(MAX(AV$44:AV202)+1),IF(OR(($M202="r"),($M202="p"),($M202="g")),"---",AV202)))</f>
        <v>---</v>
      </c>
      <c t="str" s="142" r="AW203">
        <f>IF((COUNTA($M203:$M$361)=0),"---",IF(AND(($M203="g"),(COUNTA($M204:$M$361)&gt;0)),(MAX(AW$44:AW202)+1),IF(OR(($M202="r"),($M202="p"),($M202="n")),"---",AW202)))</f>
        <v>---</v>
      </c>
      <c s="676" r="AX203">
        <f>IF((M203="p"),(1+MAX(AX$44:AX202)),0)</f>
        <v>0</v>
      </c>
      <c s="51" r="AY203"/>
      <c s="761" r="AZ203"/>
      <c s="761" r="BA203"/>
      <c s="125" r="BB203"/>
      <c s="125" r="BC203"/>
      <c s="125" r="BD203"/>
      <c s="125" r="BE203"/>
      <c s="125" r="BF203"/>
      <c s="125" r="BG203"/>
      <c s="125" r="BH203"/>
      <c s="125" r="BI203"/>
    </row>
    <row r="204">
      <c s="125" r="A204"/>
      <c s="125" r="B204"/>
      <c s="125" r="C204"/>
      <c s="125" r="D204"/>
      <c s="125" r="E204"/>
      <c s="125" r="F204"/>
      <c s="125" r="G204"/>
      <c s="125" r="H204"/>
      <c s="125" r="I204"/>
      <c s="822" r="J204"/>
      <c s="429" r="K204"/>
      <c s="458" r="L204"/>
      <c s="104" r="M204"/>
      <c s="458" r="N204"/>
      <c t="str" s="589" r="O204">
        <f>IF((AH$28=2),IF(ISBLANK(N204),O203,N204),IF(ISNUMBER(N204),(MAX(O$44:O203)+N204),O203))</f>
        <v/>
      </c>
      <c s="228" r="P204"/>
      <c s="273" r="Q204">
        <f>IF(ISNUMBER(P204),((Q203+P204)-R203),Q203)</f>
        <v>100</v>
      </c>
      <c s="228" r="R204"/>
      <c s="610" r="S204"/>
      <c s="458" r="T204"/>
      <c s="458" r="U204"/>
      <c s="458" r="V204"/>
      <c s="458" r="W204"/>
      <c s="458" r="X204"/>
      <c s="458" r="Y204"/>
      <c t="str" s="620" r="Z204">
        <f>IF(ISNUMBER(S204),(Q204-S204),NA())</f>
        <v>#N/A:explicit</v>
      </c>
      <c t="str" s="620" r="AA204">
        <f>IF(ISNUMBER(T204),IF((AH$22=1),(Z204+T204),(Q204-T204)),NA())</f>
        <v>#N/A:explicit</v>
      </c>
      <c t="str" s="620" r="AB204">
        <f>IF(ISNUMBER(U204),(Q204-U204),NA())</f>
        <v>#N/A:explicit</v>
      </c>
      <c t="str" s="620" r="AC204">
        <f>IF(ISNUMBER(V204),(Q204-V204),NA())</f>
        <v>#N/A:explicit</v>
      </c>
      <c t="str" s="620" r="AD204">
        <f>IF(ISNUMBER(W204),(Q204-W204),NA())</f>
        <v>#N/A:explicit</v>
      </c>
      <c t="str" s="620" r="AE204">
        <f>IF(ISNUMBER(X204),(Q204-X204),NA())</f>
        <v>#N/A:explicit</v>
      </c>
      <c t="str" s="552" r="AF204">
        <f>IF(ISNUMBER(Z204),Z204,"---")</f>
        <v>---</v>
      </c>
      <c s="142" r="AG204"/>
      <c t="str" s="142" r="AH204">
        <f>IF(ISBLANK(L204),NA(),MIN(AF$44:AF$361))</f>
        <v>#N/A:explicit</v>
      </c>
      <c t="str" s="142" r="AI204">
        <f>IF(ISNA(AA204),Z204,AA204)</f>
        <v>#N/A:explicit</v>
      </c>
      <c s="142" r="AJ204">
        <f>MIN(AF$44:AF$361)</f>
        <v>0</v>
      </c>
      <c s="142" r="AK204"/>
      <c t="str" s="142" r="AL204">
        <f>IF(ISNUMBER(AB204),O204,"---")</f>
        <v>---</v>
      </c>
      <c t="str" s="80" r="AM204">
        <f>IF(ISNUMBER(AB204),AB204,"---")</f>
        <v>---</v>
      </c>
      <c s="80" r="AN204"/>
      <c t="str" s="142" r="AO204">
        <f>IF((M204="r"),Z204,NA())</f>
        <v>#N/A:explicit</v>
      </c>
      <c t="str" s="142" r="AP204">
        <f>IF((M204="p"),Z204,NA())</f>
        <v>#N/A:explicit</v>
      </c>
      <c t="str" s="142" r="AQ204">
        <f>IF((M204="n"),Z204,NA())</f>
        <v>#N/A:explicit</v>
      </c>
      <c t="str" s="142" r="AR204">
        <f>IF((M204="g"),Z204,NA())</f>
        <v>#N/A:explicit</v>
      </c>
      <c s="142" r="AS204"/>
      <c t="str" s="142" r="AT204">
        <f>IF((COUNTA($M204:$M$361)=0),"---",IF(AND(($M204="r"),(COUNTA($M205:$M$361)&gt;0)),(MAX(AT$44:AT203)+1),IF(OR(($M203="p"),($M203="n"),($M203="g")),"---",AT203)))</f>
        <v>---</v>
      </c>
      <c t="str" s="142" r="AU204">
        <f>IF((COUNTA($M204:$M$361)=0),"---",IF(AND(($M204="p"),(COUNTA($M205:$M$361)&gt;0)),(MAX(AU$44:AU203)+1),IF(OR(($M203="r"),($M203="n"),($M203="g")),"---",AU203)))</f>
        <v>---</v>
      </c>
      <c t="str" s="142" r="AV204">
        <f>IF((COUNTA($M204:$M$361)=0),"---",IF(AND(($M204="n"),(COUNTA($M205:$M$361)&gt;0)),(MAX(AV$44:AV203)+1),IF(OR(($M203="r"),($M203="p"),($M203="g")),"---",AV203)))</f>
        <v>---</v>
      </c>
      <c t="str" s="142" r="AW204">
        <f>IF((COUNTA($M204:$M$361)=0),"---",IF(AND(($M204="g"),(COUNTA($M205:$M$361)&gt;0)),(MAX(AW$44:AW203)+1),IF(OR(($M203="r"),($M203="p"),($M203="n")),"---",AW203)))</f>
        <v>---</v>
      </c>
      <c s="676" r="AX204">
        <f>IF((M204="p"),(1+MAX(AX$44:AX203)),0)</f>
        <v>0</v>
      </c>
      <c s="51" r="AY204"/>
      <c s="761" r="AZ204"/>
      <c s="761" r="BA204"/>
      <c s="125" r="BB204"/>
      <c s="125" r="BC204"/>
      <c s="125" r="BD204"/>
      <c s="125" r="BE204"/>
      <c s="125" r="BF204"/>
      <c s="125" r="BG204"/>
      <c s="125" r="BH204"/>
      <c s="125" r="BI204"/>
    </row>
    <row r="205">
      <c s="125" r="A205"/>
      <c s="125" r="B205"/>
      <c s="125" r="C205"/>
      <c s="125" r="D205"/>
      <c s="125" r="E205"/>
      <c s="125" r="F205"/>
      <c s="125" r="G205"/>
      <c s="125" r="H205"/>
      <c s="125" r="I205"/>
      <c s="822" r="J205"/>
      <c s="429" r="K205"/>
      <c s="458" r="L205"/>
      <c s="104" r="M205"/>
      <c s="458" r="N205"/>
      <c t="str" s="589" r="O205">
        <f>IF((AH$28=2),IF(ISBLANK(N205),O204,N205),IF(ISNUMBER(N205),(MAX(O$44:O204)+N205),O204))</f>
        <v/>
      </c>
      <c s="228" r="P205"/>
      <c s="273" r="Q205">
        <f>IF(ISNUMBER(P205),((Q204+P205)-R204),Q204)</f>
        <v>100</v>
      </c>
      <c s="228" r="R205"/>
      <c s="610" r="S205"/>
      <c s="458" r="T205"/>
      <c s="458" r="U205"/>
      <c s="458" r="V205"/>
      <c s="458" r="W205"/>
      <c s="458" r="X205"/>
      <c s="458" r="Y205"/>
      <c t="str" s="620" r="Z205">
        <f>IF(ISNUMBER(S205),(Q205-S205),NA())</f>
        <v>#N/A:explicit</v>
      </c>
      <c t="str" s="620" r="AA205">
        <f>IF(ISNUMBER(T205),IF((AH$22=1),(Z205+T205),(Q205-T205)),NA())</f>
        <v>#N/A:explicit</v>
      </c>
      <c t="str" s="620" r="AB205">
        <f>IF(ISNUMBER(U205),(Q205-U205),NA())</f>
        <v>#N/A:explicit</v>
      </c>
      <c t="str" s="620" r="AC205">
        <f>IF(ISNUMBER(V205),(Q205-V205),NA())</f>
        <v>#N/A:explicit</v>
      </c>
      <c t="str" s="620" r="AD205">
        <f>IF(ISNUMBER(W205),(Q205-W205),NA())</f>
        <v>#N/A:explicit</v>
      </c>
      <c t="str" s="620" r="AE205">
        <f>IF(ISNUMBER(X205),(Q205-X205),NA())</f>
        <v>#N/A:explicit</v>
      </c>
      <c t="str" s="552" r="AF205">
        <f>IF(ISNUMBER(Z205),Z205,"---")</f>
        <v>---</v>
      </c>
      <c s="142" r="AG205"/>
      <c t="str" s="142" r="AH205">
        <f>IF(ISBLANK(L205),NA(),MIN(AF$44:AF$361))</f>
        <v>#N/A:explicit</v>
      </c>
      <c t="str" s="142" r="AI205">
        <f>IF(ISNA(AA205),Z205,AA205)</f>
        <v>#N/A:explicit</v>
      </c>
      <c s="142" r="AJ205">
        <f>MIN(AF$44:AF$361)</f>
        <v>0</v>
      </c>
      <c s="142" r="AK205"/>
      <c t="str" s="142" r="AL205">
        <f>IF(ISNUMBER(AB205),O205,"---")</f>
        <v>---</v>
      </c>
      <c t="str" s="80" r="AM205">
        <f>IF(ISNUMBER(AB205),AB205,"---")</f>
        <v>---</v>
      </c>
      <c s="80" r="AN205"/>
      <c t="str" s="142" r="AO205">
        <f>IF((M205="r"),Z205,NA())</f>
        <v>#N/A:explicit</v>
      </c>
      <c t="str" s="142" r="AP205">
        <f>IF((M205="p"),Z205,NA())</f>
        <v>#N/A:explicit</v>
      </c>
      <c t="str" s="142" r="AQ205">
        <f>IF((M205="n"),Z205,NA())</f>
        <v>#N/A:explicit</v>
      </c>
      <c t="str" s="142" r="AR205">
        <f>IF((M205="g"),Z205,NA())</f>
        <v>#N/A:explicit</v>
      </c>
      <c s="142" r="AS205"/>
      <c t="str" s="142" r="AT205">
        <f>IF((COUNTA($M205:$M$361)=0),"---",IF(AND(($M205="r"),(COUNTA($M206:$M$361)&gt;0)),(MAX(AT$44:AT204)+1),IF(OR(($M204="p"),($M204="n"),($M204="g")),"---",AT204)))</f>
        <v>---</v>
      </c>
      <c t="str" s="142" r="AU205">
        <f>IF((COUNTA($M205:$M$361)=0),"---",IF(AND(($M205="p"),(COUNTA($M206:$M$361)&gt;0)),(MAX(AU$44:AU204)+1),IF(OR(($M204="r"),($M204="n"),($M204="g")),"---",AU204)))</f>
        <v>---</v>
      </c>
      <c t="str" s="142" r="AV205">
        <f>IF((COUNTA($M205:$M$361)=0),"---",IF(AND(($M205="n"),(COUNTA($M206:$M$361)&gt;0)),(MAX(AV$44:AV204)+1),IF(OR(($M204="r"),($M204="p"),($M204="g")),"---",AV204)))</f>
        <v>---</v>
      </c>
      <c t="str" s="142" r="AW205">
        <f>IF((COUNTA($M205:$M$361)=0),"---",IF(AND(($M205="g"),(COUNTA($M206:$M$361)&gt;0)),(MAX(AW$44:AW204)+1),IF(OR(($M204="r"),($M204="p"),($M204="n")),"---",AW204)))</f>
        <v>---</v>
      </c>
      <c s="676" r="AX205">
        <f>IF((M205="p"),(1+MAX(AX$44:AX204)),0)</f>
        <v>0</v>
      </c>
      <c s="51" r="AY205"/>
      <c s="761" r="AZ205"/>
      <c s="761" r="BA205"/>
      <c s="125" r="BB205"/>
      <c s="125" r="BC205"/>
      <c s="125" r="BD205"/>
      <c s="125" r="BE205"/>
      <c s="125" r="BF205"/>
      <c s="125" r="BG205"/>
      <c s="125" r="BH205"/>
      <c s="125" r="BI205"/>
    </row>
    <row r="206">
      <c s="125" r="A206"/>
      <c s="125" r="B206"/>
      <c s="125" r="C206"/>
      <c s="125" r="D206"/>
      <c s="125" r="E206"/>
      <c s="125" r="F206"/>
      <c s="125" r="G206"/>
      <c s="125" r="H206"/>
      <c s="125" r="I206"/>
      <c s="822" r="J206"/>
      <c s="429" r="K206"/>
      <c s="458" r="L206"/>
      <c s="104" r="M206"/>
      <c s="458" r="N206"/>
      <c t="str" s="589" r="O206">
        <f>IF((AH$28=2),IF(ISBLANK(N206),O205,N206),IF(ISNUMBER(N206),(MAX(O$44:O205)+N206),O205))</f>
        <v/>
      </c>
      <c s="228" r="P206"/>
      <c s="273" r="Q206">
        <f>IF(ISNUMBER(P206),((Q205+P206)-R205),Q205)</f>
        <v>100</v>
      </c>
      <c s="228" r="R206"/>
      <c s="610" r="S206"/>
      <c s="458" r="T206"/>
      <c s="458" r="U206"/>
      <c s="458" r="V206"/>
      <c s="458" r="W206"/>
      <c s="458" r="X206"/>
      <c s="458" r="Y206"/>
      <c t="str" s="620" r="Z206">
        <f>IF(ISNUMBER(S206),(Q206-S206),NA())</f>
        <v>#N/A:explicit</v>
      </c>
      <c t="str" s="620" r="AA206">
        <f>IF(ISNUMBER(T206),IF((AH$22=1),(Z206+T206),(Q206-T206)),NA())</f>
        <v>#N/A:explicit</v>
      </c>
      <c t="str" s="620" r="AB206">
        <f>IF(ISNUMBER(U206),(Q206-U206),NA())</f>
        <v>#N/A:explicit</v>
      </c>
      <c t="str" s="620" r="AC206">
        <f>IF(ISNUMBER(V206),(Q206-V206),NA())</f>
        <v>#N/A:explicit</v>
      </c>
      <c t="str" s="620" r="AD206">
        <f>IF(ISNUMBER(W206),(Q206-W206),NA())</f>
        <v>#N/A:explicit</v>
      </c>
      <c t="str" s="620" r="AE206">
        <f>IF(ISNUMBER(X206),(Q206-X206),NA())</f>
        <v>#N/A:explicit</v>
      </c>
      <c t="str" s="552" r="AF206">
        <f>IF(ISNUMBER(Z206),Z206,"---")</f>
        <v>---</v>
      </c>
      <c s="142" r="AG206"/>
      <c t="str" s="142" r="AH206">
        <f>IF(ISBLANK(L206),NA(),MIN(AF$44:AF$361))</f>
        <v>#N/A:explicit</v>
      </c>
      <c t="str" s="142" r="AI206">
        <f>IF(ISNA(AA206),Z206,AA206)</f>
        <v>#N/A:explicit</v>
      </c>
      <c s="142" r="AJ206">
        <f>MIN(AF$44:AF$361)</f>
        <v>0</v>
      </c>
      <c s="142" r="AK206"/>
      <c t="str" s="142" r="AL206">
        <f>IF(ISNUMBER(AB206),O206,"---")</f>
        <v>---</v>
      </c>
      <c t="str" s="80" r="AM206">
        <f>IF(ISNUMBER(AB206),AB206,"---")</f>
        <v>---</v>
      </c>
      <c s="80" r="AN206"/>
      <c t="str" s="142" r="AO206">
        <f>IF((M206="r"),Z206,NA())</f>
        <v>#N/A:explicit</v>
      </c>
      <c t="str" s="142" r="AP206">
        <f>IF((M206="p"),Z206,NA())</f>
        <v>#N/A:explicit</v>
      </c>
      <c t="str" s="142" r="AQ206">
        <f>IF((M206="n"),Z206,NA())</f>
        <v>#N/A:explicit</v>
      </c>
      <c t="str" s="142" r="AR206">
        <f>IF((M206="g"),Z206,NA())</f>
        <v>#N/A:explicit</v>
      </c>
      <c s="142" r="AS206"/>
      <c t="str" s="142" r="AT206">
        <f>IF((COUNTA($M206:$M$361)=0),"---",IF(AND(($M206="r"),(COUNTA($M207:$M$361)&gt;0)),(MAX(AT$44:AT205)+1),IF(OR(($M205="p"),($M205="n"),($M205="g")),"---",AT205)))</f>
        <v>---</v>
      </c>
      <c t="str" s="142" r="AU206">
        <f>IF((COUNTA($M206:$M$361)=0),"---",IF(AND(($M206="p"),(COUNTA($M207:$M$361)&gt;0)),(MAX(AU$44:AU205)+1),IF(OR(($M205="r"),($M205="n"),($M205="g")),"---",AU205)))</f>
        <v>---</v>
      </c>
      <c t="str" s="142" r="AV206">
        <f>IF((COUNTA($M206:$M$361)=0),"---",IF(AND(($M206="n"),(COUNTA($M207:$M$361)&gt;0)),(MAX(AV$44:AV205)+1),IF(OR(($M205="r"),($M205="p"),($M205="g")),"---",AV205)))</f>
        <v>---</v>
      </c>
      <c t="str" s="142" r="AW206">
        <f>IF((COUNTA($M206:$M$361)=0),"---",IF(AND(($M206="g"),(COUNTA($M207:$M$361)&gt;0)),(MAX(AW$44:AW205)+1),IF(OR(($M205="r"),($M205="p"),($M205="n")),"---",AW205)))</f>
        <v>---</v>
      </c>
      <c s="676" r="AX206">
        <f>IF((M206="p"),(1+MAX(AX$44:AX205)),0)</f>
        <v>0</v>
      </c>
      <c s="51" r="AY206"/>
      <c s="761" r="AZ206"/>
      <c s="761" r="BA206"/>
      <c s="125" r="BB206"/>
      <c s="125" r="BC206"/>
      <c s="125" r="BD206"/>
      <c s="125" r="BE206"/>
      <c s="125" r="BF206"/>
      <c s="125" r="BG206"/>
      <c s="125" r="BH206"/>
      <c s="125" r="BI206"/>
    </row>
    <row r="207">
      <c s="125" r="A207"/>
      <c s="125" r="B207"/>
      <c s="125" r="C207"/>
      <c s="125" r="D207"/>
      <c s="125" r="E207"/>
      <c s="125" r="F207"/>
      <c s="125" r="G207"/>
      <c s="125" r="H207"/>
      <c s="125" r="I207"/>
      <c s="822" r="J207"/>
      <c s="848" r="K207"/>
      <c s="550" r="L207"/>
      <c s="104" r="M207"/>
      <c s="550" r="N207"/>
      <c t="str" s="589" r="O207">
        <f>IF((AH$28=2),IF(ISBLANK(N207),O206,N207),IF(ISNUMBER(N207),(MAX(O$44:O206)+N207),O206))</f>
        <v/>
      </c>
      <c s="694" r="P207"/>
      <c s="273" r="Q207">
        <f>IF(ISNUMBER(P207),((Q206+P207)-R206),Q206)</f>
        <v>100</v>
      </c>
      <c s="694" r="R207"/>
      <c s="821" r="S207"/>
      <c s="550" r="T207"/>
      <c s="550" r="U207"/>
      <c s="550" r="V207"/>
      <c s="550" r="W207"/>
      <c s="550" r="X207"/>
      <c s="550" r="Y207"/>
      <c t="str" s="470" r="Z207">
        <f>IF(ISNUMBER(S207),(Q207-S207),NA())</f>
        <v>#N/A:explicit</v>
      </c>
      <c t="str" s="470" r="AA207">
        <f>IF(ISNUMBER(T207),IF((AH$22=1),(Z207+T207),(Q207-T207)),NA())</f>
        <v>#N/A:explicit</v>
      </c>
      <c t="str" s="470" r="AB207">
        <f>IF(ISNUMBER(U207),(Q207-U207),NA())</f>
        <v>#N/A:explicit</v>
      </c>
      <c t="str" s="470" r="AC207">
        <f>IF(ISNUMBER(V207),(Q207-V207),NA())</f>
        <v>#N/A:explicit</v>
      </c>
      <c t="str" s="470" r="AD207">
        <f>IF(ISNUMBER(W207),(Q207-W207),NA())</f>
        <v>#N/A:explicit</v>
      </c>
      <c t="str" s="470" r="AE207">
        <f>IF(ISNUMBER(X207),(Q207-X207),NA())</f>
        <v>#N/A:explicit</v>
      </c>
      <c t="str" s="552" r="AF207">
        <f>IF(ISNUMBER(Z207),Z207,"---")</f>
        <v>---</v>
      </c>
      <c s="142" r="AG207"/>
      <c t="str" s="142" r="AH207">
        <f>IF(ISBLANK(L207),NA(),MIN(AF$44:AF$361))</f>
        <v>#N/A:explicit</v>
      </c>
      <c t="str" s="142" r="AI207">
        <f>IF(ISNA(AA207),Z207,AA207)</f>
        <v>#N/A:explicit</v>
      </c>
      <c s="142" r="AJ207">
        <f>MIN(AF$44:AF$361)</f>
        <v>0</v>
      </c>
      <c s="142" r="AK207"/>
      <c t="str" s="142" r="AL207">
        <f>IF(ISNUMBER(AB207),O207,"---")</f>
        <v>---</v>
      </c>
      <c t="str" s="80" r="AM207">
        <f>IF(ISNUMBER(AB207),AB207,"---")</f>
        <v>---</v>
      </c>
      <c s="80" r="AN207"/>
      <c t="str" s="142" r="AO207">
        <f>IF((M207="r"),Z207,NA())</f>
        <v>#N/A:explicit</v>
      </c>
      <c t="str" s="142" r="AP207">
        <f>IF((M207="p"),Z207,NA())</f>
        <v>#N/A:explicit</v>
      </c>
      <c t="str" s="142" r="AQ207">
        <f>IF((M207="n"),Z207,NA())</f>
        <v>#N/A:explicit</v>
      </c>
      <c t="str" s="142" r="AR207">
        <f>IF((M207="g"),Z207,NA())</f>
        <v>#N/A:explicit</v>
      </c>
      <c s="142" r="AS207"/>
      <c t="str" s="142" r="AT207">
        <f>IF((COUNTA($M207:$M$361)=0),"---",IF(AND(($M207="r"),(COUNTA($M208:$M$361)&gt;0)),(MAX(AT$44:AT206)+1),IF(OR(($M206="p"),($M206="n"),($M206="g")),"---",AT206)))</f>
        <v>---</v>
      </c>
      <c t="str" s="142" r="AU207">
        <f>IF((COUNTA($M207:$M$361)=0),"---",IF(AND(($M207="p"),(COUNTA($M208:$M$361)&gt;0)),(MAX(AU$44:AU206)+1),IF(OR(($M206="r"),($M206="n"),($M206="g")),"---",AU206)))</f>
        <v>---</v>
      </c>
      <c t="str" s="142" r="AV207">
        <f>IF((COUNTA($M207:$M$361)=0),"---",IF(AND(($M207="n"),(COUNTA($M208:$M$361)&gt;0)),(MAX(AV$44:AV206)+1),IF(OR(($M206="r"),($M206="p"),($M206="g")),"---",AV206)))</f>
        <v>---</v>
      </c>
      <c t="str" s="142" r="AW207">
        <f>IF((COUNTA($M207:$M$361)=0),"---",IF(AND(($M207="g"),(COUNTA($M208:$M$361)&gt;0)),(MAX(AW$44:AW206)+1),IF(OR(($M206="r"),($M206="p"),($M206="n")),"---",AW206)))</f>
        <v>---</v>
      </c>
      <c s="676" r="AX207">
        <f>IF((M207="p"),(1+MAX(AX$44:AX206)),0)</f>
        <v>0</v>
      </c>
      <c s="51" r="AY207"/>
      <c s="761" r="AZ207"/>
      <c s="761" r="BA207"/>
      <c s="125" r="BB207"/>
      <c s="125" r="BC207"/>
      <c s="125" r="BD207"/>
      <c s="125" r="BE207"/>
      <c s="125" r="BF207"/>
      <c s="125" r="BG207"/>
      <c s="125" r="BH207"/>
      <c s="125" r="BI207"/>
    </row>
    <row r="208">
      <c s="125" r="A208"/>
      <c s="125" r="B208"/>
      <c s="125" r="C208"/>
      <c s="125" r="D208"/>
      <c s="125" r="E208"/>
      <c s="125" r="F208"/>
      <c s="125" r="G208"/>
      <c s="125" r="H208"/>
      <c s="125" r="I208"/>
      <c s="822" r="J208"/>
      <c s="848" r="K208"/>
      <c s="550" r="L208"/>
      <c s="104" r="M208"/>
      <c s="550" r="N208"/>
      <c t="str" s="589" r="O208">
        <f>IF((AH$28=2),IF(ISBLANK(N208),O207,N208),IF(ISNUMBER(N208),(MAX(O$44:O207)+N208),O207))</f>
        <v/>
      </c>
      <c s="694" r="P208"/>
      <c s="273" r="Q208">
        <f>IF(ISNUMBER(P208),((Q207+P208)-R207),Q207)</f>
        <v>100</v>
      </c>
      <c s="694" r="R208"/>
      <c s="821" r="S208"/>
      <c s="550" r="T208"/>
      <c s="550" r="U208"/>
      <c s="550" r="V208"/>
      <c s="550" r="W208"/>
      <c s="550" r="X208"/>
      <c s="550" r="Y208"/>
      <c t="str" s="470" r="Z208">
        <f>IF(ISNUMBER(S208),(Q208-S208),NA())</f>
        <v>#N/A:explicit</v>
      </c>
      <c t="str" s="470" r="AA208">
        <f>IF(ISNUMBER(T208),IF((AH$22=1),(Z208+T208),(Q208-T208)),NA())</f>
        <v>#N/A:explicit</v>
      </c>
      <c t="str" s="470" r="AB208">
        <f>IF(ISNUMBER(U208),(Q208-U208),NA())</f>
        <v>#N/A:explicit</v>
      </c>
      <c t="str" s="470" r="AC208">
        <f>IF(ISNUMBER(V208),(Q208-V208),NA())</f>
        <v>#N/A:explicit</v>
      </c>
      <c t="str" s="470" r="AD208">
        <f>IF(ISNUMBER(W208),(Q208-W208),NA())</f>
        <v>#N/A:explicit</v>
      </c>
      <c t="str" s="470" r="AE208">
        <f>IF(ISNUMBER(X208),(Q208-X208),NA())</f>
        <v>#N/A:explicit</v>
      </c>
      <c t="str" s="552" r="AF208">
        <f>IF(ISNUMBER(Z208),Z208,"---")</f>
        <v>---</v>
      </c>
      <c s="142" r="AG208"/>
      <c t="str" s="142" r="AH208">
        <f>IF(ISBLANK(L208),NA(),MIN(AF$44:AF$361))</f>
        <v>#N/A:explicit</v>
      </c>
      <c t="str" s="142" r="AI208">
        <f>IF(ISNA(AA208),Z208,AA208)</f>
        <v>#N/A:explicit</v>
      </c>
      <c s="142" r="AJ208">
        <f>MIN(AF$44:AF$361)</f>
        <v>0</v>
      </c>
      <c s="142" r="AK208"/>
      <c t="str" s="142" r="AL208">
        <f>IF(ISNUMBER(AB208),O208,"---")</f>
        <v>---</v>
      </c>
      <c t="str" s="80" r="AM208">
        <f>IF(ISNUMBER(AB208),AB208,"---")</f>
        <v>---</v>
      </c>
      <c s="80" r="AN208"/>
      <c t="str" s="142" r="AO208">
        <f>IF((M208="r"),Z208,NA())</f>
        <v>#N/A:explicit</v>
      </c>
      <c t="str" s="142" r="AP208">
        <f>IF((M208="p"),Z208,NA())</f>
        <v>#N/A:explicit</v>
      </c>
      <c t="str" s="142" r="AQ208">
        <f>IF((M208="n"),Z208,NA())</f>
        <v>#N/A:explicit</v>
      </c>
      <c t="str" s="142" r="AR208">
        <f>IF((M208="g"),Z208,NA())</f>
        <v>#N/A:explicit</v>
      </c>
      <c s="142" r="AS208"/>
      <c t="str" s="142" r="AT208">
        <f>IF((COUNTA($M208:$M$361)=0),"---",IF(AND(($M208="r"),(COUNTA($M209:$M$361)&gt;0)),(MAX(AT$44:AT207)+1),IF(OR(($M207="p"),($M207="n"),($M207="g")),"---",AT207)))</f>
        <v>---</v>
      </c>
      <c t="str" s="142" r="AU208">
        <f>IF((COUNTA($M208:$M$361)=0),"---",IF(AND(($M208="p"),(COUNTA($M209:$M$361)&gt;0)),(MAX(AU$44:AU207)+1),IF(OR(($M207="r"),($M207="n"),($M207="g")),"---",AU207)))</f>
        <v>---</v>
      </c>
      <c t="str" s="142" r="AV208">
        <f>IF((COUNTA($M208:$M$361)=0),"---",IF(AND(($M208="n"),(COUNTA($M209:$M$361)&gt;0)),(MAX(AV$44:AV207)+1),IF(OR(($M207="r"),($M207="p"),($M207="g")),"---",AV207)))</f>
        <v>---</v>
      </c>
      <c t="str" s="142" r="AW208">
        <f>IF((COUNTA($M208:$M$361)=0),"---",IF(AND(($M208="g"),(COUNTA($M209:$M$361)&gt;0)),(MAX(AW$44:AW207)+1),IF(OR(($M207="r"),($M207="p"),($M207="n")),"---",AW207)))</f>
        <v>---</v>
      </c>
      <c s="676" r="AX208">
        <f>IF((M208="p"),(1+MAX(AX$44:AX207)),0)</f>
        <v>0</v>
      </c>
      <c s="51" r="AY208"/>
      <c s="761" r="AZ208"/>
      <c s="761" r="BA208"/>
      <c s="125" r="BB208"/>
      <c s="125" r="BC208"/>
      <c s="125" r="BD208"/>
      <c s="125" r="BE208"/>
      <c s="125" r="BF208"/>
      <c s="125" r="BG208"/>
      <c s="125" r="BH208"/>
      <c s="125" r="BI208"/>
    </row>
    <row r="209">
      <c s="125" r="A209"/>
      <c s="125" r="B209"/>
      <c s="125" r="C209"/>
      <c s="125" r="D209"/>
      <c s="125" r="E209"/>
      <c s="125" r="F209"/>
      <c s="125" r="G209"/>
      <c s="125" r="H209"/>
      <c s="125" r="I209"/>
      <c s="822" r="J209"/>
      <c s="848" r="K209"/>
      <c s="550" r="L209"/>
      <c s="104" r="M209"/>
      <c s="550" r="N209"/>
      <c t="str" s="589" r="O209">
        <f>IF((AH$28=2),IF(ISBLANK(N209),O208,N209),IF(ISNUMBER(N209),(MAX(O$44:O208)+N209),O208))</f>
        <v/>
      </c>
      <c s="694" r="P209"/>
      <c s="273" r="Q209">
        <f>IF(ISNUMBER(P209),((Q208+P209)-R208),Q208)</f>
        <v>100</v>
      </c>
      <c s="694" r="R209"/>
      <c s="821" r="S209"/>
      <c s="550" r="T209"/>
      <c s="550" r="U209"/>
      <c s="550" r="V209"/>
      <c s="550" r="W209"/>
      <c s="550" r="X209"/>
      <c s="550" r="Y209"/>
      <c t="str" s="470" r="Z209">
        <f>IF(ISNUMBER(S209),(Q209-S209),NA())</f>
        <v>#N/A:explicit</v>
      </c>
      <c t="str" s="470" r="AA209">
        <f>IF(ISNUMBER(T209),IF((AH$22=1),(Z209+T209),(Q209-T209)),NA())</f>
        <v>#N/A:explicit</v>
      </c>
      <c t="str" s="470" r="AB209">
        <f>IF(ISNUMBER(U209),(Q209-U209),NA())</f>
        <v>#N/A:explicit</v>
      </c>
      <c t="str" s="470" r="AC209">
        <f>IF(ISNUMBER(V209),(Q209-V209),NA())</f>
        <v>#N/A:explicit</v>
      </c>
      <c t="str" s="470" r="AD209">
        <f>IF(ISNUMBER(W209),(Q209-W209),NA())</f>
        <v>#N/A:explicit</v>
      </c>
      <c t="str" s="470" r="AE209">
        <f>IF(ISNUMBER(X209),(Q209-X209),NA())</f>
        <v>#N/A:explicit</v>
      </c>
      <c t="str" s="552" r="AF209">
        <f>IF(ISNUMBER(Z209),Z209,"---")</f>
        <v>---</v>
      </c>
      <c s="142" r="AG209"/>
      <c t="str" s="142" r="AH209">
        <f>IF(ISBLANK(L209),NA(),MIN(AF$44:AF$361))</f>
        <v>#N/A:explicit</v>
      </c>
      <c t="str" s="142" r="AI209">
        <f>IF(ISNA(AA209),Z209,AA209)</f>
        <v>#N/A:explicit</v>
      </c>
      <c s="142" r="AJ209">
        <f>MIN(AF$44:AF$361)</f>
        <v>0</v>
      </c>
      <c s="142" r="AK209"/>
      <c t="str" s="142" r="AL209">
        <f>IF(ISNUMBER(AB209),O209,"---")</f>
        <v>---</v>
      </c>
      <c t="str" s="80" r="AM209">
        <f>IF(ISNUMBER(AB209),AB209,"---")</f>
        <v>---</v>
      </c>
      <c s="80" r="AN209"/>
      <c t="str" s="142" r="AO209">
        <f>IF((M209="r"),Z209,NA())</f>
        <v>#N/A:explicit</v>
      </c>
      <c t="str" s="142" r="AP209">
        <f>IF((M209="p"),Z209,NA())</f>
        <v>#N/A:explicit</v>
      </c>
      <c t="str" s="142" r="AQ209">
        <f>IF((M209="n"),Z209,NA())</f>
        <v>#N/A:explicit</v>
      </c>
      <c t="str" s="142" r="AR209">
        <f>IF((M209="g"),Z209,NA())</f>
        <v>#N/A:explicit</v>
      </c>
      <c s="142" r="AS209"/>
      <c t="str" s="142" r="AT209">
        <f>IF((COUNTA($M209:$M$361)=0),"---",IF(AND(($M209="r"),(COUNTA($M210:$M$361)&gt;0)),(MAX(AT$44:AT208)+1),IF(OR(($M208="p"),($M208="n"),($M208="g")),"---",AT208)))</f>
        <v>---</v>
      </c>
      <c t="str" s="142" r="AU209">
        <f>IF((COUNTA($M209:$M$361)=0),"---",IF(AND(($M209="p"),(COUNTA($M210:$M$361)&gt;0)),(MAX(AU$44:AU208)+1),IF(OR(($M208="r"),($M208="n"),($M208="g")),"---",AU208)))</f>
        <v>---</v>
      </c>
      <c t="str" s="142" r="AV209">
        <f>IF((COUNTA($M209:$M$361)=0),"---",IF(AND(($M209="n"),(COUNTA($M210:$M$361)&gt;0)),(MAX(AV$44:AV208)+1),IF(OR(($M208="r"),($M208="p"),($M208="g")),"---",AV208)))</f>
        <v>---</v>
      </c>
      <c t="str" s="142" r="AW209">
        <f>IF((COUNTA($M209:$M$361)=0),"---",IF(AND(($M209="g"),(COUNTA($M210:$M$361)&gt;0)),(MAX(AW$44:AW208)+1),IF(OR(($M208="r"),($M208="p"),($M208="n")),"---",AW208)))</f>
        <v>---</v>
      </c>
      <c s="676" r="AX209">
        <f>IF((M209="p"),(1+MAX(AX$44:AX208)),0)</f>
        <v>0</v>
      </c>
      <c s="51" r="AY209"/>
      <c s="761" r="AZ209"/>
      <c s="761" r="BA209"/>
      <c s="125" r="BB209"/>
      <c s="125" r="BC209"/>
      <c s="125" r="BD209"/>
      <c s="125" r="BE209"/>
      <c s="125" r="BF209"/>
      <c s="125" r="BG209"/>
      <c s="125" r="BH209"/>
      <c s="125" r="BI209"/>
    </row>
    <row r="210">
      <c s="125" r="A210"/>
      <c s="125" r="B210"/>
      <c s="125" r="C210"/>
      <c s="125" r="D210"/>
      <c s="125" r="E210"/>
      <c s="125" r="F210"/>
      <c s="125" r="G210"/>
      <c s="125" r="H210"/>
      <c s="125" r="I210"/>
      <c s="822" r="J210"/>
      <c s="429" r="K210"/>
      <c s="458" r="L210"/>
      <c s="104" r="M210"/>
      <c s="458" r="N210"/>
      <c t="str" s="589" r="O210">
        <f>IF((AH$28=2),IF(ISBLANK(N210),O209,N210),IF(ISNUMBER(N210),(MAX(O$44:O209)+N210),O209))</f>
        <v/>
      </c>
      <c s="228" r="P210"/>
      <c s="273" r="Q210">
        <f>IF(ISNUMBER(P210),((Q209+P210)-R209),Q209)</f>
        <v>100</v>
      </c>
      <c s="228" r="R210"/>
      <c s="610" r="S210"/>
      <c s="458" r="T210"/>
      <c s="458" r="U210"/>
      <c s="458" r="V210"/>
      <c s="458" r="W210"/>
      <c s="458" r="X210"/>
      <c s="458" r="Y210"/>
      <c t="str" s="620" r="Z210">
        <f>IF(ISNUMBER(S210),(Q210-S210),NA())</f>
        <v>#N/A:explicit</v>
      </c>
      <c t="str" s="620" r="AA210">
        <f>IF(ISNUMBER(T210),IF((AH$22=1),(Z210+T210),(Q210-T210)),NA())</f>
        <v>#N/A:explicit</v>
      </c>
      <c t="str" s="620" r="AB210">
        <f>IF(ISNUMBER(U210),(Q210-U210),NA())</f>
        <v>#N/A:explicit</v>
      </c>
      <c t="str" s="620" r="AC210">
        <f>IF(ISNUMBER(V210),(Q210-V210),NA())</f>
        <v>#N/A:explicit</v>
      </c>
      <c t="str" s="620" r="AD210">
        <f>IF(ISNUMBER(W210),(Q210-W210),NA())</f>
        <v>#N/A:explicit</v>
      </c>
      <c t="str" s="620" r="AE210">
        <f>IF(ISNUMBER(X210),(Q210-X210),NA())</f>
        <v>#N/A:explicit</v>
      </c>
      <c t="str" s="552" r="AF210">
        <f>IF(ISNUMBER(Z210),Z210,"---")</f>
        <v>---</v>
      </c>
      <c s="142" r="AG210"/>
      <c t="str" s="142" r="AH210">
        <f>IF(ISBLANK(L210),NA(),MIN(AF$44:AF$361))</f>
        <v>#N/A:explicit</v>
      </c>
      <c t="str" s="142" r="AI210">
        <f>IF(ISNA(AA210),Z210,AA210)</f>
        <v>#N/A:explicit</v>
      </c>
      <c s="142" r="AJ210">
        <f>MIN(AF$44:AF$361)</f>
        <v>0</v>
      </c>
      <c s="142" r="AK210"/>
      <c t="str" s="142" r="AL210">
        <f>IF(ISNUMBER(AB210),O210,"---")</f>
        <v>---</v>
      </c>
      <c t="str" s="80" r="AM210">
        <f>IF(ISNUMBER(AB210),AB210,"---")</f>
        <v>---</v>
      </c>
      <c s="80" r="AN210"/>
      <c t="str" s="142" r="AO210">
        <f>IF((M210="r"),Z210,NA())</f>
        <v>#N/A:explicit</v>
      </c>
      <c t="str" s="142" r="AP210">
        <f>IF((M210="p"),Z210,NA())</f>
        <v>#N/A:explicit</v>
      </c>
      <c t="str" s="142" r="AQ210">
        <f>IF((M210="n"),Z210,NA())</f>
        <v>#N/A:explicit</v>
      </c>
      <c t="str" s="142" r="AR210">
        <f>IF((M210="g"),Z210,NA())</f>
        <v>#N/A:explicit</v>
      </c>
      <c s="142" r="AS210"/>
      <c t="str" s="142" r="AT210">
        <f>IF((COUNTA($M210:$M$361)=0),"---",IF(AND(($M210="r"),(COUNTA($M211:$M$361)&gt;0)),(MAX(AT$44:AT209)+1),IF(OR(($M209="p"),($M209="n"),($M209="g")),"---",AT209)))</f>
        <v>---</v>
      </c>
      <c t="str" s="142" r="AU210">
        <f>IF((COUNTA($M210:$M$361)=0),"---",IF(AND(($M210="p"),(COUNTA($M211:$M$361)&gt;0)),(MAX(AU$44:AU209)+1),IF(OR(($M209="r"),($M209="n"),($M209="g")),"---",AU209)))</f>
        <v>---</v>
      </c>
      <c t="str" s="142" r="AV210">
        <f>IF((COUNTA($M210:$M$361)=0),"---",IF(AND(($M210="n"),(COUNTA($M211:$M$361)&gt;0)),(MAX(AV$44:AV209)+1),IF(OR(($M209="r"),($M209="p"),($M209="g")),"---",AV209)))</f>
        <v>---</v>
      </c>
      <c t="str" s="142" r="AW210">
        <f>IF((COUNTA($M210:$M$361)=0),"---",IF(AND(($M210="g"),(COUNTA($M211:$M$361)&gt;0)),(MAX(AW$44:AW209)+1),IF(OR(($M209="r"),($M209="p"),($M209="n")),"---",AW209)))</f>
        <v>---</v>
      </c>
      <c s="676" r="AX210">
        <f>IF((M210="p"),(1+MAX(AX$44:AX209)),0)</f>
        <v>0</v>
      </c>
      <c s="51" r="AY210"/>
      <c s="761" r="AZ210"/>
      <c s="761" r="BA210"/>
      <c s="125" r="BB210"/>
      <c s="125" r="BC210"/>
      <c s="125" r="BD210"/>
      <c s="125" r="BE210"/>
      <c s="125" r="BF210"/>
      <c s="125" r="BG210"/>
      <c s="125" r="BH210"/>
      <c s="125" r="BI210"/>
    </row>
    <row r="211">
      <c s="125" r="A211"/>
      <c s="125" r="B211"/>
      <c s="125" r="C211"/>
      <c s="125" r="D211"/>
      <c s="125" r="E211"/>
      <c s="125" r="F211"/>
      <c s="125" r="G211"/>
      <c s="125" r="H211"/>
      <c s="125" r="I211"/>
      <c s="822" r="J211"/>
      <c s="429" r="K211"/>
      <c s="458" r="L211"/>
      <c s="104" r="M211"/>
      <c s="458" r="N211"/>
      <c t="str" s="589" r="O211">
        <f>IF((AH$28=2),IF(ISBLANK(N211),O210,N211),IF(ISNUMBER(N211),(MAX(O$44:O210)+N211),O210))</f>
        <v/>
      </c>
      <c s="228" r="P211"/>
      <c s="273" r="Q211">
        <f>IF(ISNUMBER(P211),((Q210+P211)-R210),Q210)</f>
        <v>100</v>
      </c>
      <c s="228" r="R211"/>
      <c s="610" r="S211"/>
      <c s="458" r="T211"/>
      <c s="458" r="U211"/>
      <c s="458" r="V211"/>
      <c s="458" r="W211"/>
      <c s="458" r="X211"/>
      <c s="458" r="Y211"/>
      <c t="str" s="620" r="Z211">
        <f>IF(ISNUMBER(S211),(Q211-S211),NA())</f>
        <v>#N/A:explicit</v>
      </c>
      <c t="str" s="620" r="AA211">
        <f>IF(ISNUMBER(T211),IF((AH$22=1),(Z211+T211),(Q211-T211)),NA())</f>
        <v>#N/A:explicit</v>
      </c>
      <c t="str" s="620" r="AB211">
        <f>IF(ISNUMBER(U211),(Q211-U211),NA())</f>
        <v>#N/A:explicit</v>
      </c>
      <c t="str" s="620" r="AC211">
        <f>IF(ISNUMBER(V211),(Q211-V211),NA())</f>
        <v>#N/A:explicit</v>
      </c>
      <c t="str" s="620" r="AD211">
        <f>IF(ISNUMBER(W211),(Q211-W211),NA())</f>
        <v>#N/A:explicit</v>
      </c>
      <c t="str" s="620" r="AE211">
        <f>IF(ISNUMBER(X211),(Q211-X211),NA())</f>
        <v>#N/A:explicit</v>
      </c>
      <c t="str" s="552" r="AF211">
        <f>IF(ISNUMBER(Z211),Z211,"---")</f>
        <v>---</v>
      </c>
      <c s="142" r="AG211"/>
      <c t="str" s="142" r="AH211">
        <f>IF(ISBLANK(L211),NA(),MIN(AF$44:AF$361))</f>
        <v>#N/A:explicit</v>
      </c>
      <c t="str" s="142" r="AI211">
        <f>IF(ISNA(AA211),Z211,AA211)</f>
        <v>#N/A:explicit</v>
      </c>
      <c s="142" r="AJ211">
        <f>MIN(AF$44:AF$361)</f>
        <v>0</v>
      </c>
      <c s="142" r="AK211"/>
      <c t="str" s="142" r="AL211">
        <f>IF(ISNUMBER(AB211),O211,"---")</f>
        <v>---</v>
      </c>
      <c t="str" s="80" r="AM211">
        <f>IF(ISNUMBER(AB211),AB211,"---")</f>
        <v>---</v>
      </c>
      <c s="80" r="AN211"/>
      <c t="str" s="142" r="AO211">
        <f>IF((M211="r"),Z211,NA())</f>
        <v>#N/A:explicit</v>
      </c>
      <c t="str" s="142" r="AP211">
        <f>IF((M211="p"),Z211,NA())</f>
        <v>#N/A:explicit</v>
      </c>
      <c t="str" s="142" r="AQ211">
        <f>IF((M211="n"),Z211,NA())</f>
        <v>#N/A:explicit</v>
      </c>
      <c t="str" s="142" r="AR211">
        <f>IF((M211="g"),Z211,NA())</f>
        <v>#N/A:explicit</v>
      </c>
      <c s="142" r="AS211"/>
      <c t="str" s="142" r="AT211">
        <f>IF((COUNTA($M211:$M$361)=0),"---",IF(AND(($M211="r"),(COUNTA($M212:$M$361)&gt;0)),(MAX(AT$44:AT210)+1),IF(OR(($M210="p"),($M210="n"),($M210="g")),"---",AT210)))</f>
        <v>---</v>
      </c>
      <c t="str" s="142" r="AU211">
        <f>IF((COUNTA($M211:$M$361)=0),"---",IF(AND(($M211="p"),(COUNTA($M212:$M$361)&gt;0)),(MAX(AU$44:AU210)+1),IF(OR(($M210="r"),($M210="n"),($M210="g")),"---",AU210)))</f>
        <v>---</v>
      </c>
      <c t="str" s="142" r="AV211">
        <f>IF((COUNTA($M211:$M$361)=0),"---",IF(AND(($M211="n"),(COUNTA($M212:$M$361)&gt;0)),(MAX(AV$44:AV210)+1),IF(OR(($M210="r"),($M210="p"),($M210="g")),"---",AV210)))</f>
        <v>---</v>
      </c>
      <c t="str" s="142" r="AW211">
        <f>IF((COUNTA($M211:$M$361)=0),"---",IF(AND(($M211="g"),(COUNTA($M212:$M$361)&gt;0)),(MAX(AW$44:AW210)+1),IF(OR(($M210="r"),($M210="p"),($M210="n")),"---",AW210)))</f>
        <v>---</v>
      </c>
      <c s="676" r="AX211">
        <f>IF((M211="p"),(1+MAX(AX$44:AX210)),0)</f>
        <v>0</v>
      </c>
      <c s="51" r="AY211"/>
      <c s="761" r="AZ211"/>
      <c s="761" r="BA211"/>
      <c s="125" r="BB211"/>
      <c s="125" r="BC211"/>
      <c s="125" r="BD211"/>
      <c s="125" r="BE211"/>
      <c s="125" r="BF211"/>
      <c s="125" r="BG211"/>
      <c s="125" r="BH211"/>
      <c s="125" r="BI211"/>
    </row>
    <row r="212">
      <c s="125" r="A212"/>
      <c s="125" r="B212"/>
      <c s="125" r="C212"/>
      <c s="125" r="D212"/>
      <c s="125" r="E212"/>
      <c s="125" r="F212"/>
      <c s="125" r="G212"/>
      <c s="125" r="H212"/>
      <c s="125" r="I212"/>
      <c s="822" r="J212"/>
      <c s="429" r="K212"/>
      <c s="458" r="L212"/>
      <c s="104" r="M212"/>
      <c s="458" r="N212"/>
      <c t="str" s="589" r="O212">
        <f>IF((AH$28=2),IF(ISBLANK(N212),O211,N212),IF(ISNUMBER(N212),(MAX(O$44:O211)+N212),O211))</f>
        <v/>
      </c>
      <c s="228" r="P212"/>
      <c s="273" r="Q212">
        <f>IF(ISNUMBER(P212),((Q211+P212)-R211),Q211)</f>
        <v>100</v>
      </c>
      <c s="228" r="R212"/>
      <c s="610" r="S212"/>
      <c s="458" r="T212"/>
      <c s="458" r="U212"/>
      <c s="458" r="V212"/>
      <c s="458" r="W212"/>
      <c s="458" r="X212"/>
      <c s="458" r="Y212"/>
      <c t="str" s="620" r="Z212">
        <f>IF(ISNUMBER(S212),(Q212-S212),NA())</f>
        <v>#N/A:explicit</v>
      </c>
      <c t="str" s="620" r="AA212">
        <f>IF(ISNUMBER(T212),IF((AH$22=1),(Z212+T212),(Q212-T212)),NA())</f>
        <v>#N/A:explicit</v>
      </c>
      <c t="str" s="620" r="AB212">
        <f>IF(ISNUMBER(U212),(Q212-U212),NA())</f>
        <v>#N/A:explicit</v>
      </c>
      <c t="str" s="620" r="AC212">
        <f>IF(ISNUMBER(V212),(Q212-V212),NA())</f>
        <v>#N/A:explicit</v>
      </c>
      <c t="str" s="620" r="AD212">
        <f>IF(ISNUMBER(W212),(Q212-W212),NA())</f>
        <v>#N/A:explicit</v>
      </c>
      <c t="str" s="620" r="AE212">
        <f>IF(ISNUMBER(X212),(Q212-X212),NA())</f>
        <v>#N/A:explicit</v>
      </c>
      <c t="str" s="552" r="AF212">
        <f>IF(ISNUMBER(Z212),Z212,"---")</f>
        <v>---</v>
      </c>
      <c s="142" r="AG212"/>
      <c t="str" s="142" r="AH212">
        <f>IF(ISBLANK(L212),NA(),MIN(AF$44:AF$361))</f>
        <v>#N/A:explicit</v>
      </c>
      <c t="str" s="142" r="AI212">
        <f>IF(ISNA(AA212),Z212,AA212)</f>
        <v>#N/A:explicit</v>
      </c>
      <c s="142" r="AJ212">
        <f>MIN(AF$44:AF$361)</f>
        <v>0</v>
      </c>
      <c s="142" r="AK212"/>
      <c t="str" s="142" r="AL212">
        <f>IF(ISNUMBER(AB212),O212,"---")</f>
        <v>---</v>
      </c>
      <c t="str" s="80" r="AM212">
        <f>IF(ISNUMBER(AB212),AB212,"---")</f>
        <v>---</v>
      </c>
      <c s="80" r="AN212"/>
      <c t="str" s="142" r="AO212">
        <f>IF((M212="r"),Z212,NA())</f>
        <v>#N/A:explicit</v>
      </c>
      <c t="str" s="142" r="AP212">
        <f>IF((M212="p"),Z212,NA())</f>
        <v>#N/A:explicit</v>
      </c>
      <c t="str" s="142" r="AQ212">
        <f>IF((M212="n"),Z212,NA())</f>
        <v>#N/A:explicit</v>
      </c>
      <c t="str" s="142" r="AR212">
        <f>IF((M212="g"),Z212,NA())</f>
        <v>#N/A:explicit</v>
      </c>
      <c s="142" r="AS212"/>
      <c t="str" s="142" r="AT212">
        <f>IF((COUNTA($M212:$M$361)=0),"---",IF(AND(($M212="r"),(COUNTA($M213:$M$361)&gt;0)),(MAX(AT$44:AT211)+1),IF(OR(($M211="p"),($M211="n"),($M211="g")),"---",AT211)))</f>
        <v>---</v>
      </c>
      <c t="str" s="142" r="AU212">
        <f>IF((COUNTA($M212:$M$361)=0),"---",IF(AND(($M212="p"),(COUNTA($M213:$M$361)&gt;0)),(MAX(AU$44:AU211)+1),IF(OR(($M211="r"),($M211="n"),($M211="g")),"---",AU211)))</f>
        <v>---</v>
      </c>
      <c t="str" s="142" r="AV212">
        <f>IF((COUNTA($M212:$M$361)=0),"---",IF(AND(($M212="n"),(COUNTA($M213:$M$361)&gt;0)),(MAX(AV$44:AV211)+1),IF(OR(($M211="r"),($M211="p"),($M211="g")),"---",AV211)))</f>
        <v>---</v>
      </c>
      <c t="str" s="142" r="AW212">
        <f>IF((COUNTA($M212:$M$361)=0),"---",IF(AND(($M212="g"),(COUNTA($M213:$M$361)&gt;0)),(MAX(AW$44:AW211)+1),IF(OR(($M211="r"),($M211="p"),($M211="n")),"---",AW211)))</f>
        <v>---</v>
      </c>
      <c s="676" r="AX212">
        <f>IF((M212="p"),(1+MAX(AX$44:AX211)),0)</f>
        <v>0</v>
      </c>
      <c s="51" r="AY212"/>
      <c s="761" r="AZ212"/>
      <c s="761" r="BA212"/>
      <c s="125" r="BB212"/>
      <c s="125" r="BC212"/>
      <c s="125" r="BD212"/>
      <c s="125" r="BE212"/>
      <c s="125" r="BF212"/>
      <c s="125" r="BG212"/>
      <c s="125" r="BH212"/>
      <c s="125" r="BI212"/>
    </row>
    <row r="213">
      <c s="125" r="A213"/>
      <c s="125" r="B213"/>
      <c s="125" r="C213"/>
      <c s="125" r="D213"/>
      <c s="125" r="E213"/>
      <c s="125" r="F213"/>
      <c s="125" r="G213"/>
      <c s="125" r="H213"/>
      <c s="125" r="I213"/>
      <c s="822" r="J213"/>
      <c s="848" r="K213"/>
      <c s="550" r="L213"/>
      <c s="104" r="M213"/>
      <c s="550" r="N213"/>
      <c t="str" s="589" r="O213">
        <f>IF((AH$28=2),IF(ISBLANK(N213),O212,N213),IF(ISNUMBER(N213),(MAX(O$44:O212)+N213),O212))</f>
        <v/>
      </c>
      <c s="694" r="P213"/>
      <c s="273" r="Q213">
        <f>IF(ISNUMBER(P213),((Q212+P213)-R212),Q212)</f>
        <v>100</v>
      </c>
      <c s="694" r="R213"/>
      <c s="821" r="S213"/>
      <c s="550" r="T213"/>
      <c s="550" r="U213"/>
      <c s="550" r="V213"/>
      <c s="550" r="W213"/>
      <c s="550" r="X213"/>
      <c s="550" r="Y213"/>
      <c t="str" s="470" r="Z213">
        <f>IF(ISNUMBER(S213),(Q213-S213),NA())</f>
        <v>#N/A:explicit</v>
      </c>
      <c t="str" s="470" r="AA213">
        <f>IF(ISNUMBER(T213),IF((AH$22=1),(Z213+T213),(Q213-T213)),NA())</f>
        <v>#N/A:explicit</v>
      </c>
      <c t="str" s="470" r="AB213">
        <f>IF(ISNUMBER(U213),(Q213-U213),NA())</f>
        <v>#N/A:explicit</v>
      </c>
      <c t="str" s="470" r="AC213">
        <f>IF(ISNUMBER(V213),(Q213-V213),NA())</f>
        <v>#N/A:explicit</v>
      </c>
      <c t="str" s="470" r="AD213">
        <f>IF(ISNUMBER(W213),(Q213-W213),NA())</f>
        <v>#N/A:explicit</v>
      </c>
      <c t="str" s="470" r="AE213">
        <f>IF(ISNUMBER(X213),(Q213-X213),NA())</f>
        <v>#N/A:explicit</v>
      </c>
      <c t="str" s="552" r="AF213">
        <f>IF(ISNUMBER(Z213),Z213,"---")</f>
        <v>---</v>
      </c>
      <c s="142" r="AG213"/>
      <c t="str" s="142" r="AH213">
        <f>IF(ISBLANK(L213),NA(),MIN(AF$44:AF$361))</f>
        <v>#N/A:explicit</v>
      </c>
      <c t="str" s="142" r="AI213">
        <f>IF(ISNA(AA213),Z213,AA213)</f>
        <v>#N/A:explicit</v>
      </c>
      <c s="142" r="AJ213">
        <f>MIN(AF$44:AF$361)</f>
        <v>0</v>
      </c>
      <c s="142" r="AK213"/>
      <c t="str" s="142" r="AL213">
        <f>IF(ISNUMBER(AB213),O213,"---")</f>
        <v>---</v>
      </c>
      <c t="str" s="80" r="AM213">
        <f>IF(ISNUMBER(AB213),AB213,"---")</f>
        <v>---</v>
      </c>
      <c s="80" r="AN213"/>
      <c t="str" s="142" r="AO213">
        <f>IF((M213="r"),Z213,NA())</f>
        <v>#N/A:explicit</v>
      </c>
      <c t="str" s="142" r="AP213">
        <f>IF((M213="p"),Z213,NA())</f>
        <v>#N/A:explicit</v>
      </c>
      <c t="str" s="142" r="AQ213">
        <f>IF((M213="n"),Z213,NA())</f>
        <v>#N/A:explicit</v>
      </c>
      <c t="str" s="142" r="AR213">
        <f>IF((M213="g"),Z213,NA())</f>
        <v>#N/A:explicit</v>
      </c>
      <c s="142" r="AS213"/>
      <c t="str" s="142" r="AT213">
        <f>IF((COUNTA($M213:$M$361)=0),"---",IF(AND(($M213="r"),(COUNTA($M214:$M$361)&gt;0)),(MAX(AT$44:AT212)+1),IF(OR(($M212="p"),($M212="n"),($M212="g")),"---",AT212)))</f>
        <v>---</v>
      </c>
      <c t="str" s="142" r="AU213">
        <f>IF((COUNTA($M213:$M$361)=0),"---",IF(AND(($M213="p"),(COUNTA($M214:$M$361)&gt;0)),(MAX(AU$44:AU212)+1),IF(OR(($M212="r"),($M212="n"),($M212="g")),"---",AU212)))</f>
        <v>---</v>
      </c>
      <c t="str" s="142" r="AV213">
        <f>IF((COUNTA($M213:$M$361)=0),"---",IF(AND(($M213="n"),(COUNTA($M214:$M$361)&gt;0)),(MAX(AV$44:AV212)+1),IF(OR(($M212="r"),($M212="p"),($M212="g")),"---",AV212)))</f>
        <v>---</v>
      </c>
      <c t="str" s="142" r="AW213">
        <f>IF((COUNTA($M213:$M$361)=0),"---",IF(AND(($M213="g"),(COUNTA($M214:$M$361)&gt;0)),(MAX(AW$44:AW212)+1),IF(OR(($M212="r"),($M212="p"),($M212="n")),"---",AW212)))</f>
        <v>---</v>
      </c>
      <c s="676" r="AX213">
        <f>IF((M213="p"),(1+MAX(AX$44:AX212)),0)</f>
        <v>0</v>
      </c>
      <c s="51" r="AY213"/>
      <c s="761" r="AZ213"/>
      <c s="761" r="BA213"/>
      <c s="125" r="BB213"/>
      <c s="125" r="BC213"/>
      <c s="125" r="BD213"/>
      <c s="125" r="BE213"/>
      <c s="125" r="BF213"/>
      <c s="125" r="BG213"/>
      <c s="125" r="BH213"/>
      <c s="125" r="BI213"/>
    </row>
    <row r="214">
      <c s="125" r="A214"/>
      <c s="125" r="B214"/>
      <c s="125" r="C214"/>
      <c s="125" r="D214"/>
      <c s="125" r="E214"/>
      <c s="125" r="F214"/>
      <c s="125" r="G214"/>
      <c s="125" r="H214"/>
      <c s="125" r="I214"/>
      <c s="822" r="J214"/>
      <c s="848" r="K214"/>
      <c s="550" r="L214"/>
      <c s="104" r="M214"/>
      <c s="550" r="N214"/>
      <c t="str" s="589" r="O214">
        <f>IF((AH$28=2),IF(ISBLANK(N214),O213,N214),IF(ISNUMBER(N214),(MAX(O$44:O213)+N214),O213))</f>
        <v/>
      </c>
      <c s="694" r="P214"/>
      <c s="273" r="Q214">
        <f>IF(ISNUMBER(P214),((Q213+P214)-R213),Q213)</f>
        <v>100</v>
      </c>
      <c s="694" r="R214"/>
      <c s="821" r="S214"/>
      <c s="550" r="T214"/>
      <c s="550" r="U214"/>
      <c s="550" r="V214"/>
      <c s="550" r="W214"/>
      <c s="550" r="X214"/>
      <c s="550" r="Y214"/>
      <c t="str" s="470" r="Z214">
        <f>IF(ISNUMBER(S214),(Q214-S214),NA())</f>
        <v>#N/A:explicit</v>
      </c>
      <c t="str" s="470" r="AA214">
        <f>IF(ISNUMBER(T214),IF((AH$22=1),(Z214+T214),(Q214-T214)),NA())</f>
        <v>#N/A:explicit</v>
      </c>
      <c t="str" s="470" r="AB214">
        <f>IF(ISNUMBER(U214),(Q214-U214),NA())</f>
        <v>#N/A:explicit</v>
      </c>
      <c t="str" s="470" r="AC214">
        <f>IF(ISNUMBER(V214),(Q214-V214),NA())</f>
        <v>#N/A:explicit</v>
      </c>
      <c t="str" s="470" r="AD214">
        <f>IF(ISNUMBER(W214),(Q214-W214),NA())</f>
        <v>#N/A:explicit</v>
      </c>
      <c t="str" s="470" r="AE214">
        <f>IF(ISNUMBER(X214),(Q214-X214),NA())</f>
        <v>#N/A:explicit</v>
      </c>
      <c t="str" s="552" r="AF214">
        <f>IF(ISNUMBER(Z214),Z214,"---")</f>
        <v>---</v>
      </c>
      <c s="142" r="AG214"/>
      <c t="str" s="142" r="AH214">
        <f>IF(ISBLANK(L214),NA(),MIN(AF$44:AF$361))</f>
        <v>#N/A:explicit</v>
      </c>
      <c t="str" s="142" r="AI214">
        <f>IF(ISNA(AA214),Z214,AA214)</f>
        <v>#N/A:explicit</v>
      </c>
      <c s="142" r="AJ214">
        <f>MIN(AF$44:AF$361)</f>
        <v>0</v>
      </c>
      <c s="142" r="AK214"/>
      <c t="str" s="142" r="AL214">
        <f>IF(ISNUMBER(AB214),O214,"---")</f>
        <v>---</v>
      </c>
      <c t="str" s="80" r="AM214">
        <f>IF(ISNUMBER(AB214),AB214,"---")</f>
        <v>---</v>
      </c>
      <c s="80" r="AN214"/>
      <c t="str" s="142" r="AO214">
        <f>IF((M214="r"),Z214,NA())</f>
        <v>#N/A:explicit</v>
      </c>
      <c t="str" s="142" r="AP214">
        <f>IF((M214="p"),Z214,NA())</f>
        <v>#N/A:explicit</v>
      </c>
      <c t="str" s="142" r="AQ214">
        <f>IF((M214="n"),Z214,NA())</f>
        <v>#N/A:explicit</v>
      </c>
      <c t="str" s="142" r="AR214">
        <f>IF((M214="g"),Z214,NA())</f>
        <v>#N/A:explicit</v>
      </c>
      <c s="142" r="AS214"/>
      <c t="str" s="142" r="AT214">
        <f>IF((COUNTA($M214:$M$361)=0),"---",IF(AND(($M214="r"),(COUNTA($M215:$M$361)&gt;0)),(MAX(AT$44:AT213)+1),IF(OR(($M213="p"),($M213="n"),($M213="g")),"---",AT213)))</f>
        <v>---</v>
      </c>
      <c t="str" s="142" r="AU214">
        <f>IF((COUNTA($M214:$M$361)=0),"---",IF(AND(($M214="p"),(COUNTA($M215:$M$361)&gt;0)),(MAX(AU$44:AU213)+1),IF(OR(($M213="r"),($M213="n"),($M213="g")),"---",AU213)))</f>
        <v>---</v>
      </c>
      <c t="str" s="142" r="AV214">
        <f>IF((COUNTA($M214:$M$361)=0),"---",IF(AND(($M214="n"),(COUNTA($M215:$M$361)&gt;0)),(MAX(AV$44:AV213)+1),IF(OR(($M213="r"),($M213="p"),($M213="g")),"---",AV213)))</f>
        <v>---</v>
      </c>
      <c t="str" s="142" r="AW214">
        <f>IF((COUNTA($M214:$M$361)=0),"---",IF(AND(($M214="g"),(COUNTA($M215:$M$361)&gt;0)),(MAX(AW$44:AW213)+1),IF(OR(($M213="r"),($M213="p"),($M213="n")),"---",AW213)))</f>
        <v>---</v>
      </c>
      <c s="676" r="AX214">
        <f>IF((M214="p"),(1+MAX(AX$44:AX213)),0)</f>
        <v>0</v>
      </c>
      <c s="51" r="AY214"/>
      <c s="761" r="AZ214"/>
      <c s="761" r="BA214"/>
      <c s="125" r="BB214"/>
      <c s="125" r="BC214"/>
      <c s="125" r="BD214"/>
      <c s="125" r="BE214"/>
      <c s="125" r="BF214"/>
      <c s="125" r="BG214"/>
      <c s="125" r="BH214"/>
      <c s="125" r="BI214"/>
    </row>
    <row r="215">
      <c s="125" r="A215"/>
      <c s="125" r="B215"/>
      <c s="125" r="C215"/>
      <c s="125" r="D215"/>
      <c s="125" r="E215"/>
      <c s="125" r="F215"/>
      <c s="125" r="G215"/>
      <c s="125" r="H215"/>
      <c s="125" r="I215"/>
      <c s="822" r="J215"/>
      <c s="848" r="K215"/>
      <c s="550" r="L215"/>
      <c s="104" r="M215"/>
      <c s="550" r="N215"/>
      <c t="str" s="589" r="O215">
        <f>IF((AH$28=2),IF(ISBLANK(N215),O214,N215),IF(ISNUMBER(N215),(MAX(O$44:O214)+N215),O214))</f>
        <v/>
      </c>
      <c s="694" r="P215"/>
      <c s="273" r="Q215">
        <f>IF(ISNUMBER(P215),((Q214+P215)-R214),Q214)</f>
        <v>100</v>
      </c>
      <c s="694" r="R215"/>
      <c s="821" r="S215"/>
      <c s="550" r="T215"/>
      <c s="550" r="U215"/>
      <c s="550" r="V215"/>
      <c s="550" r="W215"/>
      <c s="550" r="X215"/>
      <c s="550" r="Y215"/>
      <c t="str" s="470" r="Z215">
        <f>IF(ISNUMBER(S215),(Q215-S215),NA())</f>
        <v>#N/A:explicit</v>
      </c>
      <c t="str" s="470" r="AA215">
        <f>IF(ISNUMBER(T215),IF((AH$22=1),(Z215+T215),(Q215-T215)),NA())</f>
        <v>#N/A:explicit</v>
      </c>
      <c t="str" s="470" r="AB215">
        <f>IF(ISNUMBER(U215),(Q215-U215),NA())</f>
        <v>#N/A:explicit</v>
      </c>
      <c t="str" s="470" r="AC215">
        <f>IF(ISNUMBER(V215),(Q215-V215),NA())</f>
        <v>#N/A:explicit</v>
      </c>
      <c t="str" s="470" r="AD215">
        <f>IF(ISNUMBER(W215),(Q215-W215),NA())</f>
        <v>#N/A:explicit</v>
      </c>
      <c t="str" s="470" r="AE215">
        <f>IF(ISNUMBER(X215),(Q215-X215),NA())</f>
        <v>#N/A:explicit</v>
      </c>
      <c t="str" s="552" r="AF215">
        <f>IF(ISNUMBER(Z215),Z215,"---")</f>
        <v>---</v>
      </c>
      <c s="142" r="AG215"/>
      <c t="str" s="142" r="AH215">
        <f>IF(ISBLANK(L215),NA(),MIN(AF$44:AF$361))</f>
        <v>#N/A:explicit</v>
      </c>
      <c t="str" s="142" r="AI215">
        <f>IF(ISNA(AA215),Z215,AA215)</f>
        <v>#N/A:explicit</v>
      </c>
      <c s="142" r="AJ215">
        <f>MIN(AF$44:AF$361)</f>
        <v>0</v>
      </c>
      <c s="142" r="AK215"/>
      <c t="str" s="142" r="AL215">
        <f>IF(ISNUMBER(AB215),O215,"---")</f>
        <v>---</v>
      </c>
      <c t="str" s="80" r="AM215">
        <f>IF(ISNUMBER(AB215),AB215,"---")</f>
        <v>---</v>
      </c>
      <c s="80" r="AN215"/>
      <c t="str" s="142" r="AO215">
        <f>IF((M215="r"),Z215,NA())</f>
        <v>#N/A:explicit</v>
      </c>
      <c t="str" s="142" r="AP215">
        <f>IF((M215="p"),Z215,NA())</f>
        <v>#N/A:explicit</v>
      </c>
      <c t="str" s="142" r="AQ215">
        <f>IF((M215="n"),Z215,NA())</f>
        <v>#N/A:explicit</v>
      </c>
      <c t="str" s="142" r="AR215">
        <f>IF((M215="g"),Z215,NA())</f>
        <v>#N/A:explicit</v>
      </c>
      <c s="142" r="AS215"/>
      <c t="str" s="142" r="AT215">
        <f>IF((COUNTA($M215:$M$361)=0),"---",IF(AND(($M215="r"),(COUNTA($M216:$M$361)&gt;0)),(MAX(AT$44:AT214)+1),IF(OR(($M214="p"),($M214="n"),($M214="g")),"---",AT214)))</f>
        <v>---</v>
      </c>
      <c t="str" s="142" r="AU215">
        <f>IF((COUNTA($M215:$M$361)=0),"---",IF(AND(($M215="p"),(COUNTA($M216:$M$361)&gt;0)),(MAX(AU$44:AU214)+1),IF(OR(($M214="r"),($M214="n"),($M214="g")),"---",AU214)))</f>
        <v>---</v>
      </c>
      <c t="str" s="142" r="AV215">
        <f>IF((COUNTA($M215:$M$361)=0),"---",IF(AND(($M215="n"),(COUNTA($M216:$M$361)&gt;0)),(MAX(AV$44:AV214)+1),IF(OR(($M214="r"),($M214="p"),($M214="g")),"---",AV214)))</f>
        <v>---</v>
      </c>
      <c t="str" s="142" r="AW215">
        <f>IF((COUNTA($M215:$M$361)=0),"---",IF(AND(($M215="g"),(COUNTA($M216:$M$361)&gt;0)),(MAX(AW$44:AW214)+1),IF(OR(($M214="r"),($M214="p"),($M214="n")),"---",AW214)))</f>
        <v>---</v>
      </c>
      <c s="676" r="AX215">
        <f>IF((M215="p"),(1+MAX(AX$44:AX214)),0)</f>
        <v>0</v>
      </c>
      <c s="51" r="AY215"/>
      <c s="761" r="AZ215"/>
      <c s="761" r="BA215"/>
      <c s="125" r="BB215"/>
      <c s="125" r="BC215"/>
      <c s="125" r="BD215"/>
      <c s="125" r="BE215"/>
      <c s="125" r="BF215"/>
      <c s="125" r="BG215"/>
      <c s="125" r="BH215"/>
      <c s="125" r="BI215"/>
    </row>
    <row r="216">
      <c s="125" r="A216"/>
      <c s="125" r="B216"/>
      <c s="125" r="C216"/>
      <c s="125" r="D216"/>
      <c s="125" r="E216"/>
      <c s="125" r="F216"/>
      <c s="125" r="G216"/>
      <c s="125" r="H216"/>
      <c s="125" r="I216"/>
      <c s="822" r="J216"/>
      <c s="429" r="K216"/>
      <c s="458" r="L216"/>
      <c s="104" r="M216"/>
      <c s="458" r="N216"/>
      <c t="str" s="589" r="O216">
        <f>IF((AH$28=2),IF(ISBLANK(N216),O215,N216),IF(ISNUMBER(N216),(MAX(O$44:O215)+N216),O215))</f>
        <v/>
      </c>
      <c s="228" r="P216"/>
      <c s="273" r="Q216">
        <f>IF(ISNUMBER(P216),((Q215+P216)-R215),Q215)</f>
        <v>100</v>
      </c>
      <c s="228" r="R216"/>
      <c s="610" r="S216"/>
      <c s="458" r="T216"/>
      <c s="458" r="U216"/>
      <c s="458" r="V216"/>
      <c s="458" r="W216"/>
      <c s="458" r="X216"/>
      <c s="458" r="Y216"/>
      <c t="str" s="620" r="Z216">
        <f>IF(ISNUMBER(S216),(Q216-S216),NA())</f>
        <v>#N/A:explicit</v>
      </c>
      <c t="str" s="620" r="AA216">
        <f>IF(ISNUMBER(T216),IF((AH$22=1),(Z216+T216),(Q216-T216)),NA())</f>
        <v>#N/A:explicit</v>
      </c>
      <c t="str" s="620" r="AB216">
        <f>IF(ISNUMBER(U216),(Q216-U216),NA())</f>
        <v>#N/A:explicit</v>
      </c>
      <c t="str" s="620" r="AC216">
        <f>IF(ISNUMBER(V216),(Q216-V216),NA())</f>
        <v>#N/A:explicit</v>
      </c>
      <c t="str" s="620" r="AD216">
        <f>IF(ISNUMBER(W216),(Q216-W216),NA())</f>
        <v>#N/A:explicit</v>
      </c>
      <c t="str" s="620" r="AE216">
        <f>IF(ISNUMBER(X216),(Q216-X216),NA())</f>
        <v>#N/A:explicit</v>
      </c>
      <c t="str" s="552" r="AF216">
        <f>IF(ISNUMBER(Z216),Z216,"---")</f>
        <v>---</v>
      </c>
      <c s="142" r="AG216"/>
      <c t="str" s="142" r="AH216">
        <f>IF(ISBLANK(L216),NA(),MIN(AF$44:AF$361))</f>
        <v>#N/A:explicit</v>
      </c>
      <c t="str" s="142" r="AI216">
        <f>IF(ISNA(AA216),Z216,AA216)</f>
        <v>#N/A:explicit</v>
      </c>
      <c s="142" r="AJ216">
        <f>MIN(AF$44:AF$361)</f>
        <v>0</v>
      </c>
      <c s="142" r="AK216"/>
      <c t="str" s="142" r="AL216">
        <f>IF(ISNUMBER(AB216),O216,"---")</f>
        <v>---</v>
      </c>
      <c t="str" s="80" r="AM216">
        <f>IF(ISNUMBER(AB216),AB216,"---")</f>
        <v>---</v>
      </c>
      <c s="80" r="AN216"/>
      <c t="str" s="142" r="AO216">
        <f>IF((M216="r"),Z216,NA())</f>
        <v>#N/A:explicit</v>
      </c>
      <c t="str" s="142" r="AP216">
        <f>IF((M216="p"),Z216,NA())</f>
        <v>#N/A:explicit</v>
      </c>
      <c t="str" s="142" r="AQ216">
        <f>IF((M216="n"),Z216,NA())</f>
        <v>#N/A:explicit</v>
      </c>
      <c t="str" s="142" r="AR216">
        <f>IF((M216="g"),Z216,NA())</f>
        <v>#N/A:explicit</v>
      </c>
      <c s="142" r="AS216"/>
      <c t="str" s="142" r="AT216">
        <f>IF((COUNTA($M216:$M$361)=0),"---",IF(AND(($M216="r"),(COUNTA($M217:$M$361)&gt;0)),(MAX(AT$44:AT215)+1),IF(OR(($M215="p"),($M215="n"),($M215="g")),"---",AT215)))</f>
        <v>---</v>
      </c>
      <c t="str" s="142" r="AU216">
        <f>IF((COUNTA($M216:$M$361)=0),"---",IF(AND(($M216="p"),(COUNTA($M217:$M$361)&gt;0)),(MAX(AU$44:AU215)+1),IF(OR(($M215="r"),($M215="n"),($M215="g")),"---",AU215)))</f>
        <v>---</v>
      </c>
      <c t="str" s="142" r="AV216">
        <f>IF((COUNTA($M216:$M$361)=0),"---",IF(AND(($M216="n"),(COUNTA($M217:$M$361)&gt;0)),(MAX(AV$44:AV215)+1),IF(OR(($M215="r"),($M215="p"),($M215="g")),"---",AV215)))</f>
        <v>---</v>
      </c>
      <c t="str" s="142" r="AW216">
        <f>IF((COUNTA($M216:$M$361)=0),"---",IF(AND(($M216="g"),(COUNTA($M217:$M$361)&gt;0)),(MAX(AW$44:AW215)+1),IF(OR(($M215="r"),($M215="p"),($M215="n")),"---",AW215)))</f>
        <v>---</v>
      </c>
      <c s="676" r="AX216">
        <f>IF((M216="p"),(1+MAX(AX$44:AX215)),0)</f>
        <v>0</v>
      </c>
      <c s="51" r="AY216"/>
      <c s="761" r="AZ216"/>
      <c s="761" r="BA216"/>
      <c s="125" r="BB216"/>
      <c s="125" r="BC216"/>
      <c s="125" r="BD216"/>
      <c s="125" r="BE216"/>
      <c s="125" r="BF216"/>
      <c s="125" r="BG216"/>
      <c s="125" r="BH216"/>
      <c s="125" r="BI216"/>
    </row>
    <row r="217">
      <c s="125" r="A217"/>
      <c s="125" r="B217"/>
      <c s="125" r="C217"/>
      <c s="125" r="D217"/>
      <c s="125" r="E217"/>
      <c s="125" r="F217"/>
      <c s="125" r="G217"/>
      <c s="125" r="H217"/>
      <c s="125" r="I217"/>
      <c s="822" r="J217"/>
      <c s="429" r="K217"/>
      <c s="458" r="L217"/>
      <c s="104" r="M217"/>
      <c s="458" r="N217"/>
      <c t="str" s="589" r="O217">
        <f>IF((AH$28=2),IF(ISBLANK(N217),O216,N217),IF(ISNUMBER(N217),(MAX(O$44:O216)+N217),O216))</f>
        <v/>
      </c>
      <c s="228" r="P217"/>
      <c s="273" r="Q217">
        <f>IF(ISNUMBER(P217),((Q216+P217)-R216),Q216)</f>
        <v>100</v>
      </c>
      <c s="228" r="R217"/>
      <c s="610" r="S217"/>
      <c s="458" r="T217"/>
      <c s="458" r="U217"/>
      <c s="458" r="V217"/>
      <c s="458" r="W217"/>
      <c s="458" r="X217"/>
      <c s="458" r="Y217"/>
      <c t="str" s="620" r="Z217">
        <f>IF(ISNUMBER(S217),(Q217-S217),NA())</f>
        <v>#N/A:explicit</v>
      </c>
      <c t="str" s="620" r="AA217">
        <f>IF(ISNUMBER(T217),IF((AH$22=1),(Z217+T217),(Q217-T217)),NA())</f>
        <v>#N/A:explicit</v>
      </c>
      <c t="str" s="620" r="AB217">
        <f>IF(ISNUMBER(U217),(Q217-U217),NA())</f>
        <v>#N/A:explicit</v>
      </c>
      <c t="str" s="620" r="AC217">
        <f>IF(ISNUMBER(V217),(Q217-V217),NA())</f>
        <v>#N/A:explicit</v>
      </c>
      <c t="str" s="620" r="AD217">
        <f>IF(ISNUMBER(W217),(Q217-W217),NA())</f>
        <v>#N/A:explicit</v>
      </c>
      <c t="str" s="620" r="AE217">
        <f>IF(ISNUMBER(X217),(Q217-X217),NA())</f>
        <v>#N/A:explicit</v>
      </c>
      <c t="str" s="552" r="AF217">
        <f>IF(ISNUMBER(Z217),Z217,"---")</f>
        <v>---</v>
      </c>
      <c s="142" r="AG217"/>
      <c t="str" s="142" r="AH217">
        <f>IF(ISBLANK(L217),NA(),MIN(AF$44:AF$361))</f>
        <v>#N/A:explicit</v>
      </c>
      <c t="str" s="142" r="AI217">
        <f>IF(ISNA(AA217),Z217,AA217)</f>
        <v>#N/A:explicit</v>
      </c>
      <c s="142" r="AJ217">
        <f>MIN(AF$44:AF$361)</f>
        <v>0</v>
      </c>
      <c s="142" r="AK217"/>
      <c t="str" s="142" r="AL217">
        <f>IF(ISNUMBER(AB217),O217,"---")</f>
        <v>---</v>
      </c>
      <c t="str" s="80" r="AM217">
        <f>IF(ISNUMBER(AB217),AB217,"---")</f>
        <v>---</v>
      </c>
      <c s="80" r="AN217"/>
      <c t="str" s="142" r="AO217">
        <f>IF((M217="r"),Z217,NA())</f>
        <v>#N/A:explicit</v>
      </c>
      <c t="str" s="142" r="AP217">
        <f>IF((M217="p"),Z217,NA())</f>
        <v>#N/A:explicit</v>
      </c>
      <c t="str" s="142" r="AQ217">
        <f>IF((M217="n"),Z217,NA())</f>
        <v>#N/A:explicit</v>
      </c>
      <c t="str" s="142" r="AR217">
        <f>IF((M217="g"),Z217,NA())</f>
        <v>#N/A:explicit</v>
      </c>
      <c s="142" r="AS217"/>
      <c t="str" s="142" r="AT217">
        <f>IF((COUNTA($M217:$M$361)=0),"---",IF(AND(($M217="r"),(COUNTA($M218:$M$361)&gt;0)),(MAX(AT$44:AT216)+1),IF(OR(($M216="p"),($M216="n"),($M216="g")),"---",AT216)))</f>
        <v>---</v>
      </c>
      <c t="str" s="142" r="AU217">
        <f>IF((COUNTA($M217:$M$361)=0),"---",IF(AND(($M217="p"),(COUNTA($M218:$M$361)&gt;0)),(MAX(AU$44:AU216)+1),IF(OR(($M216="r"),($M216="n"),($M216="g")),"---",AU216)))</f>
        <v>---</v>
      </c>
      <c t="str" s="142" r="AV217">
        <f>IF((COUNTA($M217:$M$361)=0),"---",IF(AND(($M217="n"),(COUNTA($M218:$M$361)&gt;0)),(MAX(AV$44:AV216)+1),IF(OR(($M216="r"),($M216="p"),($M216="g")),"---",AV216)))</f>
        <v>---</v>
      </c>
      <c t="str" s="142" r="AW217">
        <f>IF((COUNTA($M217:$M$361)=0),"---",IF(AND(($M217="g"),(COUNTA($M218:$M$361)&gt;0)),(MAX(AW$44:AW216)+1),IF(OR(($M216="r"),($M216="p"),($M216="n")),"---",AW216)))</f>
        <v>---</v>
      </c>
      <c s="676" r="AX217">
        <f>IF((M217="p"),(1+MAX(AX$44:AX216)),0)</f>
        <v>0</v>
      </c>
      <c s="51" r="AY217"/>
      <c s="761" r="AZ217"/>
      <c s="761" r="BA217"/>
      <c s="125" r="BB217"/>
      <c s="125" r="BC217"/>
      <c s="125" r="BD217"/>
      <c s="125" r="BE217"/>
      <c s="125" r="BF217"/>
      <c s="125" r="BG217"/>
      <c s="125" r="BH217"/>
      <c s="125" r="BI217"/>
    </row>
    <row r="218">
      <c s="125" r="A218"/>
      <c s="125" r="B218"/>
      <c s="125" r="C218"/>
      <c s="125" r="D218"/>
      <c s="125" r="E218"/>
      <c s="125" r="F218"/>
      <c s="125" r="G218"/>
      <c s="125" r="H218"/>
      <c s="125" r="I218"/>
      <c s="822" r="J218"/>
      <c s="429" r="K218"/>
      <c s="458" r="L218"/>
      <c s="104" r="M218"/>
      <c s="458" r="N218"/>
      <c t="str" s="589" r="O218">
        <f>IF((AH$28=2),IF(ISBLANK(N218),O217,N218),IF(ISNUMBER(N218),(MAX(O$44:O217)+N218),O217))</f>
        <v/>
      </c>
      <c s="228" r="P218"/>
      <c s="273" r="Q218">
        <f>IF(ISNUMBER(P218),((Q217+P218)-R217),Q217)</f>
        <v>100</v>
      </c>
      <c s="228" r="R218"/>
      <c s="610" r="S218"/>
      <c s="458" r="T218"/>
      <c s="458" r="U218"/>
      <c s="458" r="V218"/>
      <c s="458" r="W218"/>
      <c s="458" r="X218"/>
      <c s="458" r="Y218"/>
      <c t="str" s="620" r="Z218">
        <f>IF(ISNUMBER(S218),(Q218-S218),NA())</f>
        <v>#N/A:explicit</v>
      </c>
      <c t="str" s="620" r="AA218">
        <f>IF(ISNUMBER(T218),IF((AH$22=1),(Z218+T218),(Q218-T218)),NA())</f>
        <v>#N/A:explicit</v>
      </c>
      <c t="str" s="620" r="AB218">
        <f>IF(ISNUMBER(U218),(Q218-U218),NA())</f>
        <v>#N/A:explicit</v>
      </c>
      <c t="str" s="620" r="AC218">
        <f>IF(ISNUMBER(V218),(Q218-V218),NA())</f>
        <v>#N/A:explicit</v>
      </c>
      <c t="str" s="620" r="AD218">
        <f>IF(ISNUMBER(W218),(Q218-W218),NA())</f>
        <v>#N/A:explicit</v>
      </c>
      <c t="str" s="620" r="AE218">
        <f>IF(ISNUMBER(X218),(Q218-X218),NA())</f>
        <v>#N/A:explicit</v>
      </c>
      <c t="str" s="552" r="AF218">
        <f>IF(ISNUMBER(Z218),Z218,"---")</f>
        <v>---</v>
      </c>
      <c s="142" r="AG218"/>
      <c t="str" s="142" r="AH218">
        <f>IF(ISBLANK(L218),NA(),MIN(AF$44:AF$361))</f>
        <v>#N/A:explicit</v>
      </c>
      <c t="str" s="142" r="AI218">
        <f>IF(ISNA(AA218),Z218,AA218)</f>
        <v>#N/A:explicit</v>
      </c>
      <c s="142" r="AJ218">
        <f>MIN(AF$44:AF$361)</f>
        <v>0</v>
      </c>
      <c s="142" r="AK218"/>
      <c t="str" s="142" r="AL218">
        <f>IF(ISNUMBER(AB218),O218,"---")</f>
        <v>---</v>
      </c>
      <c t="str" s="80" r="AM218">
        <f>IF(ISNUMBER(AB218),AB218,"---")</f>
        <v>---</v>
      </c>
      <c s="80" r="AN218"/>
      <c t="str" s="142" r="AO218">
        <f>IF((M218="r"),Z218,NA())</f>
        <v>#N/A:explicit</v>
      </c>
      <c t="str" s="142" r="AP218">
        <f>IF((M218="p"),Z218,NA())</f>
        <v>#N/A:explicit</v>
      </c>
      <c t="str" s="142" r="AQ218">
        <f>IF((M218="n"),Z218,NA())</f>
        <v>#N/A:explicit</v>
      </c>
      <c t="str" s="142" r="AR218">
        <f>IF((M218="g"),Z218,NA())</f>
        <v>#N/A:explicit</v>
      </c>
      <c s="142" r="AS218"/>
      <c t="str" s="142" r="AT218">
        <f>IF((COUNTA($M218:$M$361)=0),"---",IF(AND(($M218="r"),(COUNTA($M219:$M$361)&gt;0)),(MAX(AT$44:AT217)+1),IF(OR(($M217="p"),($M217="n"),($M217="g")),"---",AT217)))</f>
        <v>---</v>
      </c>
      <c t="str" s="142" r="AU218">
        <f>IF((COUNTA($M218:$M$361)=0),"---",IF(AND(($M218="p"),(COUNTA($M219:$M$361)&gt;0)),(MAX(AU$44:AU217)+1),IF(OR(($M217="r"),($M217="n"),($M217="g")),"---",AU217)))</f>
        <v>---</v>
      </c>
      <c t="str" s="142" r="AV218">
        <f>IF((COUNTA($M218:$M$361)=0),"---",IF(AND(($M218="n"),(COUNTA($M219:$M$361)&gt;0)),(MAX(AV$44:AV217)+1),IF(OR(($M217="r"),($M217="p"),($M217="g")),"---",AV217)))</f>
        <v>---</v>
      </c>
      <c t="str" s="142" r="AW218">
        <f>IF((COUNTA($M218:$M$361)=0),"---",IF(AND(($M218="g"),(COUNTA($M219:$M$361)&gt;0)),(MAX(AW$44:AW217)+1),IF(OR(($M217="r"),($M217="p"),($M217="n")),"---",AW217)))</f>
        <v>---</v>
      </c>
      <c s="676" r="AX218">
        <f>IF((M218="p"),(1+MAX(AX$44:AX217)),0)</f>
        <v>0</v>
      </c>
      <c s="51" r="AY218"/>
      <c s="761" r="AZ218"/>
      <c s="761" r="BA218"/>
      <c s="125" r="BB218"/>
      <c s="125" r="BC218"/>
      <c s="125" r="BD218"/>
      <c s="125" r="BE218"/>
      <c s="125" r="BF218"/>
      <c s="125" r="BG218"/>
      <c s="125" r="BH218"/>
      <c s="125" r="BI218"/>
    </row>
    <row r="219">
      <c s="125" r="A219"/>
      <c s="125" r="B219"/>
      <c s="125" r="C219"/>
      <c s="125" r="D219"/>
      <c s="125" r="E219"/>
      <c s="125" r="F219"/>
      <c s="125" r="G219"/>
      <c s="125" r="H219"/>
      <c s="125" r="I219"/>
      <c s="822" r="J219"/>
      <c s="848" r="K219"/>
      <c s="550" r="L219"/>
      <c s="104" r="M219"/>
      <c s="550" r="N219"/>
      <c t="str" s="589" r="O219">
        <f>IF((AH$28=2),IF(ISBLANK(N219),O218,N219),IF(ISNUMBER(N219),(MAX(O$44:O218)+N219),O218))</f>
        <v/>
      </c>
      <c s="694" r="P219"/>
      <c s="273" r="Q219">
        <f>IF(ISNUMBER(P219),((Q218+P219)-R218),Q218)</f>
        <v>100</v>
      </c>
      <c s="694" r="R219"/>
      <c s="821" r="S219"/>
      <c s="550" r="T219"/>
      <c s="550" r="U219"/>
      <c s="550" r="V219"/>
      <c s="550" r="W219"/>
      <c s="550" r="X219"/>
      <c s="550" r="Y219"/>
      <c t="str" s="470" r="Z219">
        <f>IF(ISNUMBER(S219),(Q219-S219),NA())</f>
        <v>#N/A:explicit</v>
      </c>
      <c t="str" s="470" r="AA219">
        <f>IF(ISNUMBER(T219),IF((AH$22=1),(Z219+T219),(Q219-T219)),NA())</f>
        <v>#N/A:explicit</v>
      </c>
      <c t="str" s="470" r="AB219">
        <f>IF(ISNUMBER(U219),(Q219-U219),NA())</f>
        <v>#N/A:explicit</v>
      </c>
      <c t="str" s="470" r="AC219">
        <f>IF(ISNUMBER(V219),(Q219-V219),NA())</f>
        <v>#N/A:explicit</v>
      </c>
      <c t="str" s="470" r="AD219">
        <f>IF(ISNUMBER(W219),(Q219-W219),NA())</f>
        <v>#N/A:explicit</v>
      </c>
      <c t="str" s="470" r="AE219">
        <f>IF(ISNUMBER(X219),(Q219-X219),NA())</f>
        <v>#N/A:explicit</v>
      </c>
      <c t="str" s="552" r="AF219">
        <f>IF(ISNUMBER(Z219),Z219,"---")</f>
        <v>---</v>
      </c>
      <c s="142" r="AG219"/>
      <c t="str" s="142" r="AH219">
        <f>IF(ISBLANK(L219),NA(),MIN(AF$44:AF$361))</f>
        <v>#N/A:explicit</v>
      </c>
      <c t="str" s="142" r="AI219">
        <f>IF(ISNA(AA219),Z219,AA219)</f>
        <v>#N/A:explicit</v>
      </c>
      <c s="142" r="AJ219">
        <f>MIN(AF$44:AF$361)</f>
        <v>0</v>
      </c>
      <c s="142" r="AK219"/>
      <c t="str" s="142" r="AL219">
        <f>IF(ISNUMBER(AB219),O219,"---")</f>
        <v>---</v>
      </c>
      <c t="str" s="80" r="AM219">
        <f>IF(ISNUMBER(AB219),AB219,"---")</f>
        <v>---</v>
      </c>
      <c s="80" r="AN219"/>
      <c t="str" s="142" r="AO219">
        <f>IF((M219="r"),Z219,NA())</f>
        <v>#N/A:explicit</v>
      </c>
      <c t="str" s="142" r="AP219">
        <f>IF((M219="p"),Z219,NA())</f>
        <v>#N/A:explicit</v>
      </c>
      <c t="str" s="142" r="AQ219">
        <f>IF((M219="n"),Z219,NA())</f>
        <v>#N/A:explicit</v>
      </c>
      <c t="str" s="142" r="AR219">
        <f>IF((M219="g"),Z219,NA())</f>
        <v>#N/A:explicit</v>
      </c>
      <c s="142" r="AS219"/>
      <c t="str" s="142" r="AT219">
        <f>IF((COUNTA($M219:$M$361)=0),"---",IF(AND(($M219="r"),(COUNTA($M220:$M$361)&gt;0)),(MAX(AT$44:AT218)+1),IF(OR(($M218="p"),($M218="n"),($M218="g")),"---",AT218)))</f>
        <v>---</v>
      </c>
      <c t="str" s="142" r="AU219">
        <f>IF((COUNTA($M219:$M$361)=0),"---",IF(AND(($M219="p"),(COUNTA($M220:$M$361)&gt;0)),(MAX(AU$44:AU218)+1),IF(OR(($M218="r"),($M218="n"),($M218="g")),"---",AU218)))</f>
        <v>---</v>
      </c>
      <c t="str" s="142" r="AV219">
        <f>IF((COUNTA($M219:$M$361)=0),"---",IF(AND(($M219="n"),(COUNTA($M220:$M$361)&gt;0)),(MAX(AV$44:AV218)+1),IF(OR(($M218="r"),($M218="p"),($M218="g")),"---",AV218)))</f>
        <v>---</v>
      </c>
      <c t="str" s="142" r="AW219">
        <f>IF((COUNTA($M219:$M$361)=0),"---",IF(AND(($M219="g"),(COUNTA($M220:$M$361)&gt;0)),(MAX(AW$44:AW218)+1),IF(OR(($M218="r"),($M218="p"),($M218="n")),"---",AW218)))</f>
        <v>---</v>
      </c>
      <c s="676" r="AX219">
        <f>IF((M219="p"),(1+MAX(AX$44:AX218)),0)</f>
        <v>0</v>
      </c>
      <c s="51" r="AY219"/>
      <c s="761" r="AZ219"/>
      <c s="761" r="BA219"/>
      <c s="125" r="BB219"/>
      <c s="125" r="BC219"/>
      <c s="125" r="BD219"/>
      <c s="125" r="BE219"/>
      <c s="125" r="BF219"/>
      <c s="125" r="BG219"/>
      <c s="125" r="BH219"/>
      <c s="125" r="BI219"/>
    </row>
    <row r="220">
      <c s="125" r="A220"/>
      <c s="125" r="B220"/>
      <c s="125" r="C220"/>
      <c s="125" r="D220"/>
      <c s="125" r="E220"/>
      <c s="125" r="F220"/>
      <c s="125" r="G220"/>
      <c s="125" r="H220"/>
      <c s="125" r="I220"/>
      <c s="822" r="J220"/>
      <c s="848" r="K220"/>
      <c s="550" r="L220"/>
      <c s="104" r="M220"/>
      <c s="550" r="N220"/>
      <c t="str" s="589" r="O220">
        <f>IF((AH$28=2),IF(ISBLANK(N220),O219,N220),IF(ISNUMBER(N220),(MAX(O$44:O219)+N220),O219))</f>
        <v/>
      </c>
      <c s="694" r="P220"/>
      <c s="273" r="Q220">
        <f>IF(ISNUMBER(P220),((Q219+P220)-R219),Q219)</f>
        <v>100</v>
      </c>
      <c s="694" r="R220"/>
      <c s="821" r="S220"/>
      <c s="550" r="T220"/>
      <c s="550" r="U220"/>
      <c s="550" r="V220"/>
      <c s="550" r="W220"/>
      <c s="550" r="X220"/>
      <c s="550" r="Y220"/>
      <c t="str" s="470" r="Z220">
        <f>IF(ISNUMBER(S220),(Q220-S220),NA())</f>
        <v>#N/A:explicit</v>
      </c>
      <c t="str" s="470" r="AA220">
        <f>IF(ISNUMBER(T220),IF((AH$22=1),(Z220+T220),(Q220-T220)),NA())</f>
        <v>#N/A:explicit</v>
      </c>
      <c t="str" s="470" r="AB220">
        <f>IF(ISNUMBER(U220),(Q220-U220),NA())</f>
        <v>#N/A:explicit</v>
      </c>
      <c t="str" s="470" r="AC220">
        <f>IF(ISNUMBER(V220),(Q220-V220),NA())</f>
        <v>#N/A:explicit</v>
      </c>
      <c t="str" s="470" r="AD220">
        <f>IF(ISNUMBER(W220),(Q220-W220),NA())</f>
        <v>#N/A:explicit</v>
      </c>
      <c t="str" s="470" r="AE220">
        <f>IF(ISNUMBER(X220),(Q220-X220),NA())</f>
        <v>#N/A:explicit</v>
      </c>
      <c t="str" s="552" r="AF220">
        <f>IF(ISNUMBER(Z220),Z220,"---")</f>
        <v>---</v>
      </c>
      <c s="142" r="AG220"/>
      <c t="str" s="142" r="AH220">
        <f>IF(ISBLANK(L220),NA(),MIN(AF$44:AF$361))</f>
        <v>#N/A:explicit</v>
      </c>
      <c t="str" s="142" r="AI220">
        <f>IF(ISNA(AA220),Z220,AA220)</f>
        <v>#N/A:explicit</v>
      </c>
      <c s="142" r="AJ220">
        <f>MIN(AF$44:AF$361)</f>
        <v>0</v>
      </c>
      <c s="142" r="AK220"/>
      <c t="str" s="142" r="AL220">
        <f>IF(ISNUMBER(AB220),O220,"---")</f>
        <v>---</v>
      </c>
      <c t="str" s="80" r="AM220">
        <f>IF(ISNUMBER(AB220),AB220,"---")</f>
        <v>---</v>
      </c>
      <c s="80" r="AN220"/>
      <c t="str" s="142" r="AO220">
        <f>IF((M220="r"),Z220,NA())</f>
        <v>#N/A:explicit</v>
      </c>
      <c t="str" s="142" r="AP220">
        <f>IF((M220="p"),Z220,NA())</f>
        <v>#N/A:explicit</v>
      </c>
      <c t="str" s="142" r="AQ220">
        <f>IF((M220="n"),Z220,NA())</f>
        <v>#N/A:explicit</v>
      </c>
      <c t="str" s="142" r="AR220">
        <f>IF((M220="g"),Z220,NA())</f>
        <v>#N/A:explicit</v>
      </c>
      <c s="142" r="AS220"/>
      <c t="str" s="142" r="AT220">
        <f>IF((COUNTA($M220:$M$361)=0),"---",IF(AND(($M220="r"),(COUNTA($M221:$M$361)&gt;0)),(MAX(AT$44:AT219)+1),IF(OR(($M219="p"),($M219="n"),($M219="g")),"---",AT219)))</f>
        <v>---</v>
      </c>
      <c t="str" s="142" r="AU220">
        <f>IF((COUNTA($M220:$M$361)=0),"---",IF(AND(($M220="p"),(COUNTA($M221:$M$361)&gt;0)),(MAX(AU$44:AU219)+1),IF(OR(($M219="r"),($M219="n"),($M219="g")),"---",AU219)))</f>
        <v>---</v>
      </c>
      <c t="str" s="142" r="AV220">
        <f>IF((COUNTA($M220:$M$361)=0),"---",IF(AND(($M220="n"),(COUNTA($M221:$M$361)&gt;0)),(MAX(AV$44:AV219)+1),IF(OR(($M219="r"),($M219="p"),($M219="g")),"---",AV219)))</f>
        <v>---</v>
      </c>
      <c t="str" s="142" r="AW220">
        <f>IF((COUNTA($M220:$M$361)=0),"---",IF(AND(($M220="g"),(COUNTA($M221:$M$361)&gt;0)),(MAX(AW$44:AW219)+1),IF(OR(($M219="r"),($M219="p"),($M219="n")),"---",AW219)))</f>
        <v>---</v>
      </c>
      <c s="676" r="AX220">
        <f>IF((M220="p"),(1+MAX(AX$44:AX219)),0)</f>
        <v>0</v>
      </c>
      <c s="51" r="AY220"/>
      <c s="761" r="AZ220"/>
      <c s="761" r="BA220"/>
      <c s="125" r="BB220"/>
      <c s="125" r="BC220"/>
      <c s="125" r="BD220"/>
      <c s="125" r="BE220"/>
      <c s="125" r="BF220"/>
      <c s="125" r="BG220"/>
      <c s="125" r="BH220"/>
      <c s="125" r="BI220"/>
    </row>
    <row r="221">
      <c s="125" r="A221"/>
      <c s="125" r="B221"/>
      <c s="125" r="C221"/>
      <c s="125" r="D221"/>
      <c s="125" r="E221"/>
      <c s="125" r="F221"/>
      <c s="125" r="G221"/>
      <c s="125" r="H221"/>
      <c s="125" r="I221"/>
      <c s="822" r="J221"/>
      <c s="848" r="K221"/>
      <c s="550" r="L221"/>
      <c s="104" r="M221"/>
      <c s="550" r="N221"/>
      <c t="str" s="589" r="O221">
        <f>IF((AH$28=2),IF(ISBLANK(N221),O220,N221),IF(ISNUMBER(N221),(MAX(O$44:O220)+N221),O220))</f>
        <v/>
      </c>
      <c s="694" r="P221"/>
      <c s="273" r="Q221">
        <f>IF(ISNUMBER(P221),((Q220+P221)-R220),Q220)</f>
        <v>100</v>
      </c>
      <c s="694" r="R221"/>
      <c s="821" r="S221"/>
      <c s="550" r="T221"/>
      <c s="550" r="U221"/>
      <c s="550" r="V221"/>
      <c s="550" r="W221"/>
      <c s="550" r="X221"/>
      <c s="550" r="Y221"/>
      <c t="str" s="470" r="Z221">
        <f>IF(ISNUMBER(S221),(Q221-S221),NA())</f>
        <v>#N/A:explicit</v>
      </c>
      <c t="str" s="470" r="AA221">
        <f>IF(ISNUMBER(T221),IF((AH$22=1),(Z221+T221),(Q221-T221)),NA())</f>
        <v>#N/A:explicit</v>
      </c>
      <c t="str" s="470" r="AB221">
        <f>IF(ISNUMBER(U221),(Q221-U221),NA())</f>
        <v>#N/A:explicit</v>
      </c>
      <c t="str" s="470" r="AC221">
        <f>IF(ISNUMBER(V221),(Q221-V221),NA())</f>
        <v>#N/A:explicit</v>
      </c>
      <c t="str" s="470" r="AD221">
        <f>IF(ISNUMBER(W221),(Q221-W221),NA())</f>
        <v>#N/A:explicit</v>
      </c>
      <c t="str" s="470" r="AE221">
        <f>IF(ISNUMBER(X221),(Q221-X221),NA())</f>
        <v>#N/A:explicit</v>
      </c>
      <c t="str" s="552" r="AF221">
        <f>IF(ISNUMBER(Z221),Z221,"---")</f>
        <v>---</v>
      </c>
      <c s="142" r="AG221"/>
      <c t="str" s="142" r="AH221">
        <f>IF(ISBLANK(L221),NA(),MIN(AF$44:AF$361))</f>
        <v>#N/A:explicit</v>
      </c>
      <c t="str" s="142" r="AI221">
        <f>IF(ISNA(AA221),Z221,AA221)</f>
        <v>#N/A:explicit</v>
      </c>
      <c s="142" r="AJ221">
        <f>MIN(AF$44:AF$361)</f>
        <v>0</v>
      </c>
      <c s="142" r="AK221"/>
      <c t="str" s="142" r="AL221">
        <f>IF(ISNUMBER(AB221),O221,"---")</f>
        <v>---</v>
      </c>
      <c t="str" s="80" r="AM221">
        <f>IF(ISNUMBER(AB221),AB221,"---")</f>
        <v>---</v>
      </c>
      <c s="80" r="AN221"/>
      <c t="str" s="142" r="AO221">
        <f>IF((M221="r"),Z221,NA())</f>
        <v>#N/A:explicit</v>
      </c>
      <c t="str" s="142" r="AP221">
        <f>IF((M221="p"),Z221,NA())</f>
        <v>#N/A:explicit</v>
      </c>
      <c t="str" s="142" r="AQ221">
        <f>IF((M221="n"),Z221,NA())</f>
        <v>#N/A:explicit</v>
      </c>
      <c t="str" s="142" r="AR221">
        <f>IF((M221="g"),Z221,NA())</f>
        <v>#N/A:explicit</v>
      </c>
      <c s="142" r="AS221"/>
      <c t="str" s="142" r="AT221">
        <f>IF((COUNTA($M221:$M$361)=0),"---",IF(AND(($M221="r"),(COUNTA($M222:$M$361)&gt;0)),(MAX(AT$44:AT220)+1),IF(OR(($M220="p"),($M220="n"),($M220="g")),"---",AT220)))</f>
        <v>---</v>
      </c>
      <c t="str" s="142" r="AU221">
        <f>IF((COUNTA($M221:$M$361)=0),"---",IF(AND(($M221="p"),(COUNTA($M222:$M$361)&gt;0)),(MAX(AU$44:AU220)+1),IF(OR(($M220="r"),($M220="n"),($M220="g")),"---",AU220)))</f>
        <v>---</v>
      </c>
      <c t="str" s="142" r="AV221">
        <f>IF((COUNTA($M221:$M$361)=0),"---",IF(AND(($M221="n"),(COUNTA($M222:$M$361)&gt;0)),(MAX(AV$44:AV220)+1),IF(OR(($M220="r"),($M220="p"),($M220="g")),"---",AV220)))</f>
        <v>---</v>
      </c>
      <c t="str" s="142" r="AW221">
        <f>IF((COUNTA($M221:$M$361)=0),"---",IF(AND(($M221="g"),(COUNTA($M222:$M$361)&gt;0)),(MAX(AW$44:AW220)+1),IF(OR(($M220="r"),($M220="p"),($M220="n")),"---",AW220)))</f>
        <v>---</v>
      </c>
      <c s="676" r="AX221">
        <f>IF((M221="p"),(1+MAX(AX$44:AX220)),0)</f>
        <v>0</v>
      </c>
      <c s="51" r="AY221"/>
      <c s="761" r="AZ221"/>
      <c s="761" r="BA221"/>
      <c s="125" r="BB221"/>
      <c s="125" r="BC221"/>
      <c s="125" r="BD221"/>
      <c s="125" r="BE221"/>
      <c s="125" r="BF221"/>
      <c s="125" r="BG221"/>
      <c s="125" r="BH221"/>
      <c s="125" r="BI221"/>
    </row>
    <row r="222">
      <c s="125" r="A222"/>
      <c s="125" r="B222"/>
      <c s="125" r="C222"/>
      <c s="125" r="D222"/>
      <c s="125" r="E222"/>
      <c s="125" r="F222"/>
      <c s="125" r="G222"/>
      <c s="125" r="H222"/>
      <c s="125" r="I222"/>
      <c s="822" r="J222"/>
      <c s="429" r="K222"/>
      <c s="458" r="L222"/>
      <c s="104" r="M222"/>
      <c s="458" r="N222"/>
      <c t="str" s="589" r="O222">
        <f>IF((AH$28=2),IF(ISBLANK(N222),O221,N222),IF(ISNUMBER(N222),(MAX(O$44:O221)+N222),O221))</f>
        <v/>
      </c>
      <c s="228" r="P222"/>
      <c s="273" r="Q222">
        <f>IF(ISNUMBER(P222),((Q221+P222)-R221),Q221)</f>
        <v>100</v>
      </c>
      <c s="228" r="R222"/>
      <c s="610" r="S222"/>
      <c s="458" r="T222"/>
      <c s="458" r="U222"/>
      <c s="458" r="V222"/>
      <c s="458" r="W222"/>
      <c s="458" r="X222"/>
      <c s="458" r="Y222"/>
      <c t="str" s="620" r="Z222">
        <f>IF(ISNUMBER(S222),(Q222-S222),NA())</f>
        <v>#N/A:explicit</v>
      </c>
      <c t="str" s="620" r="AA222">
        <f>IF(ISNUMBER(T222),IF((AH$22=1),(Z222+T222),(Q222-T222)),NA())</f>
        <v>#N/A:explicit</v>
      </c>
      <c t="str" s="620" r="AB222">
        <f>IF(ISNUMBER(U222),(Q222-U222),NA())</f>
        <v>#N/A:explicit</v>
      </c>
      <c t="str" s="620" r="AC222">
        <f>IF(ISNUMBER(V222),(Q222-V222),NA())</f>
        <v>#N/A:explicit</v>
      </c>
      <c t="str" s="620" r="AD222">
        <f>IF(ISNUMBER(W222),(Q222-W222),NA())</f>
        <v>#N/A:explicit</v>
      </c>
      <c t="str" s="620" r="AE222">
        <f>IF(ISNUMBER(X222),(Q222-X222),NA())</f>
        <v>#N/A:explicit</v>
      </c>
      <c t="str" s="552" r="AF222">
        <f>IF(ISNUMBER(Z222),Z222,"---")</f>
        <v>---</v>
      </c>
      <c s="142" r="AG222"/>
      <c t="str" s="142" r="AH222">
        <f>IF(ISBLANK(L222),NA(),MIN(AF$44:AF$361))</f>
        <v>#N/A:explicit</v>
      </c>
      <c t="str" s="142" r="AI222">
        <f>IF(ISNA(AA222),Z222,AA222)</f>
        <v>#N/A:explicit</v>
      </c>
      <c s="142" r="AJ222">
        <f>MIN(AF$44:AF$361)</f>
        <v>0</v>
      </c>
      <c s="142" r="AK222"/>
      <c t="str" s="142" r="AL222">
        <f>IF(ISNUMBER(AB222),O222,"---")</f>
        <v>---</v>
      </c>
      <c t="str" s="80" r="AM222">
        <f>IF(ISNUMBER(AB222),AB222,"---")</f>
        <v>---</v>
      </c>
      <c s="80" r="AN222"/>
      <c t="str" s="142" r="AO222">
        <f>IF((M222="r"),Z222,NA())</f>
        <v>#N/A:explicit</v>
      </c>
      <c t="str" s="142" r="AP222">
        <f>IF((M222="p"),Z222,NA())</f>
        <v>#N/A:explicit</v>
      </c>
      <c t="str" s="142" r="AQ222">
        <f>IF((M222="n"),Z222,NA())</f>
        <v>#N/A:explicit</v>
      </c>
      <c t="str" s="142" r="AR222">
        <f>IF((M222="g"),Z222,NA())</f>
        <v>#N/A:explicit</v>
      </c>
      <c s="142" r="AS222"/>
      <c t="str" s="142" r="AT222">
        <f>IF((COUNTA($M222:$M$361)=0),"---",IF(AND(($M222="r"),(COUNTA($M223:$M$361)&gt;0)),(MAX(AT$44:AT221)+1),IF(OR(($M221="p"),($M221="n"),($M221="g")),"---",AT221)))</f>
        <v>---</v>
      </c>
      <c t="str" s="142" r="AU222">
        <f>IF((COUNTA($M222:$M$361)=0),"---",IF(AND(($M222="p"),(COUNTA($M223:$M$361)&gt;0)),(MAX(AU$44:AU221)+1),IF(OR(($M221="r"),($M221="n"),($M221="g")),"---",AU221)))</f>
        <v>---</v>
      </c>
      <c t="str" s="142" r="AV222">
        <f>IF((COUNTA($M222:$M$361)=0),"---",IF(AND(($M222="n"),(COUNTA($M223:$M$361)&gt;0)),(MAX(AV$44:AV221)+1),IF(OR(($M221="r"),($M221="p"),($M221="g")),"---",AV221)))</f>
        <v>---</v>
      </c>
      <c t="str" s="142" r="AW222">
        <f>IF((COUNTA($M222:$M$361)=0),"---",IF(AND(($M222="g"),(COUNTA($M223:$M$361)&gt;0)),(MAX(AW$44:AW221)+1),IF(OR(($M221="r"),($M221="p"),($M221="n")),"---",AW221)))</f>
        <v>---</v>
      </c>
      <c s="676" r="AX222">
        <f>IF((M222="p"),(1+MAX(AX$44:AX221)),0)</f>
        <v>0</v>
      </c>
      <c s="51" r="AY222"/>
      <c s="761" r="AZ222"/>
      <c s="761" r="BA222"/>
      <c s="125" r="BB222"/>
      <c s="125" r="BC222"/>
      <c s="125" r="BD222"/>
      <c s="125" r="BE222"/>
      <c s="125" r="BF222"/>
      <c s="125" r="BG222"/>
      <c s="125" r="BH222"/>
      <c s="125" r="BI222"/>
    </row>
    <row r="223">
      <c s="125" r="A223"/>
      <c s="125" r="B223"/>
      <c s="125" r="C223"/>
      <c s="125" r="D223"/>
      <c s="125" r="E223"/>
      <c s="125" r="F223"/>
      <c s="125" r="G223"/>
      <c s="125" r="H223"/>
      <c s="125" r="I223"/>
      <c s="822" r="J223"/>
      <c s="429" r="K223"/>
      <c s="458" r="L223"/>
      <c s="104" r="M223"/>
      <c s="458" r="N223"/>
      <c t="str" s="589" r="O223">
        <f>IF((AH$28=2),IF(ISBLANK(N223),O222,N223),IF(ISNUMBER(N223),(MAX(O$44:O222)+N223),O222))</f>
        <v/>
      </c>
      <c s="228" r="P223"/>
      <c s="273" r="Q223">
        <f>IF(ISNUMBER(P223),((Q222+P223)-R222),Q222)</f>
        <v>100</v>
      </c>
      <c s="228" r="R223"/>
      <c s="610" r="S223"/>
      <c s="458" r="T223"/>
      <c s="458" r="U223"/>
      <c s="458" r="V223"/>
      <c s="458" r="W223"/>
      <c s="458" r="X223"/>
      <c s="458" r="Y223"/>
      <c t="str" s="620" r="Z223">
        <f>IF(ISNUMBER(S223),(Q223-S223),NA())</f>
        <v>#N/A:explicit</v>
      </c>
      <c t="str" s="620" r="AA223">
        <f>IF(ISNUMBER(T223),IF((AH$22=1),(Z223+T223),(Q223-T223)),NA())</f>
        <v>#N/A:explicit</v>
      </c>
      <c t="str" s="620" r="AB223">
        <f>IF(ISNUMBER(U223),(Q223-U223),NA())</f>
        <v>#N/A:explicit</v>
      </c>
      <c t="str" s="620" r="AC223">
        <f>IF(ISNUMBER(V223),(Q223-V223),NA())</f>
        <v>#N/A:explicit</v>
      </c>
      <c t="str" s="620" r="AD223">
        <f>IF(ISNUMBER(W223),(Q223-W223),NA())</f>
        <v>#N/A:explicit</v>
      </c>
      <c t="str" s="620" r="AE223">
        <f>IF(ISNUMBER(X223),(Q223-X223),NA())</f>
        <v>#N/A:explicit</v>
      </c>
      <c t="str" s="552" r="AF223">
        <f>IF(ISNUMBER(Z223),Z223,"---")</f>
        <v>---</v>
      </c>
      <c s="142" r="AG223"/>
      <c t="str" s="142" r="AH223">
        <f>IF(ISBLANK(L223),NA(),MIN(AF$44:AF$361))</f>
        <v>#N/A:explicit</v>
      </c>
      <c t="str" s="142" r="AI223">
        <f>IF(ISNA(AA223),Z223,AA223)</f>
        <v>#N/A:explicit</v>
      </c>
      <c s="142" r="AJ223">
        <f>MIN(AF$44:AF$361)</f>
        <v>0</v>
      </c>
      <c s="142" r="AK223"/>
      <c t="str" s="142" r="AL223">
        <f>IF(ISNUMBER(AB223),O223,"---")</f>
        <v>---</v>
      </c>
      <c t="str" s="80" r="AM223">
        <f>IF(ISNUMBER(AB223),AB223,"---")</f>
        <v>---</v>
      </c>
      <c s="80" r="AN223"/>
      <c t="str" s="142" r="AO223">
        <f>IF((M223="r"),Z223,NA())</f>
        <v>#N/A:explicit</v>
      </c>
      <c t="str" s="142" r="AP223">
        <f>IF((M223="p"),Z223,NA())</f>
        <v>#N/A:explicit</v>
      </c>
      <c t="str" s="142" r="AQ223">
        <f>IF((M223="n"),Z223,NA())</f>
        <v>#N/A:explicit</v>
      </c>
      <c t="str" s="142" r="AR223">
        <f>IF((M223="g"),Z223,NA())</f>
        <v>#N/A:explicit</v>
      </c>
      <c s="142" r="AS223"/>
      <c t="str" s="142" r="AT223">
        <f>IF((COUNTA($M223:$M$361)=0),"---",IF(AND(($M223="r"),(COUNTA($M224:$M$361)&gt;0)),(MAX(AT$44:AT222)+1),IF(OR(($M222="p"),($M222="n"),($M222="g")),"---",AT222)))</f>
        <v>---</v>
      </c>
      <c t="str" s="142" r="AU223">
        <f>IF((COUNTA($M223:$M$361)=0),"---",IF(AND(($M223="p"),(COUNTA($M224:$M$361)&gt;0)),(MAX(AU$44:AU222)+1),IF(OR(($M222="r"),($M222="n"),($M222="g")),"---",AU222)))</f>
        <v>---</v>
      </c>
      <c t="str" s="142" r="AV223">
        <f>IF((COUNTA($M223:$M$361)=0),"---",IF(AND(($M223="n"),(COUNTA($M224:$M$361)&gt;0)),(MAX(AV$44:AV222)+1),IF(OR(($M222="r"),($M222="p"),($M222="g")),"---",AV222)))</f>
        <v>---</v>
      </c>
      <c t="str" s="142" r="AW223">
        <f>IF((COUNTA($M223:$M$361)=0),"---",IF(AND(($M223="g"),(COUNTA($M224:$M$361)&gt;0)),(MAX(AW$44:AW222)+1),IF(OR(($M222="r"),($M222="p"),($M222="n")),"---",AW222)))</f>
        <v>---</v>
      </c>
      <c s="676" r="AX223">
        <f>IF((M223="p"),(1+MAX(AX$44:AX222)),0)</f>
        <v>0</v>
      </c>
      <c s="51" r="AY223"/>
      <c s="761" r="AZ223"/>
      <c s="761" r="BA223"/>
      <c s="125" r="BB223"/>
      <c s="125" r="BC223"/>
      <c s="125" r="BD223"/>
      <c s="125" r="BE223"/>
      <c s="125" r="BF223"/>
      <c s="125" r="BG223"/>
      <c s="125" r="BH223"/>
      <c s="125" r="BI223"/>
    </row>
    <row r="224">
      <c s="125" r="A224"/>
      <c s="125" r="B224"/>
      <c s="125" r="C224"/>
      <c s="125" r="D224"/>
      <c s="125" r="E224"/>
      <c s="125" r="F224"/>
      <c s="125" r="G224"/>
      <c s="125" r="H224"/>
      <c s="125" r="I224"/>
      <c s="822" r="J224"/>
      <c s="429" r="K224"/>
      <c s="458" r="L224"/>
      <c s="104" r="M224"/>
      <c s="458" r="N224"/>
      <c t="str" s="589" r="O224">
        <f>IF((AH$28=2),IF(ISBLANK(N224),O223,N224),IF(ISNUMBER(N224),(MAX(O$44:O223)+N224),O223))</f>
        <v/>
      </c>
      <c s="228" r="P224"/>
      <c s="273" r="Q224">
        <f>IF(ISNUMBER(P224),((Q223+P224)-R223),Q223)</f>
        <v>100</v>
      </c>
      <c s="228" r="R224"/>
      <c s="610" r="S224"/>
      <c s="458" r="T224"/>
      <c s="458" r="U224"/>
      <c s="458" r="V224"/>
      <c s="458" r="W224"/>
      <c s="458" r="X224"/>
      <c s="458" r="Y224"/>
      <c t="str" s="620" r="Z224">
        <f>IF(ISNUMBER(S224),(Q224-S224),NA())</f>
        <v>#N/A:explicit</v>
      </c>
      <c t="str" s="620" r="AA224">
        <f>IF(ISNUMBER(T224),IF((AH$22=1),(Z224+T224),(Q224-T224)),NA())</f>
        <v>#N/A:explicit</v>
      </c>
      <c t="str" s="620" r="AB224">
        <f>IF(ISNUMBER(U224),(Q224-U224),NA())</f>
        <v>#N/A:explicit</v>
      </c>
      <c t="str" s="620" r="AC224">
        <f>IF(ISNUMBER(V224),(Q224-V224),NA())</f>
        <v>#N/A:explicit</v>
      </c>
      <c t="str" s="620" r="AD224">
        <f>IF(ISNUMBER(W224),(Q224-W224),NA())</f>
        <v>#N/A:explicit</v>
      </c>
      <c t="str" s="620" r="AE224">
        <f>IF(ISNUMBER(X224),(Q224-X224),NA())</f>
        <v>#N/A:explicit</v>
      </c>
      <c t="str" s="552" r="AF224">
        <f>IF(ISNUMBER(Z224),Z224,"---")</f>
        <v>---</v>
      </c>
      <c s="142" r="AG224"/>
      <c t="str" s="142" r="AH224">
        <f>IF(ISBLANK(L224),NA(),MIN(AF$44:AF$361))</f>
        <v>#N/A:explicit</v>
      </c>
      <c t="str" s="142" r="AI224">
        <f>IF(ISNA(AA224),Z224,AA224)</f>
        <v>#N/A:explicit</v>
      </c>
      <c s="142" r="AJ224">
        <f>MIN(AF$44:AF$361)</f>
        <v>0</v>
      </c>
      <c s="142" r="AK224"/>
      <c t="str" s="142" r="AL224">
        <f>IF(ISNUMBER(AB224),O224,"---")</f>
        <v>---</v>
      </c>
      <c t="str" s="80" r="AM224">
        <f>IF(ISNUMBER(AB224),AB224,"---")</f>
        <v>---</v>
      </c>
      <c s="80" r="AN224"/>
      <c t="str" s="142" r="AO224">
        <f>IF((M224="r"),Z224,NA())</f>
        <v>#N/A:explicit</v>
      </c>
      <c t="str" s="142" r="AP224">
        <f>IF((M224="p"),Z224,NA())</f>
        <v>#N/A:explicit</v>
      </c>
      <c t="str" s="142" r="AQ224">
        <f>IF((M224="n"),Z224,NA())</f>
        <v>#N/A:explicit</v>
      </c>
      <c t="str" s="142" r="AR224">
        <f>IF((M224="g"),Z224,NA())</f>
        <v>#N/A:explicit</v>
      </c>
      <c s="142" r="AS224"/>
      <c t="str" s="142" r="AT224">
        <f>IF((COUNTA($M224:$M$361)=0),"---",IF(AND(($M224="r"),(COUNTA($M225:$M$361)&gt;0)),(MAX(AT$44:AT223)+1),IF(OR(($M223="p"),($M223="n"),($M223="g")),"---",AT223)))</f>
        <v>---</v>
      </c>
      <c t="str" s="142" r="AU224">
        <f>IF((COUNTA($M224:$M$361)=0),"---",IF(AND(($M224="p"),(COUNTA($M225:$M$361)&gt;0)),(MAX(AU$44:AU223)+1),IF(OR(($M223="r"),($M223="n"),($M223="g")),"---",AU223)))</f>
        <v>---</v>
      </c>
      <c t="str" s="142" r="AV224">
        <f>IF((COUNTA($M224:$M$361)=0),"---",IF(AND(($M224="n"),(COUNTA($M225:$M$361)&gt;0)),(MAX(AV$44:AV223)+1),IF(OR(($M223="r"),($M223="p"),($M223="g")),"---",AV223)))</f>
        <v>---</v>
      </c>
      <c t="str" s="142" r="AW224">
        <f>IF((COUNTA($M224:$M$361)=0),"---",IF(AND(($M224="g"),(COUNTA($M225:$M$361)&gt;0)),(MAX(AW$44:AW223)+1),IF(OR(($M223="r"),($M223="p"),($M223="n")),"---",AW223)))</f>
        <v>---</v>
      </c>
      <c s="676" r="AX224">
        <f>IF((M224="p"),(1+MAX(AX$44:AX223)),0)</f>
        <v>0</v>
      </c>
      <c s="51" r="AY224"/>
      <c s="761" r="AZ224"/>
      <c s="761" r="BA224"/>
      <c s="125" r="BB224"/>
      <c s="125" r="BC224"/>
      <c s="125" r="BD224"/>
      <c s="125" r="BE224"/>
      <c s="125" r="BF224"/>
      <c s="125" r="BG224"/>
      <c s="125" r="BH224"/>
      <c s="125" r="BI224"/>
    </row>
    <row r="225">
      <c s="125" r="A225"/>
      <c s="125" r="B225"/>
      <c s="125" r="C225"/>
      <c s="125" r="D225"/>
      <c s="125" r="E225"/>
      <c s="125" r="F225"/>
      <c s="125" r="G225"/>
      <c s="125" r="H225"/>
      <c s="125" r="I225"/>
      <c s="822" r="J225"/>
      <c s="848" r="K225"/>
      <c s="550" r="L225"/>
      <c s="104" r="M225"/>
      <c s="550" r="N225"/>
      <c t="str" s="589" r="O225">
        <f>IF((AH$28=2),IF(ISBLANK(N225),O224,N225),IF(ISNUMBER(N225),(MAX(O$44:O224)+N225),O224))</f>
        <v/>
      </c>
      <c s="694" r="P225"/>
      <c s="273" r="Q225">
        <f>IF(ISNUMBER(P225),((Q224+P225)-R224),Q224)</f>
        <v>100</v>
      </c>
      <c s="694" r="R225"/>
      <c s="821" r="S225"/>
      <c s="550" r="T225"/>
      <c s="550" r="U225"/>
      <c s="550" r="V225"/>
      <c s="550" r="W225"/>
      <c s="550" r="X225"/>
      <c s="550" r="Y225"/>
      <c t="str" s="470" r="Z225">
        <f>IF(ISNUMBER(S225),(Q225-S225),NA())</f>
        <v>#N/A:explicit</v>
      </c>
      <c t="str" s="470" r="AA225">
        <f>IF(ISNUMBER(T225),IF((AH$22=1),(Z225+T225),(Q225-T225)),NA())</f>
        <v>#N/A:explicit</v>
      </c>
      <c t="str" s="470" r="AB225">
        <f>IF(ISNUMBER(U225),(Q225-U225),NA())</f>
        <v>#N/A:explicit</v>
      </c>
      <c t="str" s="470" r="AC225">
        <f>IF(ISNUMBER(V225),(Q225-V225),NA())</f>
        <v>#N/A:explicit</v>
      </c>
      <c t="str" s="470" r="AD225">
        <f>IF(ISNUMBER(W225),(Q225-W225),NA())</f>
        <v>#N/A:explicit</v>
      </c>
      <c t="str" s="470" r="AE225">
        <f>IF(ISNUMBER(X225),(Q225-X225),NA())</f>
        <v>#N/A:explicit</v>
      </c>
      <c t="str" s="552" r="AF225">
        <f>IF(ISNUMBER(Z225),Z225,"---")</f>
        <v>---</v>
      </c>
      <c s="142" r="AG225"/>
      <c t="str" s="142" r="AH225">
        <f>IF(ISBLANK(L225),NA(),MIN(AF$44:AF$361))</f>
        <v>#N/A:explicit</v>
      </c>
      <c t="str" s="142" r="AI225">
        <f>IF(ISNA(AA225),Z225,AA225)</f>
        <v>#N/A:explicit</v>
      </c>
      <c s="142" r="AJ225">
        <f>MIN(AF$44:AF$361)</f>
        <v>0</v>
      </c>
      <c s="142" r="AK225"/>
      <c t="str" s="142" r="AL225">
        <f>IF(ISNUMBER(AB225),O225,"---")</f>
        <v>---</v>
      </c>
      <c t="str" s="80" r="AM225">
        <f>IF(ISNUMBER(AB225),AB225,"---")</f>
        <v>---</v>
      </c>
      <c s="80" r="AN225"/>
      <c t="str" s="142" r="AO225">
        <f>IF((M225="r"),Z225,NA())</f>
        <v>#N/A:explicit</v>
      </c>
      <c t="str" s="142" r="AP225">
        <f>IF((M225="p"),Z225,NA())</f>
        <v>#N/A:explicit</v>
      </c>
      <c t="str" s="142" r="AQ225">
        <f>IF((M225="n"),Z225,NA())</f>
        <v>#N/A:explicit</v>
      </c>
      <c t="str" s="142" r="AR225">
        <f>IF((M225="g"),Z225,NA())</f>
        <v>#N/A:explicit</v>
      </c>
      <c s="142" r="AS225"/>
      <c t="str" s="142" r="AT225">
        <f>IF((COUNTA($M225:$M$361)=0),"---",IF(AND(($M225="r"),(COUNTA($M226:$M$361)&gt;0)),(MAX(AT$44:AT224)+1),IF(OR(($M224="p"),($M224="n"),($M224="g")),"---",AT224)))</f>
        <v>---</v>
      </c>
      <c t="str" s="142" r="AU225">
        <f>IF((COUNTA($M225:$M$361)=0),"---",IF(AND(($M225="p"),(COUNTA($M226:$M$361)&gt;0)),(MAX(AU$44:AU224)+1),IF(OR(($M224="r"),($M224="n"),($M224="g")),"---",AU224)))</f>
        <v>---</v>
      </c>
      <c t="str" s="142" r="AV225">
        <f>IF((COUNTA($M225:$M$361)=0),"---",IF(AND(($M225="n"),(COUNTA($M226:$M$361)&gt;0)),(MAX(AV$44:AV224)+1),IF(OR(($M224="r"),($M224="p"),($M224="g")),"---",AV224)))</f>
        <v>---</v>
      </c>
      <c t="str" s="142" r="AW225">
        <f>IF((COUNTA($M225:$M$361)=0),"---",IF(AND(($M225="g"),(COUNTA($M226:$M$361)&gt;0)),(MAX(AW$44:AW224)+1),IF(OR(($M224="r"),($M224="p"),($M224="n")),"---",AW224)))</f>
        <v>---</v>
      </c>
      <c s="676" r="AX225">
        <f>IF((M225="p"),(1+MAX(AX$44:AX224)),0)</f>
        <v>0</v>
      </c>
      <c s="51" r="AY225"/>
      <c s="761" r="AZ225"/>
      <c s="761" r="BA225"/>
      <c s="125" r="BB225"/>
      <c s="125" r="BC225"/>
      <c s="125" r="BD225"/>
      <c s="125" r="BE225"/>
      <c s="125" r="BF225"/>
      <c s="125" r="BG225"/>
      <c s="125" r="BH225"/>
      <c s="125" r="BI225"/>
    </row>
    <row r="226">
      <c s="125" r="A226"/>
      <c s="125" r="B226"/>
      <c s="125" r="C226"/>
      <c s="125" r="D226"/>
      <c s="125" r="E226"/>
      <c s="125" r="F226"/>
      <c s="125" r="G226"/>
      <c s="125" r="H226"/>
      <c s="125" r="I226"/>
      <c s="822" r="J226"/>
      <c s="848" r="K226"/>
      <c s="550" r="L226"/>
      <c s="104" r="M226"/>
      <c s="550" r="N226"/>
      <c t="str" s="589" r="O226">
        <f>IF((AH$28=2),IF(ISBLANK(N226),O225,N226),IF(ISNUMBER(N226),(MAX(O$44:O225)+N226),O225))</f>
        <v/>
      </c>
      <c s="694" r="P226"/>
      <c s="273" r="Q226">
        <f>IF(ISNUMBER(P226),((Q225+P226)-R225),Q225)</f>
        <v>100</v>
      </c>
      <c s="694" r="R226"/>
      <c s="821" r="S226"/>
      <c s="550" r="T226"/>
      <c s="550" r="U226"/>
      <c s="550" r="V226"/>
      <c s="550" r="W226"/>
      <c s="550" r="X226"/>
      <c s="550" r="Y226"/>
      <c t="str" s="470" r="Z226">
        <f>IF(ISNUMBER(S226),(Q226-S226),NA())</f>
        <v>#N/A:explicit</v>
      </c>
      <c t="str" s="470" r="AA226">
        <f>IF(ISNUMBER(T226),IF((AH$22=1),(Z226+T226),(Q226-T226)),NA())</f>
        <v>#N/A:explicit</v>
      </c>
      <c t="str" s="470" r="AB226">
        <f>IF(ISNUMBER(U226),(Q226-U226),NA())</f>
        <v>#N/A:explicit</v>
      </c>
      <c t="str" s="470" r="AC226">
        <f>IF(ISNUMBER(V226),(Q226-V226),NA())</f>
        <v>#N/A:explicit</v>
      </c>
      <c t="str" s="470" r="AD226">
        <f>IF(ISNUMBER(W226),(Q226-W226),NA())</f>
        <v>#N/A:explicit</v>
      </c>
      <c t="str" s="470" r="AE226">
        <f>IF(ISNUMBER(X226),(Q226-X226),NA())</f>
        <v>#N/A:explicit</v>
      </c>
      <c t="str" s="552" r="AF226">
        <f>IF(ISNUMBER(Z226),Z226,"---")</f>
        <v>---</v>
      </c>
      <c s="142" r="AG226"/>
      <c t="str" s="142" r="AH226">
        <f>IF(ISBLANK(L226),NA(),MIN(AF$44:AF$361))</f>
        <v>#N/A:explicit</v>
      </c>
      <c t="str" s="142" r="AI226">
        <f>IF(ISNA(AA226),Z226,AA226)</f>
        <v>#N/A:explicit</v>
      </c>
      <c s="142" r="AJ226">
        <f>MIN(AF$44:AF$361)</f>
        <v>0</v>
      </c>
      <c s="142" r="AK226"/>
      <c t="str" s="142" r="AL226">
        <f>IF(ISNUMBER(AB226),O226,"---")</f>
        <v>---</v>
      </c>
      <c t="str" s="80" r="AM226">
        <f>IF(ISNUMBER(AB226),AB226,"---")</f>
        <v>---</v>
      </c>
      <c s="80" r="AN226"/>
      <c t="str" s="142" r="AO226">
        <f>IF((M226="r"),Z226,NA())</f>
        <v>#N/A:explicit</v>
      </c>
      <c t="str" s="142" r="AP226">
        <f>IF((M226="p"),Z226,NA())</f>
        <v>#N/A:explicit</v>
      </c>
      <c t="str" s="142" r="AQ226">
        <f>IF((M226="n"),Z226,NA())</f>
        <v>#N/A:explicit</v>
      </c>
      <c t="str" s="142" r="AR226">
        <f>IF((M226="g"),Z226,NA())</f>
        <v>#N/A:explicit</v>
      </c>
      <c s="142" r="AS226"/>
      <c t="str" s="142" r="AT226">
        <f>IF((COUNTA($M226:$M$361)=0),"---",IF(AND(($M226="r"),(COUNTA($M227:$M$361)&gt;0)),(MAX(AT$44:AT225)+1),IF(OR(($M225="p"),($M225="n"),($M225="g")),"---",AT225)))</f>
        <v>---</v>
      </c>
      <c t="str" s="142" r="AU226">
        <f>IF((COUNTA($M226:$M$361)=0),"---",IF(AND(($M226="p"),(COUNTA($M227:$M$361)&gt;0)),(MAX(AU$44:AU225)+1),IF(OR(($M225="r"),($M225="n"),($M225="g")),"---",AU225)))</f>
        <v>---</v>
      </c>
      <c t="str" s="142" r="AV226">
        <f>IF((COUNTA($M226:$M$361)=0),"---",IF(AND(($M226="n"),(COUNTA($M227:$M$361)&gt;0)),(MAX(AV$44:AV225)+1),IF(OR(($M225="r"),($M225="p"),($M225="g")),"---",AV225)))</f>
        <v>---</v>
      </c>
      <c t="str" s="142" r="AW226">
        <f>IF((COUNTA($M226:$M$361)=0),"---",IF(AND(($M226="g"),(COUNTA($M227:$M$361)&gt;0)),(MAX(AW$44:AW225)+1),IF(OR(($M225="r"),($M225="p"),($M225="n")),"---",AW225)))</f>
        <v>---</v>
      </c>
      <c s="676" r="AX226">
        <f>IF((M226="p"),(1+MAX(AX$44:AX225)),0)</f>
        <v>0</v>
      </c>
      <c s="51" r="AY226"/>
      <c s="761" r="AZ226"/>
      <c s="761" r="BA226"/>
      <c s="125" r="BB226"/>
      <c s="125" r="BC226"/>
      <c s="125" r="BD226"/>
      <c s="125" r="BE226"/>
      <c s="125" r="BF226"/>
      <c s="125" r="BG226"/>
      <c s="125" r="BH226"/>
      <c s="125" r="BI226"/>
    </row>
    <row r="227">
      <c s="125" r="A227"/>
      <c s="125" r="B227"/>
      <c s="125" r="C227"/>
      <c s="125" r="D227"/>
      <c s="125" r="E227"/>
      <c s="125" r="F227"/>
      <c s="125" r="G227"/>
      <c s="125" r="H227"/>
      <c s="125" r="I227"/>
      <c s="822" r="J227"/>
      <c s="848" r="K227"/>
      <c s="550" r="L227"/>
      <c s="104" r="M227"/>
      <c s="550" r="N227"/>
      <c t="str" s="589" r="O227">
        <f>IF((AH$28=2),IF(ISBLANK(N227),O226,N227),IF(ISNUMBER(N227),(MAX(O$44:O226)+N227),O226))</f>
        <v/>
      </c>
      <c s="694" r="P227"/>
      <c s="273" r="Q227">
        <f>IF(ISNUMBER(P227),((Q226+P227)-R226),Q226)</f>
        <v>100</v>
      </c>
      <c s="694" r="R227"/>
      <c s="821" r="S227"/>
      <c s="550" r="T227"/>
      <c s="550" r="U227"/>
      <c s="550" r="V227"/>
      <c s="550" r="W227"/>
      <c s="550" r="X227"/>
      <c s="550" r="Y227"/>
      <c t="str" s="470" r="Z227">
        <f>IF(ISNUMBER(S227),(Q227-S227),NA())</f>
        <v>#N/A:explicit</v>
      </c>
      <c t="str" s="470" r="AA227">
        <f>IF(ISNUMBER(T227),IF((AH$22=1),(Z227+T227),(Q227-T227)),NA())</f>
        <v>#N/A:explicit</v>
      </c>
      <c t="str" s="470" r="AB227">
        <f>IF(ISNUMBER(U227),(Q227-U227),NA())</f>
        <v>#N/A:explicit</v>
      </c>
      <c t="str" s="470" r="AC227">
        <f>IF(ISNUMBER(V227),(Q227-V227),NA())</f>
        <v>#N/A:explicit</v>
      </c>
      <c t="str" s="470" r="AD227">
        <f>IF(ISNUMBER(W227),(Q227-W227),NA())</f>
        <v>#N/A:explicit</v>
      </c>
      <c t="str" s="470" r="AE227">
        <f>IF(ISNUMBER(X227),(Q227-X227),NA())</f>
        <v>#N/A:explicit</v>
      </c>
      <c t="str" s="552" r="AF227">
        <f>IF(ISNUMBER(Z227),Z227,"---")</f>
        <v>---</v>
      </c>
      <c s="142" r="AG227"/>
      <c t="str" s="142" r="AH227">
        <f>IF(ISBLANK(L227),NA(),MIN(AF$44:AF$361))</f>
        <v>#N/A:explicit</v>
      </c>
      <c t="str" s="142" r="AI227">
        <f>IF(ISNA(AA227),Z227,AA227)</f>
        <v>#N/A:explicit</v>
      </c>
      <c s="142" r="AJ227">
        <f>MIN(AF$44:AF$361)</f>
        <v>0</v>
      </c>
      <c s="142" r="AK227"/>
      <c t="str" s="142" r="AL227">
        <f>IF(ISNUMBER(AB227),O227,"---")</f>
        <v>---</v>
      </c>
      <c t="str" s="80" r="AM227">
        <f>IF(ISNUMBER(AB227),AB227,"---")</f>
        <v>---</v>
      </c>
      <c s="80" r="AN227"/>
      <c t="str" s="142" r="AO227">
        <f>IF((M227="r"),Z227,NA())</f>
        <v>#N/A:explicit</v>
      </c>
      <c t="str" s="142" r="AP227">
        <f>IF((M227="p"),Z227,NA())</f>
        <v>#N/A:explicit</v>
      </c>
      <c t="str" s="142" r="AQ227">
        <f>IF((M227="n"),Z227,NA())</f>
        <v>#N/A:explicit</v>
      </c>
      <c t="str" s="142" r="AR227">
        <f>IF((M227="g"),Z227,NA())</f>
        <v>#N/A:explicit</v>
      </c>
      <c s="142" r="AS227"/>
      <c t="str" s="142" r="AT227">
        <f>IF((COUNTA($M227:$M$361)=0),"---",IF(AND(($M227="r"),(COUNTA($M228:$M$361)&gt;0)),(MAX(AT$44:AT226)+1),IF(OR(($M226="p"),($M226="n"),($M226="g")),"---",AT226)))</f>
        <v>---</v>
      </c>
      <c t="str" s="142" r="AU227">
        <f>IF((COUNTA($M227:$M$361)=0),"---",IF(AND(($M227="p"),(COUNTA($M228:$M$361)&gt;0)),(MAX(AU$44:AU226)+1),IF(OR(($M226="r"),($M226="n"),($M226="g")),"---",AU226)))</f>
        <v>---</v>
      </c>
      <c t="str" s="142" r="AV227">
        <f>IF((COUNTA($M227:$M$361)=0),"---",IF(AND(($M227="n"),(COUNTA($M228:$M$361)&gt;0)),(MAX(AV$44:AV226)+1),IF(OR(($M226="r"),($M226="p"),($M226="g")),"---",AV226)))</f>
        <v>---</v>
      </c>
      <c t="str" s="142" r="AW227">
        <f>IF((COUNTA($M227:$M$361)=0),"---",IF(AND(($M227="g"),(COUNTA($M228:$M$361)&gt;0)),(MAX(AW$44:AW226)+1),IF(OR(($M226="r"),($M226="p"),($M226="n")),"---",AW226)))</f>
        <v>---</v>
      </c>
      <c s="676" r="AX227">
        <f>IF((M227="p"),(1+MAX(AX$44:AX226)),0)</f>
        <v>0</v>
      </c>
      <c s="51" r="AY227"/>
      <c s="761" r="AZ227"/>
      <c s="761" r="BA227"/>
      <c s="125" r="BB227"/>
      <c s="125" r="BC227"/>
      <c s="125" r="BD227"/>
      <c s="125" r="BE227"/>
      <c s="125" r="BF227"/>
      <c s="125" r="BG227"/>
      <c s="125" r="BH227"/>
      <c s="125" r="BI227"/>
    </row>
    <row r="228">
      <c s="125" r="A228"/>
      <c s="125" r="B228"/>
      <c s="125" r="C228"/>
      <c s="125" r="D228"/>
      <c s="125" r="E228"/>
      <c s="125" r="F228"/>
      <c s="125" r="G228"/>
      <c s="125" r="H228"/>
      <c s="125" r="I228"/>
      <c s="822" r="J228"/>
      <c s="429" r="K228"/>
      <c s="458" r="L228"/>
      <c s="104" r="M228"/>
      <c s="458" r="N228"/>
      <c t="str" s="589" r="O228">
        <f>IF((AH$28=2),IF(ISBLANK(N228),O227,N228),IF(ISNUMBER(N228),(MAX(O$44:O227)+N228),O227))</f>
        <v/>
      </c>
      <c s="228" r="P228"/>
      <c s="273" r="Q228">
        <f>IF(ISNUMBER(P228),((Q227+P228)-R227),Q227)</f>
        <v>100</v>
      </c>
      <c s="228" r="R228"/>
      <c s="610" r="S228"/>
      <c s="458" r="T228"/>
      <c s="458" r="U228"/>
      <c s="458" r="V228"/>
      <c s="458" r="W228"/>
      <c s="458" r="X228"/>
      <c s="458" r="Y228"/>
      <c t="str" s="620" r="Z228">
        <f>IF(ISNUMBER(S228),(Q228-S228),NA())</f>
        <v>#N/A:explicit</v>
      </c>
      <c t="str" s="620" r="AA228">
        <f>IF(ISNUMBER(T228),IF((AH$22=1),(Z228+T228),(Q228-T228)),NA())</f>
        <v>#N/A:explicit</v>
      </c>
      <c t="str" s="620" r="AB228">
        <f>IF(ISNUMBER(U228),(Q228-U228),NA())</f>
        <v>#N/A:explicit</v>
      </c>
      <c t="str" s="620" r="AC228">
        <f>IF(ISNUMBER(V228),(Q228-V228),NA())</f>
        <v>#N/A:explicit</v>
      </c>
      <c t="str" s="620" r="AD228">
        <f>IF(ISNUMBER(W228),(Q228-W228),NA())</f>
        <v>#N/A:explicit</v>
      </c>
      <c t="str" s="620" r="AE228">
        <f>IF(ISNUMBER(X228),(Q228-X228),NA())</f>
        <v>#N/A:explicit</v>
      </c>
      <c t="str" s="552" r="AF228">
        <f>IF(ISNUMBER(Z228),Z228,"---")</f>
        <v>---</v>
      </c>
      <c s="142" r="AG228"/>
      <c t="str" s="142" r="AH228">
        <f>IF(ISBLANK(L228),NA(),MIN(AF$44:AF$361))</f>
        <v>#N/A:explicit</v>
      </c>
      <c t="str" s="142" r="AI228">
        <f>IF(ISNA(AA228),Z228,AA228)</f>
        <v>#N/A:explicit</v>
      </c>
      <c s="142" r="AJ228">
        <f>MIN(AF$44:AF$361)</f>
        <v>0</v>
      </c>
      <c s="142" r="AK228"/>
      <c t="str" s="142" r="AL228">
        <f>IF(ISNUMBER(AB228),O228,"---")</f>
        <v>---</v>
      </c>
      <c t="str" s="80" r="AM228">
        <f>IF(ISNUMBER(AB228),AB228,"---")</f>
        <v>---</v>
      </c>
      <c s="80" r="AN228"/>
      <c t="str" s="142" r="AO228">
        <f>IF((M228="r"),Z228,NA())</f>
        <v>#N/A:explicit</v>
      </c>
      <c t="str" s="142" r="AP228">
        <f>IF((M228="p"),Z228,NA())</f>
        <v>#N/A:explicit</v>
      </c>
      <c t="str" s="142" r="AQ228">
        <f>IF((M228="n"),Z228,NA())</f>
        <v>#N/A:explicit</v>
      </c>
      <c t="str" s="142" r="AR228">
        <f>IF((M228="g"),Z228,NA())</f>
        <v>#N/A:explicit</v>
      </c>
      <c s="142" r="AS228"/>
      <c t="str" s="142" r="AT228">
        <f>IF((COUNTA($M228:$M$361)=0),"---",IF(AND(($M228="r"),(COUNTA($M229:$M$361)&gt;0)),(MAX(AT$44:AT227)+1),IF(OR(($M227="p"),($M227="n"),($M227="g")),"---",AT227)))</f>
        <v>---</v>
      </c>
      <c t="str" s="142" r="AU228">
        <f>IF((COUNTA($M228:$M$361)=0),"---",IF(AND(($M228="p"),(COUNTA($M229:$M$361)&gt;0)),(MAX(AU$44:AU227)+1),IF(OR(($M227="r"),($M227="n"),($M227="g")),"---",AU227)))</f>
        <v>---</v>
      </c>
      <c t="str" s="142" r="AV228">
        <f>IF((COUNTA($M228:$M$361)=0),"---",IF(AND(($M228="n"),(COUNTA($M229:$M$361)&gt;0)),(MAX(AV$44:AV227)+1),IF(OR(($M227="r"),($M227="p"),($M227="g")),"---",AV227)))</f>
        <v>---</v>
      </c>
      <c t="str" s="142" r="AW228">
        <f>IF((COUNTA($M228:$M$361)=0),"---",IF(AND(($M228="g"),(COUNTA($M229:$M$361)&gt;0)),(MAX(AW$44:AW227)+1),IF(OR(($M227="r"),($M227="p"),($M227="n")),"---",AW227)))</f>
        <v>---</v>
      </c>
      <c s="676" r="AX228">
        <f>IF((M228="p"),(1+MAX(AX$44:AX227)),0)</f>
        <v>0</v>
      </c>
      <c s="51" r="AY228"/>
      <c s="761" r="AZ228"/>
      <c s="761" r="BA228"/>
      <c s="125" r="BB228"/>
      <c s="125" r="BC228"/>
      <c s="125" r="BD228"/>
      <c s="125" r="BE228"/>
      <c s="125" r="BF228"/>
      <c s="125" r="BG228"/>
      <c s="125" r="BH228"/>
      <c s="125" r="BI228"/>
    </row>
    <row r="229">
      <c s="125" r="A229"/>
      <c s="125" r="B229"/>
      <c s="125" r="C229"/>
      <c s="125" r="D229"/>
      <c s="125" r="E229"/>
      <c s="125" r="F229"/>
      <c s="125" r="G229"/>
      <c s="125" r="H229"/>
      <c s="125" r="I229"/>
      <c s="822" r="J229"/>
      <c s="429" r="K229"/>
      <c s="458" r="L229"/>
      <c s="104" r="M229"/>
      <c s="458" r="N229"/>
      <c t="str" s="589" r="O229">
        <f>IF((AH$28=2),IF(ISBLANK(N229),O228,N229),IF(ISNUMBER(N229),(MAX(O$44:O228)+N229),O228))</f>
        <v/>
      </c>
      <c s="228" r="P229"/>
      <c s="273" r="Q229">
        <f>IF(ISNUMBER(P229),((Q228+P229)-R228),Q228)</f>
        <v>100</v>
      </c>
      <c s="228" r="R229"/>
      <c s="610" r="S229"/>
      <c s="458" r="T229"/>
      <c s="458" r="U229"/>
      <c s="458" r="V229"/>
      <c s="458" r="W229"/>
      <c s="458" r="X229"/>
      <c s="458" r="Y229"/>
      <c t="str" s="620" r="Z229">
        <f>IF(ISNUMBER(S229),(Q229-S229),NA())</f>
        <v>#N/A:explicit</v>
      </c>
      <c t="str" s="620" r="AA229">
        <f>IF(ISNUMBER(T229),IF((AH$22=1),(Z229+T229),(Q229-T229)),NA())</f>
        <v>#N/A:explicit</v>
      </c>
      <c t="str" s="620" r="AB229">
        <f>IF(ISNUMBER(U229),(Q229-U229),NA())</f>
        <v>#N/A:explicit</v>
      </c>
      <c t="str" s="620" r="AC229">
        <f>IF(ISNUMBER(V229),(Q229-V229),NA())</f>
        <v>#N/A:explicit</v>
      </c>
      <c t="str" s="620" r="AD229">
        <f>IF(ISNUMBER(W229),(Q229-W229),NA())</f>
        <v>#N/A:explicit</v>
      </c>
      <c t="str" s="620" r="AE229">
        <f>IF(ISNUMBER(X229),(Q229-X229),NA())</f>
        <v>#N/A:explicit</v>
      </c>
      <c t="str" s="552" r="AF229">
        <f>IF(ISNUMBER(Z229),Z229,"---")</f>
        <v>---</v>
      </c>
      <c s="142" r="AG229"/>
      <c t="str" s="142" r="AH229">
        <f>IF(ISBLANK(L229),NA(),MIN(AF$44:AF$361))</f>
        <v>#N/A:explicit</v>
      </c>
      <c t="str" s="142" r="AI229">
        <f>IF(ISNA(AA229),Z229,AA229)</f>
        <v>#N/A:explicit</v>
      </c>
      <c s="142" r="AJ229">
        <f>MIN(AF$44:AF$361)</f>
        <v>0</v>
      </c>
      <c s="142" r="AK229"/>
      <c t="str" s="142" r="AL229">
        <f>IF(ISNUMBER(AB229),O229,"---")</f>
        <v>---</v>
      </c>
      <c t="str" s="80" r="AM229">
        <f>IF(ISNUMBER(AB229),AB229,"---")</f>
        <v>---</v>
      </c>
      <c s="80" r="AN229"/>
      <c t="str" s="142" r="AO229">
        <f>IF((M229="r"),Z229,NA())</f>
        <v>#N/A:explicit</v>
      </c>
      <c t="str" s="142" r="AP229">
        <f>IF((M229="p"),Z229,NA())</f>
        <v>#N/A:explicit</v>
      </c>
      <c t="str" s="142" r="AQ229">
        <f>IF((M229="n"),Z229,NA())</f>
        <v>#N/A:explicit</v>
      </c>
      <c t="str" s="142" r="AR229">
        <f>IF((M229="g"),Z229,NA())</f>
        <v>#N/A:explicit</v>
      </c>
      <c s="142" r="AS229"/>
      <c t="str" s="142" r="AT229">
        <f>IF((COUNTA($M229:$M$361)=0),"---",IF(AND(($M229="r"),(COUNTA($M230:$M$361)&gt;0)),(MAX(AT$44:AT228)+1),IF(OR(($M228="p"),($M228="n"),($M228="g")),"---",AT228)))</f>
        <v>---</v>
      </c>
      <c t="str" s="142" r="AU229">
        <f>IF((COUNTA($M229:$M$361)=0),"---",IF(AND(($M229="p"),(COUNTA($M230:$M$361)&gt;0)),(MAX(AU$44:AU228)+1),IF(OR(($M228="r"),($M228="n"),($M228="g")),"---",AU228)))</f>
        <v>---</v>
      </c>
      <c t="str" s="142" r="AV229">
        <f>IF((COUNTA($M229:$M$361)=0),"---",IF(AND(($M229="n"),(COUNTA($M230:$M$361)&gt;0)),(MAX(AV$44:AV228)+1),IF(OR(($M228="r"),($M228="p"),($M228="g")),"---",AV228)))</f>
        <v>---</v>
      </c>
      <c t="str" s="142" r="AW229">
        <f>IF((COUNTA($M229:$M$361)=0),"---",IF(AND(($M229="g"),(COUNTA($M230:$M$361)&gt;0)),(MAX(AW$44:AW228)+1),IF(OR(($M228="r"),($M228="p"),($M228="n")),"---",AW228)))</f>
        <v>---</v>
      </c>
      <c s="676" r="AX229">
        <f>IF((M229="p"),(1+MAX(AX$44:AX228)),0)</f>
        <v>0</v>
      </c>
      <c s="51" r="AY229"/>
      <c s="761" r="AZ229"/>
      <c s="761" r="BA229"/>
      <c s="125" r="BB229"/>
      <c s="125" r="BC229"/>
      <c s="125" r="BD229"/>
      <c s="125" r="BE229"/>
      <c s="125" r="BF229"/>
      <c s="125" r="BG229"/>
      <c s="125" r="BH229"/>
      <c s="125" r="BI229"/>
    </row>
    <row r="230">
      <c s="125" r="A230"/>
      <c s="125" r="B230"/>
      <c s="125" r="C230"/>
      <c s="125" r="D230"/>
      <c s="125" r="E230"/>
      <c s="125" r="F230"/>
      <c s="125" r="G230"/>
      <c s="125" r="H230"/>
      <c s="125" r="I230"/>
      <c s="822" r="J230"/>
      <c s="429" r="K230"/>
      <c s="458" r="L230"/>
      <c s="104" r="M230"/>
      <c s="458" r="N230"/>
      <c t="str" s="589" r="O230">
        <f>IF((AH$28=2),IF(ISBLANK(N230),O229,N230),IF(ISNUMBER(N230),(MAX(O$44:O229)+N230),O229))</f>
        <v/>
      </c>
      <c s="228" r="P230"/>
      <c s="273" r="Q230">
        <f>IF(ISNUMBER(P230),((Q229+P230)-R229),Q229)</f>
        <v>100</v>
      </c>
      <c s="228" r="R230"/>
      <c s="610" r="S230"/>
      <c s="458" r="T230"/>
      <c s="458" r="U230"/>
      <c s="458" r="V230"/>
      <c s="458" r="W230"/>
      <c s="458" r="X230"/>
      <c s="458" r="Y230"/>
      <c t="str" s="620" r="Z230">
        <f>IF(ISNUMBER(S230),(Q230-S230),NA())</f>
        <v>#N/A:explicit</v>
      </c>
      <c t="str" s="620" r="AA230">
        <f>IF(ISNUMBER(T230),IF((AH$22=1),(Z230+T230),(Q230-T230)),NA())</f>
        <v>#N/A:explicit</v>
      </c>
      <c t="str" s="620" r="AB230">
        <f>IF(ISNUMBER(U230),(Q230-U230),NA())</f>
        <v>#N/A:explicit</v>
      </c>
      <c t="str" s="620" r="AC230">
        <f>IF(ISNUMBER(V230),(Q230-V230),NA())</f>
        <v>#N/A:explicit</v>
      </c>
      <c t="str" s="620" r="AD230">
        <f>IF(ISNUMBER(W230),(Q230-W230),NA())</f>
        <v>#N/A:explicit</v>
      </c>
      <c t="str" s="620" r="AE230">
        <f>IF(ISNUMBER(X230),(Q230-X230),NA())</f>
        <v>#N/A:explicit</v>
      </c>
      <c t="str" s="552" r="AF230">
        <f>IF(ISNUMBER(Z230),Z230,"---")</f>
        <v>---</v>
      </c>
      <c s="142" r="AG230"/>
      <c t="str" s="142" r="AH230">
        <f>IF(ISBLANK(L230),NA(),MIN(AF$44:AF$361))</f>
        <v>#N/A:explicit</v>
      </c>
      <c t="str" s="142" r="AI230">
        <f>IF(ISNA(AA230),Z230,AA230)</f>
        <v>#N/A:explicit</v>
      </c>
      <c s="142" r="AJ230">
        <f>MIN(AF$44:AF$361)</f>
        <v>0</v>
      </c>
      <c s="142" r="AK230"/>
      <c t="str" s="142" r="AL230">
        <f>IF(ISNUMBER(AB230),O230,"---")</f>
        <v>---</v>
      </c>
      <c t="str" s="80" r="AM230">
        <f>IF(ISNUMBER(AB230),AB230,"---")</f>
        <v>---</v>
      </c>
      <c s="80" r="AN230"/>
      <c t="str" s="142" r="AO230">
        <f>IF((M230="r"),Z230,NA())</f>
        <v>#N/A:explicit</v>
      </c>
      <c t="str" s="142" r="AP230">
        <f>IF((M230="p"),Z230,NA())</f>
        <v>#N/A:explicit</v>
      </c>
      <c t="str" s="142" r="AQ230">
        <f>IF((M230="n"),Z230,NA())</f>
        <v>#N/A:explicit</v>
      </c>
      <c t="str" s="142" r="AR230">
        <f>IF((M230="g"),Z230,NA())</f>
        <v>#N/A:explicit</v>
      </c>
      <c s="142" r="AS230"/>
      <c t="str" s="142" r="AT230">
        <f>IF((COUNTA($M230:$M$361)=0),"---",IF(AND(($M230="r"),(COUNTA($M231:$M$361)&gt;0)),(MAX(AT$44:AT229)+1),IF(OR(($M229="p"),($M229="n"),($M229="g")),"---",AT229)))</f>
        <v>---</v>
      </c>
      <c t="str" s="142" r="AU230">
        <f>IF((COUNTA($M230:$M$361)=0),"---",IF(AND(($M230="p"),(COUNTA($M231:$M$361)&gt;0)),(MAX(AU$44:AU229)+1),IF(OR(($M229="r"),($M229="n"),($M229="g")),"---",AU229)))</f>
        <v>---</v>
      </c>
      <c t="str" s="142" r="AV230">
        <f>IF((COUNTA($M230:$M$361)=0),"---",IF(AND(($M230="n"),(COUNTA($M231:$M$361)&gt;0)),(MAX(AV$44:AV229)+1),IF(OR(($M229="r"),($M229="p"),($M229="g")),"---",AV229)))</f>
        <v>---</v>
      </c>
      <c t="str" s="142" r="AW230">
        <f>IF((COUNTA($M230:$M$361)=0),"---",IF(AND(($M230="g"),(COUNTA($M231:$M$361)&gt;0)),(MAX(AW$44:AW229)+1),IF(OR(($M229="r"),($M229="p"),($M229="n")),"---",AW229)))</f>
        <v>---</v>
      </c>
      <c s="676" r="AX230">
        <f>IF((M230="p"),(1+MAX(AX$44:AX229)),0)</f>
        <v>0</v>
      </c>
      <c s="51" r="AY230"/>
      <c s="761" r="AZ230"/>
      <c s="761" r="BA230"/>
      <c s="125" r="BB230"/>
      <c s="125" r="BC230"/>
      <c s="125" r="BD230"/>
      <c s="125" r="BE230"/>
      <c s="125" r="BF230"/>
      <c s="125" r="BG230"/>
      <c s="125" r="BH230"/>
      <c s="125" r="BI230"/>
    </row>
    <row r="231">
      <c s="125" r="A231"/>
      <c s="125" r="B231"/>
      <c s="125" r="C231"/>
      <c s="125" r="D231"/>
      <c s="125" r="E231"/>
      <c s="125" r="F231"/>
      <c s="125" r="G231"/>
      <c s="125" r="H231"/>
      <c s="125" r="I231"/>
      <c s="822" r="J231"/>
      <c s="848" r="K231"/>
      <c s="550" r="L231"/>
      <c s="104" r="M231"/>
      <c s="550" r="N231"/>
      <c t="str" s="589" r="O231">
        <f>IF((AH$28=2),IF(ISBLANK(N231),O230,N231),IF(ISNUMBER(N231),(MAX(O$44:O230)+N231),O230))</f>
        <v/>
      </c>
      <c s="694" r="P231"/>
      <c s="273" r="Q231">
        <f>IF(ISNUMBER(P231),((Q230+P231)-R230),Q230)</f>
        <v>100</v>
      </c>
      <c s="694" r="R231"/>
      <c s="821" r="S231"/>
      <c s="550" r="T231"/>
      <c s="550" r="U231"/>
      <c s="550" r="V231"/>
      <c s="550" r="W231"/>
      <c s="550" r="X231"/>
      <c s="550" r="Y231"/>
      <c t="str" s="470" r="Z231">
        <f>IF(ISNUMBER(S231),(Q231-S231),NA())</f>
        <v>#N/A:explicit</v>
      </c>
      <c t="str" s="470" r="AA231">
        <f>IF(ISNUMBER(T231),IF((AH$22=1),(Z231+T231),(Q231-T231)),NA())</f>
        <v>#N/A:explicit</v>
      </c>
      <c t="str" s="470" r="AB231">
        <f>IF(ISNUMBER(U231),(Q231-U231),NA())</f>
        <v>#N/A:explicit</v>
      </c>
      <c t="str" s="470" r="AC231">
        <f>IF(ISNUMBER(V231),(Q231-V231),NA())</f>
        <v>#N/A:explicit</v>
      </c>
      <c t="str" s="470" r="AD231">
        <f>IF(ISNUMBER(W231),(Q231-W231),NA())</f>
        <v>#N/A:explicit</v>
      </c>
      <c t="str" s="470" r="AE231">
        <f>IF(ISNUMBER(X231),(Q231-X231),NA())</f>
        <v>#N/A:explicit</v>
      </c>
      <c t="str" s="552" r="AF231">
        <f>IF(ISNUMBER(Z231),Z231,"---")</f>
        <v>---</v>
      </c>
      <c s="142" r="AG231"/>
      <c t="str" s="142" r="AH231">
        <f>IF(ISBLANK(L231),NA(),MIN(AF$44:AF$361))</f>
        <v>#N/A:explicit</v>
      </c>
      <c t="str" s="142" r="AI231">
        <f>IF(ISNA(AA231),Z231,AA231)</f>
        <v>#N/A:explicit</v>
      </c>
      <c s="142" r="AJ231">
        <f>MIN(AF$44:AF$361)</f>
        <v>0</v>
      </c>
      <c s="142" r="AK231"/>
      <c t="str" s="142" r="AL231">
        <f>IF(ISNUMBER(AB231),O231,"---")</f>
        <v>---</v>
      </c>
      <c t="str" s="80" r="AM231">
        <f>IF(ISNUMBER(AB231),AB231,"---")</f>
        <v>---</v>
      </c>
      <c s="80" r="AN231"/>
      <c t="str" s="142" r="AO231">
        <f>IF((M231="r"),Z231,NA())</f>
        <v>#N/A:explicit</v>
      </c>
      <c t="str" s="142" r="AP231">
        <f>IF((M231="p"),Z231,NA())</f>
        <v>#N/A:explicit</v>
      </c>
      <c t="str" s="142" r="AQ231">
        <f>IF((M231="n"),Z231,NA())</f>
        <v>#N/A:explicit</v>
      </c>
      <c t="str" s="142" r="AR231">
        <f>IF((M231="g"),Z231,NA())</f>
        <v>#N/A:explicit</v>
      </c>
      <c s="142" r="AS231"/>
      <c t="str" s="142" r="AT231">
        <f>IF((COUNTA($M231:$M$361)=0),"---",IF(AND(($M231="r"),(COUNTA($M232:$M$361)&gt;0)),(MAX(AT$44:AT230)+1),IF(OR(($M230="p"),($M230="n"),($M230="g")),"---",AT230)))</f>
        <v>---</v>
      </c>
      <c t="str" s="142" r="AU231">
        <f>IF((COUNTA($M231:$M$361)=0),"---",IF(AND(($M231="p"),(COUNTA($M232:$M$361)&gt;0)),(MAX(AU$44:AU230)+1),IF(OR(($M230="r"),($M230="n"),($M230="g")),"---",AU230)))</f>
        <v>---</v>
      </c>
      <c t="str" s="142" r="AV231">
        <f>IF((COUNTA($M231:$M$361)=0),"---",IF(AND(($M231="n"),(COUNTA($M232:$M$361)&gt;0)),(MAX(AV$44:AV230)+1),IF(OR(($M230="r"),($M230="p"),($M230="g")),"---",AV230)))</f>
        <v>---</v>
      </c>
      <c t="str" s="142" r="AW231">
        <f>IF((COUNTA($M231:$M$361)=0),"---",IF(AND(($M231="g"),(COUNTA($M232:$M$361)&gt;0)),(MAX(AW$44:AW230)+1),IF(OR(($M230="r"),($M230="p"),($M230="n")),"---",AW230)))</f>
        <v>---</v>
      </c>
      <c s="676" r="AX231">
        <f>IF((M231="p"),(1+MAX(AX$44:AX230)),0)</f>
        <v>0</v>
      </c>
      <c s="51" r="AY231"/>
      <c s="761" r="AZ231"/>
      <c s="761" r="BA231"/>
      <c s="125" r="BB231"/>
      <c s="125" r="BC231"/>
      <c s="125" r="BD231"/>
      <c s="125" r="BE231"/>
      <c s="125" r="BF231"/>
      <c s="125" r="BG231"/>
      <c s="125" r="BH231"/>
      <c s="125" r="BI231"/>
    </row>
    <row r="232">
      <c s="125" r="A232"/>
      <c s="125" r="B232"/>
      <c s="125" r="C232"/>
      <c s="125" r="D232"/>
      <c s="125" r="E232"/>
      <c s="125" r="F232"/>
      <c s="125" r="G232"/>
      <c s="125" r="H232"/>
      <c s="125" r="I232"/>
      <c s="822" r="J232"/>
      <c s="848" r="K232"/>
      <c s="550" r="L232"/>
      <c s="104" r="M232"/>
      <c s="550" r="N232"/>
      <c t="str" s="589" r="O232">
        <f>IF((AH$28=2),IF(ISBLANK(N232),O231,N232),IF(ISNUMBER(N232),(MAX(O$44:O231)+N232),O231))</f>
        <v/>
      </c>
      <c s="694" r="P232"/>
      <c s="273" r="Q232">
        <f>IF(ISNUMBER(P232),((Q231+P232)-R231),Q231)</f>
        <v>100</v>
      </c>
      <c s="694" r="R232"/>
      <c s="821" r="S232"/>
      <c s="550" r="T232"/>
      <c s="550" r="U232"/>
      <c s="550" r="V232"/>
      <c s="550" r="W232"/>
      <c s="550" r="X232"/>
      <c s="550" r="Y232"/>
      <c t="str" s="470" r="Z232">
        <f>IF(ISNUMBER(S232),(Q232-S232),NA())</f>
        <v>#N/A:explicit</v>
      </c>
      <c t="str" s="470" r="AA232">
        <f>IF(ISNUMBER(T232),IF((AH$22=1),(Z232+T232),(Q232-T232)),NA())</f>
        <v>#N/A:explicit</v>
      </c>
      <c t="str" s="470" r="AB232">
        <f>IF(ISNUMBER(U232),(Q232-U232),NA())</f>
        <v>#N/A:explicit</v>
      </c>
      <c t="str" s="470" r="AC232">
        <f>IF(ISNUMBER(V232),(Q232-V232),NA())</f>
        <v>#N/A:explicit</v>
      </c>
      <c t="str" s="470" r="AD232">
        <f>IF(ISNUMBER(W232),(Q232-W232),NA())</f>
        <v>#N/A:explicit</v>
      </c>
      <c t="str" s="470" r="AE232">
        <f>IF(ISNUMBER(X232),(Q232-X232),NA())</f>
        <v>#N/A:explicit</v>
      </c>
      <c t="str" s="552" r="AF232">
        <f>IF(ISNUMBER(Z232),Z232,"---")</f>
        <v>---</v>
      </c>
      <c s="142" r="AG232"/>
      <c t="str" s="142" r="AH232">
        <f>IF(ISBLANK(L232),NA(),MIN(AF$44:AF$361))</f>
        <v>#N/A:explicit</v>
      </c>
      <c t="str" s="142" r="AI232">
        <f>IF(ISNA(AA232),Z232,AA232)</f>
        <v>#N/A:explicit</v>
      </c>
      <c s="142" r="AJ232">
        <f>MIN(AF$44:AF$361)</f>
        <v>0</v>
      </c>
      <c s="142" r="AK232"/>
      <c t="str" s="142" r="AL232">
        <f>IF(ISNUMBER(AB232),O232,"---")</f>
        <v>---</v>
      </c>
      <c t="str" s="80" r="AM232">
        <f>IF(ISNUMBER(AB232),AB232,"---")</f>
        <v>---</v>
      </c>
      <c s="80" r="AN232"/>
      <c t="str" s="142" r="AO232">
        <f>IF((M232="r"),Z232,NA())</f>
        <v>#N/A:explicit</v>
      </c>
      <c t="str" s="142" r="AP232">
        <f>IF((M232="p"),Z232,NA())</f>
        <v>#N/A:explicit</v>
      </c>
      <c t="str" s="142" r="AQ232">
        <f>IF((M232="n"),Z232,NA())</f>
        <v>#N/A:explicit</v>
      </c>
      <c t="str" s="142" r="AR232">
        <f>IF((M232="g"),Z232,NA())</f>
        <v>#N/A:explicit</v>
      </c>
      <c s="142" r="AS232"/>
      <c t="str" s="142" r="AT232">
        <f>IF((COUNTA($M232:$M$361)=0),"---",IF(AND(($M232="r"),(COUNTA($M233:$M$361)&gt;0)),(MAX(AT$44:AT231)+1),IF(OR(($M231="p"),($M231="n"),($M231="g")),"---",AT231)))</f>
        <v>---</v>
      </c>
      <c t="str" s="142" r="AU232">
        <f>IF((COUNTA($M232:$M$361)=0),"---",IF(AND(($M232="p"),(COUNTA($M233:$M$361)&gt;0)),(MAX(AU$44:AU231)+1),IF(OR(($M231="r"),($M231="n"),($M231="g")),"---",AU231)))</f>
        <v>---</v>
      </c>
      <c t="str" s="142" r="AV232">
        <f>IF((COUNTA($M232:$M$361)=0),"---",IF(AND(($M232="n"),(COUNTA($M233:$M$361)&gt;0)),(MAX(AV$44:AV231)+1),IF(OR(($M231="r"),($M231="p"),($M231="g")),"---",AV231)))</f>
        <v>---</v>
      </c>
      <c t="str" s="142" r="AW232">
        <f>IF((COUNTA($M232:$M$361)=0),"---",IF(AND(($M232="g"),(COUNTA($M233:$M$361)&gt;0)),(MAX(AW$44:AW231)+1),IF(OR(($M231="r"),($M231="p"),($M231="n")),"---",AW231)))</f>
        <v>---</v>
      </c>
      <c s="676" r="AX232">
        <f>IF((M232="p"),(1+MAX(AX$44:AX231)),0)</f>
        <v>0</v>
      </c>
      <c s="51" r="AY232"/>
      <c s="761" r="AZ232"/>
      <c s="761" r="BA232"/>
      <c s="125" r="BB232"/>
      <c s="125" r="BC232"/>
      <c s="125" r="BD232"/>
      <c s="125" r="BE232"/>
      <c s="125" r="BF232"/>
      <c s="125" r="BG232"/>
      <c s="125" r="BH232"/>
      <c s="125" r="BI232"/>
    </row>
    <row r="233">
      <c s="125" r="A233"/>
      <c s="125" r="B233"/>
      <c s="125" r="C233"/>
      <c s="125" r="D233"/>
      <c s="125" r="E233"/>
      <c s="125" r="F233"/>
      <c s="125" r="G233"/>
      <c s="125" r="H233"/>
      <c s="125" r="I233"/>
      <c s="822" r="J233"/>
      <c s="848" r="K233"/>
      <c s="550" r="L233"/>
      <c s="104" r="M233"/>
      <c s="550" r="N233"/>
      <c t="str" s="589" r="O233">
        <f>IF((AH$28=2),IF(ISBLANK(N233),O232,N233),IF(ISNUMBER(N233),(MAX(O$44:O232)+N233),O232))</f>
        <v/>
      </c>
      <c s="694" r="P233"/>
      <c s="273" r="Q233">
        <f>IF(ISNUMBER(P233),((Q232+P233)-R232),Q232)</f>
        <v>100</v>
      </c>
      <c s="694" r="R233"/>
      <c s="821" r="S233"/>
      <c s="550" r="T233"/>
      <c s="550" r="U233"/>
      <c s="550" r="V233"/>
      <c s="550" r="W233"/>
      <c s="550" r="X233"/>
      <c s="550" r="Y233"/>
      <c t="str" s="470" r="Z233">
        <f>IF(ISNUMBER(S233),(Q233-S233),NA())</f>
        <v>#N/A:explicit</v>
      </c>
      <c t="str" s="470" r="AA233">
        <f>IF(ISNUMBER(T233),IF((AH$22=1),(Z233+T233),(Q233-T233)),NA())</f>
        <v>#N/A:explicit</v>
      </c>
      <c t="str" s="470" r="AB233">
        <f>IF(ISNUMBER(U233),(Q233-U233),NA())</f>
        <v>#N/A:explicit</v>
      </c>
      <c t="str" s="470" r="AC233">
        <f>IF(ISNUMBER(V233),(Q233-V233),NA())</f>
        <v>#N/A:explicit</v>
      </c>
      <c t="str" s="470" r="AD233">
        <f>IF(ISNUMBER(W233),(Q233-W233),NA())</f>
        <v>#N/A:explicit</v>
      </c>
      <c t="str" s="470" r="AE233">
        <f>IF(ISNUMBER(X233),(Q233-X233),NA())</f>
        <v>#N/A:explicit</v>
      </c>
      <c t="str" s="552" r="AF233">
        <f>IF(ISNUMBER(Z233),Z233,"---")</f>
        <v>---</v>
      </c>
      <c s="142" r="AG233"/>
      <c t="str" s="142" r="AH233">
        <f>IF(ISBLANK(L233),NA(),MIN(AF$44:AF$361))</f>
        <v>#N/A:explicit</v>
      </c>
      <c t="str" s="142" r="AI233">
        <f>IF(ISNA(AA233),Z233,AA233)</f>
        <v>#N/A:explicit</v>
      </c>
      <c s="142" r="AJ233">
        <f>MIN(AF$44:AF$361)</f>
        <v>0</v>
      </c>
      <c s="142" r="AK233"/>
      <c t="str" s="142" r="AL233">
        <f>IF(ISNUMBER(AB233),O233,"---")</f>
        <v>---</v>
      </c>
      <c t="str" s="80" r="AM233">
        <f>IF(ISNUMBER(AB233),AB233,"---")</f>
        <v>---</v>
      </c>
      <c s="80" r="AN233"/>
      <c t="str" s="142" r="AO233">
        <f>IF((M233="r"),Z233,NA())</f>
        <v>#N/A:explicit</v>
      </c>
      <c t="str" s="142" r="AP233">
        <f>IF((M233="p"),Z233,NA())</f>
        <v>#N/A:explicit</v>
      </c>
      <c t="str" s="142" r="AQ233">
        <f>IF((M233="n"),Z233,NA())</f>
        <v>#N/A:explicit</v>
      </c>
      <c t="str" s="142" r="AR233">
        <f>IF((M233="g"),Z233,NA())</f>
        <v>#N/A:explicit</v>
      </c>
      <c s="142" r="AS233"/>
      <c t="str" s="142" r="AT233">
        <f>IF((COUNTA($M233:$M$361)=0),"---",IF(AND(($M233="r"),(COUNTA($M234:$M$361)&gt;0)),(MAX(AT$44:AT232)+1),IF(OR(($M232="p"),($M232="n"),($M232="g")),"---",AT232)))</f>
        <v>---</v>
      </c>
      <c t="str" s="142" r="AU233">
        <f>IF((COUNTA($M233:$M$361)=0),"---",IF(AND(($M233="p"),(COUNTA($M234:$M$361)&gt;0)),(MAX(AU$44:AU232)+1),IF(OR(($M232="r"),($M232="n"),($M232="g")),"---",AU232)))</f>
        <v>---</v>
      </c>
      <c t="str" s="142" r="AV233">
        <f>IF((COUNTA($M233:$M$361)=0),"---",IF(AND(($M233="n"),(COUNTA($M234:$M$361)&gt;0)),(MAX(AV$44:AV232)+1),IF(OR(($M232="r"),($M232="p"),($M232="g")),"---",AV232)))</f>
        <v>---</v>
      </c>
      <c t="str" s="142" r="AW233">
        <f>IF((COUNTA($M233:$M$361)=0),"---",IF(AND(($M233="g"),(COUNTA($M234:$M$361)&gt;0)),(MAX(AW$44:AW232)+1),IF(OR(($M232="r"),($M232="p"),($M232="n")),"---",AW232)))</f>
        <v>---</v>
      </c>
      <c s="676" r="AX233">
        <f>IF((M233="p"),(1+MAX(AX$44:AX232)),0)</f>
        <v>0</v>
      </c>
      <c s="51" r="AY233"/>
      <c s="761" r="AZ233"/>
      <c s="761" r="BA233"/>
      <c s="125" r="BB233"/>
      <c s="125" r="BC233"/>
      <c s="125" r="BD233"/>
      <c s="125" r="BE233"/>
      <c s="125" r="BF233"/>
      <c s="125" r="BG233"/>
      <c s="125" r="BH233"/>
      <c s="125" r="BI233"/>
    </row>
    <row r="234">
      <c s="125" r="A234"/>
      <c s="125" r="B234"/>
      <c s="125" r="C234"/>
      <c s="125" r="D234"/>
      <c s="125" r="E234"/>
      <c s="125" r="F234"/>
      <c s="125" r="G234"/>
      <c s="125" r="H234"/>
      <c s="125" r="I234"/>
      <c s="822" r="J234"/>
      <c s="429" r="K234"/>
      <c s="458" r="L234"/>
      <c s="104" r="M234"/>
      <c s="458" r="N234"/>
      <c t="str" s="589" r="O234">
        <f>IF((AH$28=2),IF(ISBLANK(N234),O233,N234),IF(ISNUMBER(N234),(MAX(O$44:O233)+N234),O233))</f>
        <v/>
      </c>
      <c s="228" r="P234"/>
      <c s="273" r="Q234">
        <f>IF(ISNUMBER(P234),((Q233+P234)-R233),Q233)</f>
        <v>100</v>
      </c>
      <c s="228" r="R234"/>
      <c s="610" r="S234"/>
      <c s="458" r="T234"/>
      <c s="458" r="U234"/>
      <c s="458" r="V234"/>
      <c s="458" r="W234"/>
      <c s="458" r="X234"/>
      <c s="458" r="Y234"/>
      <c t="str" s="620" r="Z234">
        <f>IF(ISNUMBER(S234),(Q234-S234),NA())</f>
        <v>#N/A:explicit</v>
      </c>
      <c t="str" s="620" r="AA234">
        <f>IF(ISNUMBER(T234),IF((AH$22=1),(Z234+T234),(Q234-T234)),NA())</f>
        <v>#N/A:explicit</v>
      </c>
      <c t="str" s="620" r="AB234">
        <f>IF(ISNUMBER(U234),(Q234-U234),NA())</f>
        <v>#N/A:explicit</v>
      </c>
      <c t="str" s="620" r="AC234">
        <f>IF(ISNUMBER(V234),(Q234-V234),NA())</f>
        <v>#N/A:explicit</v>
      </c>
      <c t="str" s="620" r="AD234">
        <f>IF(ISNUMBER(W234),(Q234-W234),NA())</f>
        <v>#N/A:explicit</v>
      </c>
      <c t="str" s="620" r="AE234">
        <f>IF(ISNUMBER(X234),(Q234-X234),NA())</f>
        <v>#N/A:explicit</v>
      </c>
      <c t="str" s="552" r="AF234">
        <f>IF(ISNUMBER(Z234),Z234,"---")</f>
        <v>---</v>
      </c>
      <c s="142" r="AG234"/>
      <c t="str" s="142" r="AH234">
        <f>IF(ISBLANK(L234),NA(),MIN(AF$44:AF$361))</f>
        <v>#N/A:explicit</v>
      </c>
      <c t="str" s="142" r="AI234">
        <f>IF(ISNA(AA234),Z234,AA234)</f>
        <v>#N/A:explicit</v>
      </c>
      <c s="142" r="AJ234">
        <f>MIN(AF$44:AF$361)</f>
        <v>0</v>
      </c>
      <c s="142" r="AK234"/>
      <c t="str" s="142" r="AL234">
        <f>IF(ISNUMBER(AB234),O234,"---")</f>
        <v>---</v>
      </c>
      <c t="str" s="80" r="AM234">
        <f>IF(ISNUMBER(AB234),AB234,"---")</f>
        <v>---</v>
      </c>
      <c s="80" r="AN234"/>
      <c t="str" s="142" r="AO234">
        <f>IF((M234="r"),Z234,NA())</f>
        <v>#N/A:explicit</v>
      </c>
      <c t="str" s="142" r="AP234">
        <f>IF((M234="p"),Z234,NA())</f>
        <v>#N/A:explicit</v>
      </c>
      <c t="str" s="142" r="AQ234">
        <f>IF((M234="n"),Z234,NA())</f>
        <v>#N/A:explicit</v>
      </c>
      <c t="str" s="142" r="AR234">
        <f>IF((M234="g"),Z234,NA())</f>
        <v>#N/A:explicit</v>
      </c>
      <c s="142" r="AS234"/>
      <c t="str" s="142" r="AT234">
        <f>IF((COUNTA($M234:$M$361)=0),"---",IF(AND(($M234="r"),(COUNTA($M235:$M$361)&gt;0)),(MAX(AT$44:AT233)+1),IF(OR(($M233="p"),($M233="n"),($M233="g")),"---",AT233)))</f>
        <v>---</v>
      </c>
      <c t="str" s="142" r="AU234">
        <f>IF((COUNTA($M234:$M$361)=0),"---",IF(AND(($M234="p"),(COUNTA($M235:$M$361)&gt;0)),(MAX(AU$44:AU233)+1),IF(OR(($M233="r"),($M233="n"),($M233="g")),"---",AU233)))</f>
        <v>---</v>
      </c>
      <c t="str" s="142" r="AV234">
        <f>IF((COUNTA($M234:$M$361)=0),"---",IF(AND(($M234="n"),(COUNTA($M235:$M$361)&gt;0)),(MAX(AV$44:AV233)+1),IF(OR(($M233="r"),($M233="p"),($M233="g")),"---",AV233)))</f>
        <v>---</v>
      </c>
      <c t="str" s="142" r="AW234">
        <f>IF((COUNTA($M234:$M$361)=0),"---",IF(AND(($M234="g"),(COUNTA($M235:$M$361)&gt;0)),(MAX(AW$44:AW233)+1),IF(OR(($M233="r"),($M233="p"),($M233="n")),"---",AW233)))</f>
        <v>---</v>
      </c>
      <c s="676" r="AX234">
        <f>IF((M234="p"),(1+MAX(AX$44:AX233)),0)</f>
        <v>0</v>
      </c>
      <c s="51" r="AY234"/>
      <c s="761" r="AZ234"/>
      <c s="761" r="BA234"/>
      <c s="125" r="BB234"/>
      <c s="125" r="BC234"/>
      <c s="125" r="BD234"/>
      <c s="125" r="BE234"/>
      <c s="125" r="BF234"/>
      <c s="125" r="BG234"/>
      <c s="125" r="BH234"/>
      <c s="125" r="BI234"/>
    </row>
    <row r="235">
      <c s="125" r="A235"/>
      <c s="125" r="B235"/>
      <c s="125" r="C235"/>
      <c s="125" r="D235"/>
      <c s="125" r="E235"/>
      <c s="125" r="F235"/>
      <c s="125" r="G235"/>
      <c s="125" r="H235"/>
      <c s="125" r="I235"/>
      <c s="822" r="J235"/>
      <c s="429" r="K235"/>
      <c s="458" r="L235"/>
      <c s="104" r="M235"/>
      <c s="458" r="N235"/>
      <c t="str" s="589" r="O235">
        <f>IF((AH$28=2),IF(ISBLANK(N235),O234,N235),IF(ISNUMBER(N235),(MAX(O$44:O234)+N235),O234))</f>
        <v/>
      </c>
      <c s="228" r="P235"/>
      <c s="273" r="Q235">
        <f>IF(ISNUMBER(P235),((Q234+P235)-R234),Q234)</f>
        <v>100</v>
      </c>
      <c s="228" r="R235"/>
      <c s="610" r="S235"/>
      <c s="458" r="T235"/>
      <c s="458" r="U235"/>
      <c s="458" r="V235"/>
      <c s="458" r="W235"/>
      <c s="458" r="X235"/>
      <c s="458" r="Y235"/>
      <c t="str" s="620" r="Z235">
        <f>IF(ISNUMBER(S235),(Q235-S235),NA())</f>
        <v>#N/A:explicit</v>
      </c>
      <c t="str" s="620" r="AA235">
        <f>IF(ISNUMBER(T235),IF((AH$22=1),(Z235+T235),(Q235-T235)),NA())</f>
        <v>#N/A:explicit</v>
      </c>
      <c t="str" s="620" r="AB235">
        <f>IF(ISNUMBER(U235),(Q235-U235),NA())</f>
        <v>#N/A:explicit</v>
      </c>
      <c t="str" s="620" r="AC235">
        <f>IF(ISNUMBER(V235),(Q235-V235),NA())</f>
        <v>#N/A:explicit</v>
      </c>
      <c t="str" s="620" r="AD235">
        <f>IF(ISNUMBER(W235),(Q235-W235),NA())</f>
        <v>#N/A:explicit</v>
      </c>
      <c t="str" s="620" r="AE235">
        <f>IF(ISNUMBER(X235),(Q235-X235),NA())</f>
        <v>#N/A:explicit</v>
      </c>
      <c t="str" s="552" r="AF235">
        <f>IF(ISNUMBER(Z235),Z235,"---")</f>
        <v>---</v>
      </c>
      <c s="142" r="AG235"/>
      <c t="str" s="142" r="AH235">
        <f>IF(ISBLANK(L235),NA(),MIN(AF$44:AF$361))</f>
        <v>#N/A:explicit</v>
      </c>
      <c t="str" s="142" r="AI235">
        <f>IF(ISNA(AA235),Z235,AA235)</f>
        <v>#N/A:explicit</v>
      </c>
      <c s="142" r="AJ235">
        <f>MIN(AF$44:AF$361)</f>
        <v>0</v>
      </c>
      <c s="142" r="AK235"/>
      <c t="str" s="142" r="AL235">
        <f>IF(ISNUMBER(AB235),O235,"---")</f>
        <v>---</v>
      </c>
      <c t="str" s="80" r="AM235">
        <f>IF(ISNUMBER(AB235),AB235,"---")</f>
        <v>---</v>
      </c>
      <c s="80" r="AN235"/>
      <c t="str" s="142" r="AO235">
        <f>IF((M235="r"),Z235,NA())</f>
        <v>#N/A:explicit</v>
      </c>
      <c t="str" s="142" r="AP235">
        <f>IF((M235="p"),Z235,NA())</f>
        <v>#N/A:explicit</v>
      </c>
      <c t="str" s="142" r="AQ235">
        <f>IF((M235="n"),Z235,NA())</f>
        <v>#N/A:explicit</v>
      </c>
      <c t="str" s="142" r="AR235">
        <f>IF((M235="g"),Z235,NA())</f>
        <v>#N/A:explicit</v>
      </c>
      <c s="142" r="AS235"/>
      <c t="str" s="142" r="AT235">
        <f>IF((COUNTA($M235:$M$361)=0),"---",IF(AND(($M235="r"),(COUNTA($M236:$M$361)&gt;0)),(MAX(AT$44:AT234)+1),IF(OR(($M234="p"),($M234="n"),($M234="g")),"---",AT234)))</f>
        <v>---</v>
      </c>
      <c t="str" s="142" r="AU235">
        <f>IF((COUNTA($M235:$M$361)=0),"---",IF(AND(($M235="p"),(COUNTA($M236:$M$361)&gt;0)),(MAX(AU$44:AU234)+1),IF(OR(($M234="r"),($M234="n"),($M234="g")),"---",AU234)))</f>
        <v>---</v>
      </c>
      <c t="str" s="142" r="AV235">
        <f>IF((COUNTA($M235:$M$361)=0),"---",IF(AND(($M235="n"),(COUNTA($M236:$M$361)&gt;0)),(MAX(AV$44:AV234)+1),IF(OR(($M234="r"),($M234="p"),($M234="g")),"---",AV234)))</f>
        <v>---</v>
      </c>
      <c t="str" s="142" r="AW235">
        <f>IF((COUNTA($M235:$M$361)=0),"---",IF(AND(($M235="g"),(COUNTA($M236:$M$361)&gt;0)),(MAX(AW$44:AW234)+1),IF(OR(($M234="r"),($M234="p"),($M234="n")),"---",AW234)))</f>
        <v>---</v>
      </c>
      <c s="676" r="AX235">
        <f>IF((M235="p"),(1+MAX(AX$44:AX234)),0)</f>
        <v>0</v>
      </c>
      <c s="51" r="AY235"/>
      <c s="761" r="AZ235"/>
      <c s="761" r="BA235"/>
      <c s="125" r="BB235"/>
      <c s="125" r="BC235"/>
      <c s="125" r="BD235"/>
      <c s="125" r="BE235"/>
      <c s="125" r="BF235"/>
      <c s="125" r="BG235"/>
      <c s="125" r="BH235"/>
      <c s="125" r="BI235"/>
    </row>
    <row r="236">
      <c s="125" r="A236"/>
      <c s="125" r="B236"/>
      <c s="125" r="C236"/>
      <c s="125" r="D236"/>
      <c s="125" r="E236"/>
      <c s="125" r="F236"/>
      <c s="125" r="G236"/>
      <c s="125" r="H236"/>
      <c s="125" r="I236"/>
      <c s="822" r="J236"/>
      <c s="429" r="K236"/>
      <c s="458" r="L236"/>
      <c s="104" r="M236"/>
      <c s="458" r="N236"/>
      <c t="str" s="589" r="O236">
        <f>IF((AH$28=2),IF(ISBLANK(N236),O235,N236),IF(ISNUMBER(N236),(MAX(O$44:O235)+N236),O235))</f>
        <v/>
      </c>
      <c s="228" r="P236"/>
      <c s="273" r="Q236">
        <f>IF(ISNUMBER(P236),((Q235+P236)-R235),Q235)</f>
        <v>100</v>
      </c>
      <c s="228" r="R236"/>
      <c s="610" r="S236"/>
      <c s="458" r="T236"/>
      <c s="458" r="U236"/>
      <c s="458" r="V236"/>
      <c s="458" r="W236"/>
      <c s="458" r="X236"/>
      <c s="458" r="Y236"/>
      <c t="str" s="620" r="Z236">
        <f>IF(ISNUMBER(S236),(Q236-S236),NA())</f>
        <v>#N/A:explicit</v>
      </c>
      <c t="str" s="620" r="AA236">
        <f>IF(ISNUMBER(T236),IF((AH$22=1),(Z236+T236),(Q236-T236)),NA())</f>
        <v>#N/A:explicit</v>
      </c>
      <c t="str" s="620" r="AB236">
        <f>IF(ISNUMBER(U236),(Q236-U236),NA())</f>
        <v>#N/A:explicit</v>
      </c>
      <c t="str" s="620" r="AC236">
        <f>IF(ISNUMBER(V236),(Q236-V236),NA())</f>
        <v>#N/A:explicit</v>
      </c>
      <c t="str" s="620" r="AD236">
        <f>IF(ISNUMBER(W236),(Q236-W236),NA())</f>
        <v>#N/A:explicit</v>
      </c>
      <c t="str" s="620" r="AE236">
        <f>IF(ISNUMBER(X236),(Q236-X236),NA())</f>
        <v>#N/A:explicit</v>
      </c>
      <c t="str" s="552" r="AF236">
        <f>IF(ISNUMBER(Z236),Z236,"---")</f>
        <v>---</v>
      </c>
      <c s="142" r="AG236"/>
      <c t="str" s="142" r="AH236">
        <f>IF(ISBLANK(L236),NA(),MIN(AF$44:AF$361))</f>
        <v>#N/A:explicit</v>
      </c>
      <c t="str" s="142" r="AI236">
        <f>IF(ISNA(AA236),Z236,AA236)</f>
        <v>#N/A:explicit</v>
      </c>
      <c s="142" r="AJ236">
        <f>MIN(AF$44:AF$361)</f>
        <v>0</v>
      </c>
      <c s="142" r="AK236"/>
      <c t="str" s="142" r="AL236">
        <f>IF(ISNUMBER(AB236),O236,"---")</f>
        <v>---</v>
      </c>
      <c t="str" s="80" r="AM236">
        <f>IF(ISNUMBER(AB236),AB236,"---")</f>
        <v>---</v>
      </c>
      <c s="80" r="AN236"/>
      <c t="str" s="142" r="AO236">
        <f>IF((M236="r"),Z236,NA())</f>
        <v>#N/A:explicit</v>
      </c>
      <c t="str" s="142" r="AP236">
        <f>IF((M236="p"),Z236,NA())</f>
        <v>#N/A:explicit</v>
      </c>
      <c t="str" s="142" r="AQ236">
        <f>IF((M236="n"),Z236,NA())</f>
        <v>#N/A:explicit</v>
      </c>
      <c t="str" s="142" r="AR236">
        <f>IF((M236="g"),Z236,NA())</f>
        <v>#N/A:explicit</v>
      </c>
      <c s="142" r="AS236"/>
      <c t="str" s="142" r="AT236">
        <f>IF((COUNTA($M236:$M$361)=0),"---",IF(AND(($M236="r"),(COUNTA($M237:$M$361)&gt;0)),(MAX(AT$44:AT235)+1),IF(OR(($M235="p"),($M235="n"),($M235="g")),"---",AT235)))</f>
        <v>---</v>
      </c>
      <c t="str" s="142" r="AU236">
        <f>IF((COUNTA($M236:$M$361)=0),"---",IF(AND(($M236="p"),(COUNTA($M237:$M$361)&gt;0)),(MAX(AU$44:AU235)+1),IF(OR(($M235="r"),($M235="n"),($M235="g")),"---",AU235)))</f>
        <v>---</v>
      </c>
      <c t="str" s="142" r="AV236">
        <f>IF((COUNTA($M236:$M$361)=0),"---",IF(AND(($M236="n"),(COUNTA($M237:$M$361)&gt;0)),(MAX(AV$44:AV235)+1),IF(OR(($M235="r"),($M235="p"),($M235="g")),"---",AV235)))</f>
        <v>---</v>
      </c>
      <c t="str" s="142" r="AW236">
        <f>IF((COUNTA($M236:$M$361)=0),"---",IF(AND(($M236="g"),(COUNTA($M237:$M$361)&gt;0)),(MAX(AW$44:AW235)+1),IF(OR(($M235="r"),($M235="p"),($M235="n")),"---",AW235)))</f>
        <v>---</v>
      </c>
      <c s="676" r="AX236">
        <f>IF((M236="p"),(1+MAX(AX$44:AX235)),0)</f>
        <v>0</v>
      </c>
      <c s="51" r="AY236"/>
      <c s="761" r="AZ236"/>
      <c s="761" r="BA236"/>
      <c s="125" r="BB236"/>
      <c s="125" r="BC236"/>
      <c s="125" r="BD236"/>
      <c s="125" r="BE236"/>
      <c s="125" r="BF236"/>
      <c s="125" r="BG236"/>
      <c s="125" r="BH236"/>
      <c s="125" r="BI236"/>
    </row>
    <row r="237">
      <c s="125" r="A237"/>
      <c s="125" r="B237"/>
      <c s="125" r="C237"/>
      <c s="125" r="D237"/>
      <c s="125" r="E237"/>
      <c s="125" r="F237"/>
      <c s="125" r="G237"/>
      <c s="125" r="H237"/>
      <c s="125" r="I237"/>
      <c s="822" r="J237"/>
      <c s="848" r="K237"/>
      <c s="550" r="L237"/>
      <c s="104" r="M237"/>
      <c s="550" r="N237"/>
      <c t="str" s="589" r="O237">
        <f>IF((AH$28=2),IF(ISBLANK(N237),O236,N237),IF(ISNUMBER(N237),(MAX(O$44:O236)+N237),O236))</f>
        <v/>
      </c>
      <c s="694" r="P237"/>
      <c s="273" r="Q237">
        <f>IF(ISNUMBER(P237),((Q236+P237)-R236),Q236)</f>
        <v>100</v>
      </c>
      <c s="694" r="R237"/>
      <c s="821" r="S237"/>
      <c s="550" r="T237"/>
      <c s="550" r="U237"/>
      <c s="550" r="V237"/>
      <c s="550" r="W237"/>
      <c s="550" r="X237"/>
      <c s="550" r="Y237"/>
      <c t="str" s="470" r="Z237">
        <f>IF(ISNUMBER(S237),(Q237-S237),NA())</f>
        <v>#N/A:explicit</v>
      </c>
      <c t="str" s="470" r="AA237">
        <f>IF(ISNUMBER(T237),IF((AH$22=1),(Z237+T237),(Q237-T237)),NA())</f>
        <v>#N/A:explicit</v>
      </c>
      <c t="str" s="470" r="AB237">
        <f>IF(ISNUMBER(U237),(Q237-U237),NA())</f>
        <v>#N/A:explicit</v>
      </c>
      <c t="str" s="470" r="AC237">
        <f>IF(ISNUMBER(V237),(Q237-V237),NA())</f>
        <v>#N/A:explicit</v>
      </c>
      <c t="str" s="470" r="AD237">
        <f>IF(ISNUMBER(W237),(Q237-W237),NA())</f>
        <v>#N/A:explicit</v>
      </c>
      <c t="str" s="470" r="AE237">
        <f>IF(ISNUMBER(X237),(Q237-X237),NA())</f>
        <v>#N/A:explicit</v>
      </c>
      <c t="str" s="552" r="AF237">
        <f>IF(ISNUMBER(Z237),Z237,"---")</f>
        <v>---</v>
      </c>
      <c s="142" r="AG237"/>
      <c t="str" s="142" r="AH237">
        <f>IF(ISBLANK(L237),NA(),MIN(AF$44:AF$361))</f>
        <v>#N/A:explicit</v>
      </c>
      <c t="str" s="142" r="AI237">
        <f>IF(ISNA(AA237),Z237,AA237)</f>
        <v>#N/A:explicit</v>
      </c>
      <c s="142" r="AJ237">
        <f>MIN(AF$44:AF$361)</f>
        <v>0</v>
      </c>
      <c s="142" r="AK237"/>
      <c t="str" s="142" r="AL237">
        <f>IF(ISNUMBER(AB237),O237,"---")</f>
        <v>---</v>
      </c>
      <c t="str" s="80" r="AM237">
        <f>IF(ISNUMBER(AB237),AB237,"---")</f>
        <v>---</v>
      </c>
      <c s="80" r="AN237"/>
      <c t="str" s="142" r="AO237">
        <f>IF((M237="r"),Z237,NA())</f>
        <v>#N/A:explicit</v>
      </c>
      <c t="str" s="142" r="AP237">
        <f>IF((M237="p"),Z237,NA())</f>
        <v>#N/A:explicit</v>
      </c>
      <c t="str" s="142" r="AQ237">
        <f>IF((M237="n"),Z237,NA())</f>
        <v>#N/A:explicit</v>
      </c>
      <c t="str" s="142" r="AR237">
        <f>IF((M237="g"),Z237,NA())</f>
        <v>#N/A:explicit</v>
      </c>
      <c s="142" r="AS237"/>
      <c t="str" s="142" r="AT237">
        <f>IF((COUNTA($M237:$M$361)=0),"---",IF(AND(($M237="r"),(COUNTA($M238:$M$361)&gt;0)),(MAX(AT$44:AT236)+1),IF(OR(($M236="p"),($M236="n"),($M236="g")),"---",AT236)))</f>
        <v>---</v>
      </c>
      <c t="str" s="142" r="AU237">
        <f>IF((COUNTA($M237:$M$361)=0),"---",IF(AND(($M237="p"),(COUNTA($M238:$M$361)&gt;0)),(MAX(AU$44:AU236)+1),IF(OR(($M236="r"),($M236="n"),($M236="g")),"---",AU236)))</f>
        <v>---</v>
      </c>
      <c t="str" s="142" r="AV237">
        <f>IF((COUNTA($M237:$M$361)=0),"---",IF(AND(($M237="n"),(COUNTA($M238:$M$361)&gt;0)),(MAX(AV$44:AV236)+1),IF(OR(($M236="r"),($M236="p"),($M236="g")),"---",AV236)))</f>
        <v>---</v>
      </c>
      <c t="str" s="142" r="AW237">
        <f>IF((COUNTA($M237:$M$361)=0),"---",IF(AND(($M237="g"),(COUNTA($M238:$M$361)&gt;0)),(MAX(AW$44:AW236)+1),IF(OR(($M236="r"),($M236="p"),($M236="n")),"---",AW236)))</f>
        <v>---</v>
      </c>
      <c s="676" r="AX237">
        <f>IF((M237="p"),(1+MAX(AX$44:AX236)),0)</f>
        <v>0</v>
      </c>
      <c s="51" r="AY237"/>
      <c s="761" r="AZ237"/>
      <c s="761" r="BA237"/>
      <c s="125" r="BB237"/>
      <c s="125" r="BC237"/>
      <c s="125" r="BD237"/>
      <c s="125" r="BE237"/>
      <c s="125" r="BF237"/>
      <c s="125" r="BG237"/>
      <c s="125" r="BH237"/>
      <c s="125" r="BI237"/>
    </row>
    <row r="238">
      <c s="125" r="A238"/>
      <c s="125" r="B238"/>
      <c s="125" r="C238"/>
      <c s="125" r="D238"/>
      <c s="125" r="E238"/>
      <c s="125" r="F238"/>
      <c s="125" r="G238"/>
      <c s="125" r="H238"/>
      <c s="125" r="I238"/>
      <c s="822" r="J238"/>
      <c s="848" r="K238"/>
      <c s="550" r="L238"/>
      <c s="104" r="M238"/>
      <c s="550" r="N238"/>
      <c t="str" s="589" r="O238">
        <f>IF((AH$28=2),IF(ISBLANK(N238),O237,N238),IF(ISNUMBER(N238),(MAX(O$44:O237)+N238),O237))</f>
        <v/>
      </c>
      <c s="694" r="P238"/>
      <c s="273" r="Q238">
        <f>IF(ISNUMBER(P238),((Q237+P238)-R237),Q237)</f>
        <v>100</v>
      </c>
      <c s="694" r="R238"/>
      <c s="821" r="S238"/>
      <c s="550" r="T238"/>
      <c s="550" r="U238"/>
      <c s="550" r="V238"/>
      <c s="550" r="W238"/>
      <c s="550" r="X238"/>
      <c s="550" r="Y238"/>
      <c t="str" s="470" r="Z238">
        <f>IF(ISNUMBER(S238),(Q238-S238),NA())</f>
        <v>#N/A:explicit</v>
      </c>
      <c t="str" s="470" r="AA238">
        <f>IF(ISNUMBER(T238),IF((AH$22=1),(Z238+T238),(Q238-T238)),NA())</f>
        <v>#N/A:explicit</v>
      </c>
      <c t="str" s="470" r="AB238">
        <f>IF(ISNUMBER(U238),(Q238-U238),NA())</f>
        <v>#N/A:explicit</v>
      </c>
      <c t="str" s="470" r="AC238">
        <f>IF(ISNUMBER(V238),(Q238-V238),NA())</f>
        <v>#N/A:explicit</v>
      </c>
      <c t="str" s="470" r="AD238">
        <f>IF(ISNUMBER(W238),(Q238-W238),NA())</f>
        <v>#N/A:explicit</v>
      </c>
      <c t="str" s="470" r="AE238">
        <f>IF(ISNUMBER(X238),(Q238-X238),NA())</f>
        <v>#N/A:explicit</v>
      </c>
      <c t="str" s="552" r="AF238">
        <f>IF(ISNUMBER(Z238),Z238,"---")</f>
        <v>---</v>
      </c>
      <c s="142" r="AG238"/>
      <c t="str" s="142" r="AH238">
        <f>IF(ISBLANK(L238),NA(),MIN(AF$44:AF$361))</f>
        <v>#N/A:explicit</v>
      </c>
      <c t="str" s="142" r="AI238">
        <f>IF(ISNA(AA238),Z238,AA238)</f>
        <v>#N/A:explicit</v>
      </c>
      <c s="142" r="AJ238">
        <f>MIN(AF$44:AF$361)</f>
        <v>0</v>
      </c>
      <c s="142" r="AK238"/>
      <c t="str" s="142" r="AL238">
        <f>IF(ISNUMBER(AB238),O238,"---")</f>
        <v>---</v>
      </c>
      <c t="str" s="80" r="AM238">
        <f>IF(ISNUMBER(AB238),AB238,"---")</f>
        <v>---</v>
      </c>
      <c s="80" r="AN238"/>
      <c t="str" s="142" r="AO238">
        <f>IF((M238="r"),Z238,NA())</f>
        <v>#N/A:explicit</v>
      </c>
      <c t="str" s="142" r="AP238">
        <f>IF((M238="p"),Z238,NA())</f>
        <v>#N/A:explicit</v>
      </c>
      <c t="str" s="142" r="AQ238">
        <f>IF((M238="n"),Z238,NA())</f>
        <v>#N/A:explicit</v>
      </c>
      <c t="str" s="142" r="AR238">
        <f>IF((M238="g"),Z238,NA())</f>
        <v>#N/A:explicit</v>
      </c>
      <c s="142" r="AS238"/>
      <c t="str" s="142" r="AT238">
        <f>IF((COUNTA($M238:$M$361)=0),"---",IF(AND(($M238="r"),(COUNTA($M239:$M$361)&gt;0)),(MAX(AT$44:AT237)+1),IF(OR(($M237="p"),($M237="n"),($M237="g")),"---",AT237)))</f>
        <v>---</v>
      </c>
      <c t="str" s="142" r="AU238">
        <f>IF((COUNTA($M238:$M$361)=0),"---",IF(AND(($M238="p"),(COUNTA($M239:$M$361)&gt;0)),(MAX(AU$44:AU237)+1),IF(OR(($M237="r"),($M237="n"),($M237="g")),"---",AU237)))</f>
        <v>---</v>
      </c>
      <c t="str" s="142" r="AV238">
        <f>IF((COUNTA($M238:$M$361)=0),"---",IF(AND(($M238="n"),(COUNTA($M239:$M$361)&gt;0)),(MAX(AV$44:AV237)+1),IF(OR(($M237="r"),($M237="p"),($M237="g")),"---",AV237)))</f>
        <v>---</v>
      </c>
      <c t="str" s="142" r="AW238">
        <f>IF((COUNTA($M238:$M$361)=0),"---",IF(AND(($M238="g"),(COUNTA($M239:$M$361)&gt;0)),(MAX(AW$44:AW237)+1),IF(OR(($M237="r"),($M237="p"),($M237="n")),"---",AW237)))</f>
        <v>---</v>
      </c>
      <c s="676" r="AX238">
        <f>IF((M238="p"),(1+MAX(AX$44:AX237)),0)</f>
        <v>0</v>
      </c>
      <c s="51" r="AY238"/>
      <c s="761" r="AZ238"/>
      <c s="761" r="BA238"/>
      <c s="125" r="BB238"/>
      <c s="125" r="BC238"/>
      <c s="125" r="BD238"/>
      <c s="125" r="BE238"/>
      <c s="125" r="BF238"/>
      <c s="125" r="BG238"/>
      <c s="125" r="BH238"/>
      <c s="125" r="BI238"/>
    </row>
    <row r="239">
      <c s="125" r="A239"/>
      <c s="125" r="B239"/>
      <c s="125" r="C239"/>
      <c s="125" r="D239"/>
      <c s="125" r="E239"/>
      <c s="125" r="F239"/>
      <c s="125" r="G239"/>
      <c s="125" r="H239"/>
      <c s="125" r="I239"/>
      <c s="822" r="J239"/>
      <c s="848" r="K239"/>
      <c s="550" r="L239"/>
      <c s="104" r="M239"/>
      <c s="550" r="N239"/>
      <c t="str" s="589" r="O239">
        <f>IF((AH$28=2),IF(ISBLANK(N239),O238,N239),IF(ISNUMBER(N239),(MAX(O$44:O238)+N239),O238))</f>
        <v/>
      </c>
      <c s="694" r="P239"/>
      <c s="273" r="Q239">
        <f>IF(ISNUMBER(P239),((Q238+P239)-R238),Q238)</f>
        <v>100</v>
      </c>
      <c s="694" r="R239"/>
      <c s="821" r="S239"/>
      <c s="550" r="T239"/>
      <c s="550" r="U239"/>
      <c s="550" r="V239"/>
      <c s="550" r="W239"/>
      <c s="550" r="X239"/>
      <c s="550" r="Y239"/>
      <c t="str" s="470" r="Z239">
        <f>IF(ISNUMBER(S239),(Q239-S239),NA())</f>
        <v>#N/A:explicit</v>
      </c>
      <c t="str" s="470" r="AA239">
        <f>IF(ISNUMBER(T239),IF((AH$22=1),(Z239+T239),(Q239-T239)),NA())</f>
        <v>#N/A:explicit</v>
      </c>
      <c t="str" s="470" r="AB239">
        <f>IF(ISNUMBER(U239),(Q239-U239),NA())</f>
        <v>#N/A:explicit</v>
      </c>
      <c t="str" s="470" r="AC239">
        <f>IF(ISNUMBER(V239),(Q239-V239),NA())</f>
        <v>#N/A:explicit</v>
      </c>
      <c t="str" s="470" r="AD239">
        <f>IF(ISNUMBER(W239),(Q239-W239),NA())</f>
        <v>#N/A:explicit</v>
      </c>
      <c t="str" s="470" r="AE239">
        <f>IF(ISNUMBER(X239),(Q239-X239),NA())</f>
        <v>#N/A:explicit</v>
      </c>
      <c t="str" s="552" r="AF239">
        <f>IF(ISNUMBER(Z239),Z239,"---")</f>
        <v>---</v>
      </c>
      <c s="142" r="AG239"/>
      <c t="str" s="142" r="AH239">
        <f>IF(ISBLANK(L239),NA(),MIN(AF$44:AF$361))</f>
        <v>#N/A:explicit</v>
      </c>
      <c t="str" s="142" r="AI239">
        <f>IF(ISNA(AA239),Z239,AA239)</f>
        <v>#N/A:explicit</v>
      </c>
      <c s="142" r="AJ239">
        <f>MIN(AF$44:AF$361)</f>
        <v>0</v>
      </c>
      <c s="142" r="AK239"/>
      <c t="str" s="142" r="AL239">
        <f>IF(ISNUMBER(AB239),O239,"---")</f>
        <v>---</v>
      </c>
      <c t="str" s="80" r="AM239">
        <f>IF(ISNUMBER(AB239),AB239,"---")</f>
        <v>---</v>
      </c>
      <c s="80" r="AN239"/>
      <c t="str" s="142" r="AO239">
        <f>IF((M239="r"),Z239,NA())</f>
        <v>#N/A:explicit</v>
      </c>
      <c t="str" s="142" r="AP239">
        <f>IF((M239="p"),Z239,NA())</f>
        <v>#N/A:explicit</v>
      </c>
      <c t="str" s="142" r="AQ239">
        <f>IF((M239="n"),Z239,NA())</f>
        <v>#N/A:explicit</v>
      </c>
      <c t="str" s="142" r="AR239">
        <f>IF((M239="g"),Z239,NA())</f>
        <v>#N/A:explicit</v>
      </c>
      <c s="142" r="AS239"/>
      <c t="str" s="142" r="AT239">
        <f>IF((COUNTA($M239:$M$361)=0),"---",IF(AND(($M239="r"),(COUNTA($M240:$M$361)&gt;0)),(MAX(AT$44:AT238)+1),IF(OR(($M238="p"),($M238="n"),($M238="g")),"---",AT238)))</f>
        <v>---</v>
      </c>
      <c t="str" s="142" r="AU239">
        <f>IF((COUNTA($M239:$M$361)=0),"---",IF(AND(($M239="p"),(COUNTA($M240:$M$361)&gt;0)),(MAX(AU$44:AU238)+1),IF(OR(($M238="r"),($M238="n"),($M238="g")),"---",AU238)))</f>
        <v>---</v>
      </c>
      <c t="str" s="142" r="AV239">
        <f>IF((COUNTA($M239:$M$361)=0),"---",IF(AND(($M239="n"),(COUNTA($M240:$M$361)&gt;0)),(MAX(AV$44:AV238)+1),IF(OR(($M238="r"),($M238="p"),($M238="g")),"---",AV238)))</f>
        <v>---</v>
      </c>
      <c t="str" s="142" r="AW239">
        <f>IF((COUNTA($M239:$M$361)=0),"---",IF(AND(($M239="g"),(COUNTA($M240:$M$361)&gt;0)),(MAX(AW$44:AW238)+1),IF(OR(($M238="r"),($M238="p"),($M238="n")),"---",AW238)))</f>
        <v>---</v>
      </c>
      <c s="676" r="AX239">
        <f>IF((M239="p"),(1+MAX(AX$44:AX238)),0)</f>
        <v>0</v>
      </c>
      <c s="51" r="AY239"/>
      <c s="761" r="AZ239"/>
      <c s="761" r="BA239"/>
      <c s="125" r="BB239"/>
      <c s="125" r="BC239"/>
      <c s="125" r="BD239"/>
      <c s="125" r="BE239"/>
      <c s="125" r="BF239"/>
      <c s="125" r="BG239"/>
      <c s="125" r="BH239"/>
      <c s="125" r="BI239"/>
    </row>
    <row r="240">
      <c s="125" r="A240"/>
      <c s="125" r="B240"/>
      <c s="125" r="C240"/>
      <c s="125" r="D240"/>
      <c s="125" r="E240"/>
      <c s="125" r="F240"/>
      <c s="125" r="G240"/>
      <c s="125" r="H240"/>
      <c s="125" r="I240"/>
      <c s="822" r="J240"/>
      <c s="429" r="K240"/>
      <c s="458" r="L240"/>
      <c s="104" r="M240"/>
      <c s="458" r="N240"/>
      <c t="str" s="589" r="O240">
        <f>IF((AH$28=2),IF(ISBLANK(N240),O239,N240),IF(ISNUMBER(N240),(MAX(O$44:O239)+N240),O239))</f>
        <v/>
      </c>
      <c s="228" r="P240"/>
      <c s="273" r="Q240">
        <f>IF(ISNUMBER(P240),((Q239+P240)-R239),Q239)</f>
        <v>100</v>
      </c>
      <c s="228" r="R240"/>
      <c s="610" r="S240"/>
      <c s="458" r="T240"/>
      <c s="458" r="U240"/>
      <c s="458" r="V240"/>
      <c s="458" r="W240"/>
      <c s="458" r="X240"/>
      <c s="458" r="Y240"/>
      <c t="str" s="620" r="Z240">
        <f>IF(ISNUMBER(S240),(Q240-S240),NA())</f>
        <v>#N/A:explicit</v>
      </c>
      <c t="str" s="620" r="AA240">
        <f>IF(ISNUMBER(T240),IF((AH$22=1),(Z240+T240),(Q240-T240)),NA())</f>
        <v>#N/A:explicit</v>
      </c>
      <c t="str" s="620" r="AB240">
        <f>IF(ISNUMBER(U240),(Q240-U240),NA())</f>
        <v>#N/A:explicit</v>
      </c>
      <c t="str" s="620" r="AC240">
        <f>IF(ISNUMBER(V240),(Q240-V240),NA())</f>
        <v>#N/A:explicit</v>
      </c>
      <c t="str" s="620" r="AD240">
        <f>IF(ISNUMBER(W240),(Q240-W240),NA())</f>
        <v>#N/A:explicit</v>
      </c>
      <c t="str" s="620" r="AE240">
        <f>IF(ISNUMBER(X240),(Q240-X240),NA())</f>
        <v>#N/A:explicit</v>
      </c>
      <c t="str" s="552" r="AF240">
        <f>IF(ISNUMBER(Z240),Z240,"---")</f>
        <v>---</v>
      </c>
      <c s="142" r="AG240"/>
      <c t="str" s="142" r="AH240">
        <f>IF(ISBLANK(L240),NA(),MIN(AF$44:AF$361))</f>
        <v>#N/A:explicit</v>
      </c>
      <c t="str" s="142" r="AI240">
        <f>IF(ISNA(AA240),Z240,AA240)</f>
        <v>#N/A:explicit</v>
      </c>
      <c s="142" r="AJ240">
        <f>MIN(AF$44:AF$361)</f>
        <v>0</v>
      </c>
      <c s="142" r="AK240"/>
      <c t="str" s="142" r="AL240">
        <f>IF(ISNUMBER(AB240),O240,"---")</f>
        <v>---</v>
      </c>
      <c t="str" s="80" r="AM240">
        <f>IF(ISNUMBER(AB240),AB240,"---")</f>
        <v>---</v>
      </c>
      <c s="80" r="AN240"/>
      <c t="str" s="142" r="AO240">
        <f>IF((M240="r"),Z240,NA())</f>
        <v>#N/A:explicit</v>
      </c>
      <c t="str" s="142" r="AP240">
        <f>IF((M240="p"),Z240,NA())</f>
        <v>#N/A:explicit</v>
      </c>
      <c t="str" s="142" r="AQ240">
        <f>IF((M240="n"),Z240,NA())</f>
        <v>#N/A:explicit</v>
      </c>
      <c t="str" s="142" r="AR240">
        <f>IF((M240="g"),Z240,NA())</f>
        <v>#N/A:explicit</v>
      </c>
      <c s="142" r="AS240"/>
      <c t="str" s="142" r="AT240">
        <f>IF((COUNTA($M240:$M$361)=0),"---",IF(AND(($M240="r"),(COUNTA($M241:$M$361)&gt;0)),(MAX(AT$44:AT239)+1),IF(OR(($M239="p"),($M239="n"),($M239="g")),"---",AT239)))</f>
        <v>---</v>
      </c>
      <c t="str" s="142" r="AU240">
        <f>IF((COUNTA($M240:$M$361)=0),"---",IF(AND(($M240="p"),(COUNTA($M241:$M$361)&gt;0)),(MAX(AU$44:AU239)+1),IF(OR(($M239="r"),($M239="n"),($M239="g")),"---",AU239)))</f>
        <v>---</v>
      </c>
      <c t="str" s="142" r="AV240">
        <f>IF((COUNTA($M240:$M$361)=0),"---",IF(AND(($M240="n"),(COUNTA($M241:$M$361)&gt;0)),(MAX(AV$44:AV239)+1),IF(OR(($M239="r"),($M239="p"),($M239="g")),"---",AV239)))</f>
        <v>---</v>
      </c>
      <c t="str" s="142" r="AW240">
        <f>IF((COUNTA($M240:$M$361)=0),"---",IF(AND(($M240="g"),(COUNTA($M241:$M$361)&gt;0)),(MAX(AW$44:AW239)+1),IF(OR(($M239="r"),($M239="p"),($M239="n")),"---",AW239)))</f>
        <v>---</v>
      </c>
      <c s="676" r="AX240">
        <f>IF((M240="p"),(1+MAX(AX$44:AX239)),0)</f>
        <v>0</v>
      </c>
      <c s="51" r="AY240"/>
      <c s="761" r="AZ240"/>
      <c s="761" r="BA240"/>
      <c s="125" r="BB240"/>
      <c s="125" r="BC240"/>
      <c s="125" r="BD240"/>
      <c s="125" r="BE240"/>
      <c s="125" r="BF240"/>
      <c s="125" r="BG240"/>
      <c s="125" r="BH240"/>
      <c s="125" r="BI240"/>
    </row>
    <row r="241">
      <c s="125" r="A241"/>
      <c s="125" r="B241"/>
      <c s="125" r="C241"/>
      <c s="125" r="D241"/>
      <c s="125" r="E241"/>
      <c s="125" r="F241"/>
      <c s="125" r="G241"/>
      <c s="125" r="H241"/>
      <c s="125" r="I241"/>
      <c s="822" r="J241"/>
      <c s="429" r="K241"/>
      <c s="458" r="L241"/>
      <c s="104" r="M241"/>
      <c s="458" r="N241"/>
      <c t="str" s="589" r="O241">
        <f>IF((AH$28=2),IF(ISBLANK(N241),O240,N241),IF(ISNUMBER(N241),(MAX(O$44:O240)+N241),O240))</f>
        <v/>
      </c>
      <c s="228" r="P241"/>
      <c s="273" r="Q241">
        <f>IF(ISNUMBER(P241),((Q240+P241)-R240),Q240)</f>
        <v>100</v>
      </c>
      <c s="228" r="R241"/>
      <c s="610" r="S241"/>
      <c s="458" r="T241"/>
      <c s="458" r="U241"/>
      <c s="458" r="V241"/>
      <c s="458" r="W241"/>
      <c s="458" r="X241"/>
      <c s="458" r="Y241"/>
      <c t="str" s="620" r="Z241">
        <f>IF(ISNUMBER(S241),(Q241-S241),NA())</f>
        <v>#N/A:explicit</v>
      </c>
      <c t="str" s="620" r="AA241">
        <f>IF(ISNUMBER(T241),IF((AH$22=1),(Z241+T241),(Q241-T241)),NA())</f>
        <v>#N/A:explicit</v>
      </c>
      <c t="str" s="620" r="AB241">
        <f>IF(ISNUMBER(U241),(Q241-U241),NA())</f>
        <v>#N/A:explicit</v>
      </c>
      <c t="str" s="620" r="AC241">
        <f>IF(ISNUMBER(V241),(Q241-V241),NA())</f>
        <v>#N/A:explicit</v>
      </c>
      <c t="str" s="620" r="AD241">
        <f>IF(ISNUMBER(W241),(Q241-W241),NA())</f>
        <v>#N/A:explicit</v>
      </c>
      <c t="str" s="620" r="AE241">
        <f>IF(ISNUMBER(X241),(Q241-X241),NA())</f>
        <v>#N/A:explicit</v>
      </c>
      <c t="str" s="552" r="AF241">
        <f>IF(ISNUMBER(Z241),Z241,"---")</f>
        <v>---</v>
      </c>
      <c s="142" r="AG241"/>
      <c t="str" s="142" r="AH241">
        <f>IF(ISBLANK(L241),NA(),MIN(AF$44:AF$361))</f>
        <v>#N/A:explicit</v>
      </c>
      <c t="str" s="142" r="AI241">
        <f>IF(ISNA(AA241),Z241,AA241)</f>
        <v>#N/A:explicit</v>
      </c>
      <c s="142" r="AJ241">
        <f>MIN(AF$44:AF$361)</f>
        <v>0</v>
      </c>
      <c s="142" r="AK241"/>
      <c t="str" s="142" r="AL241">
        <f>IF(ISNUMBER(AB241),O241,"---")</f>
        <v>---</v>
      </c>
      <c t="str" s="80" r="AM241">
        <f>IF(ISNUMBER(AB241),AB241,"---")</f>
        <v>---</v>
      </c>
      <c s="80" r="AN241"/>
      <c t="str" s="142" r="AO241">
        <f>IF((M241="r"),Z241,NA())</f>
        <v>#N/A:explicit</v>
      </c>
      <c t="str" s="142" r="AP241">
        <f>IF((M241="p"),Z241,NA())</f>
        <v>#N/A:explicit</v>
      </c>
      <c t="str" s="142" r="AQ241">
        <f>IF((M241="n"),Z241,NA())</f>
        <v>#N/A:explicit</v>
      </c>
      <c t="str" s="142" r="AR241">
        <f>IF((M241="g"),Z241,NA())</f>
        <v>#N/A:explicit</v>
      </c>
      <c s="142" r="AS241"/>
      <c t="str" s="142" r="AT241">
        <f>IF((COUNTA($M241:$M$361)=0),"---",IF(AND(($M241="r"),(COUNTA($M242:$M$361)&gt;0)),(MAX(AT$44:AT240)+1),IF(OR(($M240="p"),($M240="n"),($M240="g")),"---",AT240)))</f>
        <v>---</v>
      </c>
      <c t="str" s="142" r="AU241">
        <f>IF((COUNTA($M241:$M$361)=0),"---",IF(AND(($M241="p"),(COUNTA($M242:$M$361)&gt;0)),(MAX(AU$44:AU240)+1),IF(OR(($M240="r"),($M240="n"),($M240="g")),"---",AU240)))</f>
        <v>---</v>
      </c>
      <c t="str" s="142" r="AV241">
        <f>IF((COUNTA($M241:$M$361)=0),"---",IF(AND(($M241="n"),(COUNTA($M242:$M$361)&gt;0)),(MAX(AV$44:AV240)+1),IF(OR(($M240="r"),($M240="p"),($M240="g")),"---",AV240)))</f>
        <v>---</v>
      </c>
      <c t="str" s="142" r="AW241">
        <f>IF((COUNTA($M241:$M$361)=0),"---",IF(AND(($M241="g"),(COUNTA($M242:$M$361)&gt;0)),(MAX(AW$44:AW240)+1),IF(OR(($M240="r"),($M240="p"),($M240="n")),"---",AW240)))</f>
        <v>---</v>
      </c>
      <c s="676" r="AX241">
        <f>IF((M241="p"),(1+MAX(AX$44:AX240)),0)</f>
        <v>0</v>
      </c>
      <c s="51" r="AY241"/>
      <c s="761" r="AZ241"/>
      <c s="761" r="BA241"/>
      <c s="125" r="BB241"/>
      <c s="125" r="BC241"/>
      <c s="125" r="BD241"/>
      <c s="125" r="BE241"/>
      <c s="125" r="BF241"/>
      <c s="125" r="BG241"/>
      <c s="125" r="BH241"/>
      <c s="125" r="BI241"/>
    </row>
    <row r="242">
      <c s="125" r="A242"/>
      <c s="125" r="B242"/>
      <c s="125" r="C242"/>
      <c s="125" r="D242"/>
      <c s="125" r="E242"/>
      <c s="125" r="F242"/>
      <c s="125" r="G242"/>
      <c s="125" r="H242"/>
      <c s="125" r="I242"/>
      <c s="822" r="J242"/>
      <c s="429" r="K242"/>
      <c s="458" r="L242"/>
      <c s="104" r="M242"/>
      <c s="458" r="N242"/>
      <c t="str" s="589" r="O242">
        <f>IF((AH$28=2),IF(ISBLANK(N242),O241,N242),IF(ISNUMBER(N242),(MAX(O$44:O241)+N242),O241))</f>
        <v/>
      </c>
      <c s="228" r="P242"/>
      <c s="273" r="Q242">
        <f>IF(ISNUMBER(P242),((Q241+P242)-R241),Q241)</f>
        <v>100</v>
      </c>
      <c s="228" r="R242"/>
      <c s="610" r="S242"/>
      <c s="458" r="T242"/>
      <c s="458" r="U242"/>
      <c s="458" r="V242"/>
      <c s="458" r="W242"/>
      <c s="458" r="X242"/>
      <c s="458" r="Y242"/>
      <c t="str" s="620" r="Z242">
        <f>IF(ISNUMBER(S242),(Q242-S242),NA())</f>
        <v>#N/A:explicit</v>
      </c>
      <c t="str" s="620" r="AA242">
        <f>IF(ISNUMBER(T242),IF((AH$22=1),(Z242+T242),(Q242-T242)),NA())</f>
        <v>#N/A:explicit</v>
      </c>
      <c t="str" s="620" r="AB242">
        <f>IF(ISNUMBER(U242),(Q242-U242),NA())</f>
        <v>#N/A:explicit</v>
      </c>
      <c t="str" s="620" r="AC242">
        <f>IF(ISNUMBER(V242),(Q242-V242),NA())</f>
        <v>#N/A:explicit</v>
      </c>
      <c t="str" s="620" r="AD242">
        <f>IF(ISNUMBER(W242),(Q242-W242),NA())</f>
        <v>#N/A:explicit</v>
      </c>
      <c t="str" s="620" r="AE242">
        <f>IF(ISNUMBER(X242),(Q242-X242),NA())</f>
        <v>#N/A:explicit</v>
      </c>
      <c t="str" s="552" r="AF242">
        <f>IF(ISNUMBER(Z242),Z242,"---")</f>
        <v>---</v>
      </c>
      <c s="142" r="AG242"/>
      <c t="str" s="142" r="AH242">
        <f>IF(ISBLANK(L242),NA(),MIN(AF$44:AF$361))</f>
        <v>#N/A:explicit</v>
      </c>
      <c t="str" s="142" r="AI242">
        <f>IF(ISNA(AA242),Z242,AA242)</f>
        <v>#N/A:explicit</v>
      </c>
      <c s="142" r="AJ242">
        <f>MIN(AF$44:AF$361)</f>
        <v>0</v>
      </c>
      <c s="142" r="AK242"/>
      <c t="str" s="142" r="AL242">
        <f>IF(ISNUMBER(AB242),O242,"---")</f>
        <v>---</v>
      </c>
      <c t="str" s="80" r="AM242">
        <f>IF(ISNUMBER(AB242),AB242,"---")</f>
        <v>---</v>
      </c>
      <c s="80" r="AN242"/>
      <c t="str" s="142" r="AO242">
        <f>IF((M242="r"),Z242,NA())</f>
        <v>#N/A:explicit</v>
      </c>
      <c t="str" s="142" r="AP242">
        <f>IF((M242="p"),Z242,NA())</f>
        <v>#N/A:explicit</v>
      </c>
      <c t="str" s="142" r="AQ242">
        <f>IF((M242="n"),Z242,NA())</f>
        <v>#N/A:explicit</v>
      </c>
      <c t="str" s="142" r="AR242">
        <f>IF((M242="g"),Z242,NA())</f>
        <v>#N/A:explicit</v>
      </c>
      <c s="142" r="AS242"/>
      <c t="str" s="142" r="AT242">
        <f>IF((COUNTA($M242:$M$361)=0),"---",IF(AND(($M242="r"),(COUNTA($M243:$M$361)&gt;0)),(MAX(AT$44:AT241)+1),IF(OR(($M241="p"),($M241="n"),($M241="g")),"---",AT241)))</f>
        <v>---</v>
      </c>
      <c t="str" s="142" r="AU242">
        <f>IF((COUNTA($M242:$M$361)=0),"---",IF(AND(($M242="p"),(COUNTA($M243:$M$361)&gt;0)),(MAX(AU$44:AU241)+1),IF(OR(($M241="r"),($M241="n"),($M241="g")),"---",AU241)))</f>
        <v>---</v>
      </c>
      <c t="str" s="142" r="AV242">
        <f>IF((COUNTA($M242:$M$361)=0),"---",IF(AND(($M242="n"),(COUNTA($M243:$M$361)&gt;0)),(MAX(AV$44:AV241)+1),IF(OR(($M241="r"),($M241="p"),($M241="g")),"---",AV241)))</f>
        <v>---</v>
      </c>
      <c t="str" s="142" r="AW242">
        <f>IF((COUNTA($M242:$M$361)=0),"---",IF(AND(($M242="g"),(COUNTA($M243:$M$361)&gt;0)),(MAX(AW$44:AW241)+1),IF(OR(($M241="r"),($M241="p"),($M241="n")),"---",AW241)))</f>
        <v>---</v>
      </c>
      <c s="676" r="AX242">
        <f>IF((M242="p"),(1+MAX(AX$44:AX241)),0)</f>
        <v>0</v>
      </c>
      <c s="51" r="AY242"/>
      <c s="761" r="AZ242"/>
      <c s="761" r="BA242"/>
      <c s="125" r="BB242"/>
      <c s="125" r="BC242"/>
      <c s="125" r="BD242"/>
      <c s="125" r="BE242"/>
      <c s="125" r="BF242"/>
      <c s="125" r="BG242"/>
      <c s="125" r="BH242"/>
      <c s="125" r="BI242"/>
    </row>
    <row r="243">
      <c s="125" r="A243"/>
      <c s="125" r="B243"/>
      <c s="125" r="C243"/>
      <c s="125" r="D243"/>
      <c s="125" r="E243"/>
      <c s="125" r="F243"/>
      <c s="125" r="G243"/>
      <c s="125" r="H243"/>
      <c s="125" r="I243"/>
      <c s="822" r="J243"/>
      <c s="848" r="K243"/>
      <c s="550" r="L243"/>
      <c s="104" r="M243"/>
      <c s="550" r="N243"/>
      <c t="str" s="589" r="O243">
        <f>IF((AH$28=2),IF(ISBLANK(N243),O242,N243),IF(ISNUMBER(N243),(MAX(O$44:O242)+N243),O242))</f>
        <v/>
      </c>
      <c s="694" r="P243"/>
      <c s="273" r="Q243">
        <f>IF(ISNUMBER(P243),((Q242+P243)-R242),Q242)</f>
        <v>100</v>
      </c>
      <c s="694" r="R243"/>
      <c s="821" r="S243"/>
      <c s="550" r="T243"/>
      <c s="550" r="U243"/>
      <c s="550" r="V243"/>
      <c s="550" r="W243"/>
      <c s="550" r="X243"/>
      <c s="550" r="Y243"/>
      <c t="str" s="470" r="Z243">
        <f>IF(ISNUMBER(S243),(Q243-S243),NA())</f>
        <v>#N/A:explicit</v>
      </c>
      <c t="str" s="470" r="AA243">
        <f>IF(ISNUMBER(T243),IF((AH$22=1),(Z243+T243),(Q243-T243)),NA())</f>
        <v>#N/A:explicit</v>
      </c>
      <c t="str" s="470" r="AB243">
        <f>IF(ISNUMBER(U243),(Q243-U243),NA())</f>
        <v>#N/A:explicit</v>
      </c>
      <c t="str" s="470" r="AC243">
        <f>IF(ISNUMBER(V243),(Q243-V243),NA())</f>
        <v>#N/A:explicit</v>
      </c>
      <c t="str" s="470" r="AD243">
        <f>IF(ISNUMBER(W243),(Q243-W243),NA())</f>
        <v>#N/A:explicit</v>
      </c>
      <c t="str" s="470" r="AE243">
        <f>IF(ISNUMBER(X243),(Q243-X243),NA())</f>
        <v>#N/A:explicit</v>
      </c>
      <c t="str" s="552" r="AF243">
        <f>IF(ISNUMBER(Z243),Z243,"---")</f>
        <v>---</v>
      </c>
      <c s="142" r="AG243"/>
      <c t="str" s="142" r="AH243">
        <f>IF(ISBLANK(L243),NA(),MIN(AF$44:AF$361))</f>
        <v>#N/A:explicit</v>
      </c>
      <c t="str" s="142" r="AI243">
        <f>IF(ISNA(AA243),Z243,AA243)</f>
        <v>#N/A:explicit</v>
      </c>
      <c s="142" r="AJ243">
        <f>MIN(AF$44:AF$361)</f>
        <v>0</v>
      </c>
      <c s="142" r="AK243"/>
      <c t="str" s="142" r="AL243">
        <f>IF(ISNUMBER(AB243),O243,"---")</f>
        <v>---</v>
      </c>
      <c t="str" s="80" r="AM243">
        <f>IF(ISNUMBER(AB243),AB243,"---")</f>
        <v>---</v>
      </c>
      <c s="80" r="AN243"/>
      <c t="str" s="142" r="AO243">
        <f>IF((M243="r"),Z243,NA())</f>
        <v>#N/A:explicit</v>
      </c>
      <c t="str" s="142" r="AP243">
        <f>IF((M243="p"),Z243,NA())</f>
        <v>#N/A:explicit</v>
      </c>
      <c t="str" s="142" r="AQ243">
        <f>IF((M243="n"),Z243,NA())</f>
        <v>#N/A:explicit</v>
      </c>
      <c t="str" s="142" r="AR243">
        <f>IF((M243="g"),Z243,NA())</f>
        <v>#N/A:explicit</v>
      </c>
      <c s="142" r="AS243"/>
      <c t="str" s="142" r="AT243">
        <f>IF((COUNTA($M243:$M$361)=0),"---",IF(AND(($M243="r"),(COUNTA($M244:$M$361)&gt;0)),(MAX(AT$44:AT242)+1),IF(OR(($M242="p"),($M242="n"),($M242="g")),"---",AT242)))</f>
        <v>---</v>
      </c>
      <c t="str" s="142" r="AU243">
        <f>IF((COUNTA($M243:$M$361)=0),"---",IF(AND(($M243="p"),(COUNTA($M244:$M$361)&gt;0)),(MAX(AU$44:AU242)+1),IF(OR(($M242="r"),($M242="n"),($M242="g")),"---",AU242)))</f>
        <v>---</v>
      </c>
      <c t="str" s="142" r="AV243">
        <f>IF((COUNTA($M243:$M$361)=0),"---",IF(AND(($M243="n"),(COUNTA($M244:$M$361)&gt;0)),(MAX(AV$44:AV242)+1),IF(OR(($M242="r"),($M242="p"),($M242="g")),"---",AV242)))</f>
        <v>---</v>
      </c>
      <c t="str" s="142" r="AW243">
        <f>IF((COUNTA($M243:$M$361)=0),"---",IF(AND(($M243="g"),(COUNTA($M244:$M$361)&gt;0)),(MAX(AW$44:AW242)+1),IF(OR(($M242="r"),($M242="p"),($M242="n")),"---",AW242)))</f>
        <v>---</v>
      </c>
      <c s="676" r="AX243">
        <f>IF((M243="p"),(1+MAX(AX$44:AX242)),0)</f>
        <v>0</v>
      </c>
      <c s="51" r="AY243"/>
      <c s="761" r="AZ243"/>
      <c s="761" r="BA243"/>
      <c s="125" r="BB243"/>
      <c s="125" r="BC243"/>
      <c s="125" r="BD243"/>
      <c s="125" r="BE243"/>
      <c s="125" r="BF243"/>
      <c s="125" r="BG243"/>
      <c s="125" r="BH243"/>
      <c s="125" r="BI243"/>
    </row>
    <row r="244">
      <c s="125" r="A244"/>
      <c s="125" r="B244"/>
      <c s="125" r="C244"/>
      <c s="125" r="D244"/>
      <c s="125" r="E244"/>
      <c s="125" r="F244"/>
      <c s="125" r="G244"/>
      <c s="125" r="H244"/>
      <c s="125" r="I244"/>
      <c s="822" r="J244"/>
      <c s="848" r="K244"/>
      <c s="550" r="L244"/>
      <c s="104" r="M244"/>
      <c s="550" r="N244"/>
      <c t="str" s="589" r="O244">
        <f>IF((AH$28=2),IF(ISBLANK(N244),O243,N244),IF(ISNUMBER(N244),(MAX(O$44:O243)+N244),O243))</f>
        <v/>
      </c>
      <c s="694" r="P244"/>
      <c s="273" r="Q244">
        <f>IF(ISNUMBER(P244),((Q243+P244)-R243),Q243)</f>
        <v>100</v>
      </c>
      <c s="694" r="R244"/>
      <c s="821" r="S244"/>
      <c s="550" r="T244"/>
      <c s="550" r="U244"/>
      <c s="550" r="V244"/>
      <c s="550" r="W244"/>
      <c s="550" r="X244"/>
      <c s="550" r="Y244"/>
      <c t="str" s="470" r="Z244">
        <f>IF(ISNUMBER(S244),(Q244-S244),NA())</f>
        <v>#N/A:explicit</v>
      </c>
      <c t="str" s="470" r="AA244">
        <f>IF(ISNUMBER(T244),IF((AH$22=1),(Z244+T244),(Q244-T244)),NA())</f>
        <v>#N/A:explicit</v>
      </c>
      <c t="str" s="470" r="AB244">
        <f>IF(ISNUMBER(U244),(Q244-U244),NA())</f>
        <v>#N/A:explicit</v>
      </c>
      <c t="str" s="470" r="AC244">
        <f>IF(ISNUMBER(V244),(Q244-V244),NA())</f>
        <v>#N/A:explicit</v>
      </c>
      <c t="str" s="470" r="AD244">
        <f>IF(ISNUMBER(W244),(Q244-W244),NA())</f>
        <v>#N/A:explicit</v>
      </c>
      <c t="str" s="470" r="AE244">
        <f>IF(ISNUMBER(X244),(Q244-X244),NA())</f>
        <v>#N/A:explicit</v>
      </c>
      <c t="str" s="552" r="AF244">
        <f>IF(ISNUMBER(Z244),Z244,"---")</f>
        <v>---</v>
      </c>
      <c s="142" r="AG244"/>
      <c t="str" s="142" r="AH244">
        <f>IF(ISBLANK(L244),NA(),MIN(AF$44:AF$361))</f>
        <v>#N/A:explicit</v>
      </c>
      <c t="str" s="142" r="AI244">
        <f>IF(ISNA(AA244),Z244,AA244)</f>
        <v>#N/A:explicit</v>
      </c>
      <c s="142" r="AJ244">
        <f>MIN(AF$44:AF$361)</f>
        <v>0</v>
      </c>
      <c s="142" r="AK244"/>
      <c t="str" s="142" r="AL244">
        <f>IF(ISNUMBER(AB244),O244,"---")</f>
        <v>---</v>
      </c>
      <c t="str" s="80" r="AM244">
        <f>IF(ISNUMBER(AB244),AB244,"---")</f>
        <v>---</v>
      </c>
      <c s="80" r="AN244"/>
      <c t="str" s="142" r="AO244">
        <f>IF((M244="r"),Z244,NA())</f>
        <v>#N/A:explicit</v>
      </c>
      <c t="str" s="142" r="AP244">
        <f>IF((M244="p"),Z244,NA())</f>
        <v>#N/A:explicit</v>
      </c>
      <c t="str" s="142" r="AQ244">
        <f>IF((M244="n"),Z244,NA())</f>
        <v>#N/A:explicit</v>
      </c>
      <c t="str" s="142" r="AR244">
        <f>IF((M244="g"),Z244,NA())</f>
        <v>#N/A:explicit</v>
      </c>
      <c s="142" r="AS244"/>
      <c t="str" s="142" r="AT244">
        <f>IF((COUNTA($M244:$M$361)=0),"---",IF(AND(($M244="r"),(COUNTA($M245:$M$361)&gt;0)),(MAX(AT$44:AT243)+1),IF(OR(($M243="p"),($M243="n"),($M243="g")),"---",AT243)))</f>
        <v>---</v>
      </c>
      <c t="str" s="142" r="AU244">
        <f>IF((COUNTA($M244:$M$361)=0),"---",IF(AND(($M244="p"),(COUNTA($M245:$M$361)&gt;0)),(MAX(AU$44:AU243)+1),IF(OR(($M243="r"),($M243="n"),($M243="g")),"---",AU243)))</f>
        <v>---</v>
      </c>
      <c t="str" s="142" r="AV244">
        <f>IF((COUNTA($M244:$M$361)=0),"---",IF(AND(($M244="n"),(COUNTA($M245:$M$361)&gt;0)),(MAX(AV$44:AV243)+1),IF(OR(($M243="r"),($M243="p"),($M243="g")),"---",AV243)))</f>
        <v>---</v>
      </c>
      <c t="str" s="142" r="AW244">
        <f>IF((COUNTA($M244:$M$361)=0),"---",IF(AND(($M244="g"),(COUNTA($M245:$M$361)&gt;0)),(MAX(AW$44:AW243)+1),IF(OR(($M243="r"),($M243="p"),($M243="n")),"---",AW243)))</f>
        <v>---</v>
      </c>
      <c s="676" r="AX244">
        <f>IF((M244="p"),(1+MAX(AX$44:AX243)),0)</f>
        <v>0</v>
      </c>
      <c s="51" r="AY244"/>
      <c s="761" r="AZ244"/>
      <c s="761" r="BA244"/>
      <c s="125" r="BB244"/>
      <c s="125" r="BC244"/>
      <c s="125" r="BD244"/>
      <c s="125" r="BE244"/>
      <c s="125" r="BF244"/>
      <c s="125" r="BG244"/>
      <c s="125" r="BH244"/>
      <c s="125" r="BI244"/>
    </row>
    <row r="245">
      <c s="125" r="A245"/>
      <c s="125" r="B245"/>
      <c s="125" r="C245"/>
      <c s="125" r="D245"/>
      <c s="125" r="E245"/>
      <c s="125" r="F245"/>
      <c s="125" r="G245"/>
      <c s="125" r="H245"/>
      <c s="125" r="I245"/>
      <c s="822" r="J245"/>
      <c s="848" r="K245"/>
      <c s="550" r="L245"/>
      <c s="104" r="M245"/>
      <c s="550" r="N245"/>
      <c t="str" s="589" r="O245">
        <f>IF((AH$28=2),IF(ISBLANK(N245),O244,N245),IF(ISNUMBER(N245),(MAX(O$44:O244)+N245),O244))</f>
        <v/>
      </c>
      <c s="694" r="P245"/>
      <c s="273" r="Q245">
        <f>IF(ISNUMBER(P245),((Q244+P245)-R244),Q244)</f>
        <v>100</v>
      </c>
      <c s="694" r="R245"/>
      <c s="821" r="S245"/>
      <c s="550" r="T245"/>
      <c s="550" r="U245"/>
      <c s="550" r="V245"/>
      <c s="550" r="W245"/>
      <c s="550" r="X245"/>
      <c s="550" r="Y245"/>
      <c t="str" s="470" r="Z245">
        <f>IF(ISNUMBER(S245),(Q245-S245),NA())</f>
        <v>#N/A:explicit</v>
      </c>
      <c t="str" s="470" r="AA245">
        <f>IF(ISNUMBER(T245),IF((AH$22=1),(Z245+T245),(Q245-T245)),NA())</f>
        <v>#N/A:explicit</v>
      </c>
      <c t="str" s="470" r="AB245">
        <f>IF(ISNUMBER(U245),(Q245-U245),NA())</f>
        <v>#N/A:explicit</v>
      </c>
      <c t="str" s="470" r="AC245">
        <f>IF(ISNUMBER(V245),(Q245-V245),NA())</f>
        <v>#N/A:explicit</v>
      </c>
      <c t="str" s="470" r="AD245">
        <f>IF(ISNUMBER(W245),(Q245-W245),NA())</f>
        <v>#N/A:explicit</v>
      </c>
      <c t="str" s="470" r="AE245">
        <f>IF(ISNUMBER(X245),(Q245-X245),NA())</f>
        <v>#N/A:explicit</v>
      </c>
      <c t="str" s="552" r="AF245">
        <f>IF(ISNUMBER(Z245),Z245,"---")</f>
        <v>---</v>
      </c>
      <c s="142" r="AG245"/>
      <c t="str" s="142" r="AH245">
        <f>IF(ISBLANK(L245),NA(),MIN(AF$44:AF$361))</f>
        <v>#N/A:explicit</v>
      </c>
      <c t="str" s="142" r="AI245">
        <f>IF(ISNA(AA245),Z245,AA245)</f>
        <v>#N/A:explicit</v>
      </c>
      <c s="142" r="AJ245">
        <f>MIN(AF$44:AF$361)</f>
        <v>0</v>
      </c>
      <c s="142" r="AK245"/>
      <c t="str" s="142" r="AL245">
        <f>IF(ISNUMBER(AB245),O245,"---")</f>
        <v>---</v>
      </c>
      <c t="str" s="80" r="AM245">
        <f>IF(ISNUMBER(AB245),AB245,"---")</f>
        <v>---</v>
      </c>
      <c s="80" r="AN245"/>
      <c t="str" s="142" r="AO245">
        <f>IF((M245="r"),Z245,NA())</f>
        <v>#N/A:explicit</v>
      </c>
      <c t="str" s="142" r="AP245">
        <f>IF((M245="p"),Z245,NA())</f>
        <v>#N/A:explicit</v>
      </c>
      <c t="str" s="142" r="AQ245">
        <f>IF((M245="n"),Z245,NA())</f>
        <v>#N/A:explicit</v>
      </c>
      <c t="str" s="142" r="AR245">
        <f>IF((M245="g"),Z245,NA())</f>
        <v>#N/A:explicit</v>
      </c>
      <c s="142" r="AS245"/>
      <c t="str" s="142" r="AT245">
        <f>IF((COUNTA($M245:$M$361)=0),"---",IF(AND(($M245="r"),(COUNTA($M246:$M$361)&gt;0)),(MAX(AT$44:AT244)+1),IF(OR(($M244="p"),($M244="n"),($M244="g")),"---",AT244)))</f>
        <v>---</v>
      </c>
      <c t="str" s="142" r="AU245">
        <f>IF((COUNTA($M245:$M$361)=0),"---",IF(AND(($M245="p"),(COUNTA($M246:$M$361)&gt;0)),(MAX(AU$44:AU244)+1),IF(OR(($M244="r"),($M244="n"),($M244="g")),"---",AU244)))</f>
        <v>---</v>
      </c>
      <c t="str" s="142" r="AV245">
        <f>IF((COUNTA($M245:$M$361)=0),"---",IF(AND(($M245="n"),(COUNTA($M246:$M$361)&gt;0)),(MAX(AV$44:AV244)+1),IF(OR(($M244="r"),($M244="p"),($M244="g")),"---",AV244)))</f>
        <v>---</v>
      </c>
      <c t="str" s="142" r="AW245">
        <f>IF((COUNTA($M245:$M$361)=0),"---",IF(AND(($M245="g"),(COUNTA($M246:$M$361)&gt;0)),(MAX(AW$44:AW244)+1),IF(OR(($M244="r"),($M244="p"),($M244="n")),"---",AW244)))</f>
        <v>---</v>
      </c>
      <c s="676" r="AX245">
        <f>IF((M245="p"),(1+MAX(AX$44:AX244)),0)</f>
        <v>0</v>
      </c>
      <c s="51" r="AY245"/>
      <c s="761" r="AZ245"/>
      <c s="761" r="BA245"/>
      <c s="125" r="BB245"/>
      <c s="125" r="BC245"/>
      <c s="125" r="BD245"/>
      <c s="125" r="BE245"/>
      <c s="125" r="BF245"/>
      <c s="125" r="BG245"/>
      <c s="125" r="BH245"/>
      <c s="125" r="BI245"/>
    </row>
    <row r="246">
      <c s="125" r="A246"/>
      <c s="125" r="B246"/>
      <c s="125" r="C246"/>
      <c s="125" r="D246"/>
      <c s="125" r="E246"/>
      <c s="125" r="F246"/>
      <c s="125" r="G246"/>
      <c s="125" r="H246"/>
      <c s="125" r="I246"/>
      <c s="822" r="J246"/>
      <c s="429" r="K246"/>
      <c s="458" r="L246"/>
      <c s="104" r="M246"/>
      <c s="458" r="N246"/>
      <c t="str" s="589" r="O246">
        <f>IF((AH$28=2),IF(ISBLANK(N246),O245,N246),IF(ISNUMBER(N246),(MAX(O$44:O245)+N246),O245))</f>
        <v/>
      </c>
      <c s="228" r="P246"/>
      <c s="273" r="Q246">
        <f>IF(ISNUMBER(P246),((Q245+P246)-R245),Q245)</f>
        <v>100</v>
      </c>
      <c s="228" r="R246"/>
      <c s="610" r="S246"/>
      <c s="458" r="T246"/>
      <c s="458" r="U246"/>
      <c s="458" r="V246"/>
      <c s="458" r="W246"/>
      <c s="458" r="X246"/>
      <c s="458" r="Y246"/>
      <c t="str" s="620" r="Z246">
        <f>IF(ISNUMBER(S246),(Q246-S246),NA())</f>
        <v>#N/A:explicit</v>
      </c>
      <c t="str" s="620" r="AA246">
        <f>IF(ISNUMBER(T246),IF((AH$22=1),(Z246+T246),(Q246-T246)),NA())</f>
        <v>#N/A:explicit</v>
      </c>
      <c t="str" s="620" r="AB246">
        <f>IF(ISNUMBER(U246),(Q246-U246),NA())</f>
        <v>#N/A:explicit</v>
      </c>
      <c t="str" s="620" r="AC246">
        <f>IF(ISNUMBER(V246),(Q246-V246),NA())</f>
        <v>#N/A:explicit</v>
      </c>
      <c t="str" s="620" r="AD246">
        <f>IF(ISNUMBER(W246),(Q246-W246),NA())</f>
        <v>#N/A:explicit</v>
      </c>
      <c t="str" s="620" r="AE246">
        <f>IF(ISNUMBER(X246),(Q246-X246),NA())</f>
        <v>#N/A:explicit</v>
      </c>
      <c t="str" s="552" r="AF246">
        <f>IF(ISNUMBER(Z246),Z246,"---")</f>
        <v>---</v>
      </c>
      <c s="142" r="AG246"/>
      <c t="str" s="142" r="AH246">
        <f>IF(ISBLANK(L246),NA(),MIN(AF$44:AF$361))</f>
        <v>#N/A:explicit</v>
      </c>
      <c t="str" s="142" r="AI246">
        <f>IF(ISNA(AA246),Z246,AA246)</f>
        <v>#N/A:explicit</v>
      </c>
      <c s="142" r="AJ246">
        <f>MIN(AF$44:AF$361)</f>
        <v>0</v>
      </c>
      <c s="142" r="AK246"/>
      <c t="str" s="142" r="AL246">
        <f>IF(ISNUMBER(AB246),O246,"---")</f>
        <v>---</v>
      </c>
      <c t="str" s="80" r="AM246">
        <f>IF(ISNUMBER(AB246),AB246,"---")</f>
        <v>---</v>
      </c>
      <c s="80" r="AN246"/>
      <c t="str" s="142" r="AO246">
        <f>IF((M246="r"),Z246,NA())</f>
        <v>#N/A:explicit</v>
      </c>
      <c t="str" s="142" r="AP246">
        <f>IF((M246="p"),Z246,NA())</f>
        <v>#N/A:explicit</v>
      </c>
      <c t="str" s="142" r="AQ246">
        <f>IF((M246="n"),Z246,NA())</f>
        <v>#N/A:explicit</v>
      </c>
      <c t="str" s="142" r="AR246">
        <f>IF((M246="g"),Z246,NA())</f>
        <v>#N/A:explicit</v>
      </c>
      <c s="142" r="AS246"/>
      <c t="str" s="142" r="AT246">
        <f>IF((COUNTA($M246:$M$361)=0),"---",IF(AND(($M246="r"),(COUNTA($M247:$M$361)&gt;0)),(MAX(AT$44:AT245)+1),IF(OR(($M245="p"),($M245="n"),($M245="g")),"---",AT245)))</f>
        <v>---</v>
      </c>
      <c t="str" s="142" r="AU246">
        <f>IF((COUNTA($M246:$M$361)=0),"---",IF(AND(($M246="p"),(COUNTA($M247:$M$361)&gt;0)),(MAX(AU$44:AU245)+1),IF(OR(($M245="r"),($M245="n"),($M245="g")),"---",AU245)))</f>
        <v>---</v>
      </c>
      <c t="str" s="142" r="AV246">
        <f>IF((COUNTA($M246:$M$361)=0),"---",IF(AND(($M246="n"),(COUNTA($M247:$M$361)&gt;0)),(MAX(AV$44:AV245)+1),IF(OR(($M245="r"),($M245="p"),($M245="g")),"---",AV245)))</f>
        <v>---</v>
      </c>
      <c t="str" s="142" r="AW246">
        <f>IF((COUNTA($M246:$M$361)=0),"---",IF(AND(($M246="g"),(COUNTA($M247:$M$361)&gt;0)),(MAX(AW$44:AW245)+1),IF(OR(($M245="r"),($M245="p"),($M245="n")),"---",AW245)))</f>
        <v>---</v>
      </c>
      <c s="676" r="AX246">
        <f>IF((M246="p"),(1+MAX(AX$44:AX245)),0)</f>
        <v>0</v>
      </c>
      <c s="51" r="AY246"/>
      <c s="761" r="AZ246"/>
      <c s="761" r="BA246"/>
      <c s="125" r="BB246"/>
      <c s="125" r="BC246"/>
      <c s="125" r="BD246"/>
      <c s="125" r="BE246"/>
      <c s="125" r="BF246"/>
      <c s="125" r="BG246"/>
      <c s="125" r="BH246"/>
      <c s="125" r="BI246"/>
    </row>
    <row r="247">
      <c s="125" r="A247"/>
      <c s="125" r="B247"/>
      <c s="125" r="C247"/>
      <c s="125" r="D247"/>
      <c s="125" r="E247"/>
      <c s="125" r="F247"/>
      <c s="125" r="G247"/>
      <c s="125" r="H247"/>
      <c s="125" r="I247"/>
      <c s="822" r="J247"/>
      <c s="429" r="K247"/>
      <c s="458" r="L247"/>
      <c s="104" r="M247"/>
      <c s="458" r="N247"/>
      <c t="str" s="589" r="O247">
        <f>IF((AH$28=2),IF(ISBLANK(N247),O246,N247),IF(ISNUMBER(N247),(MAX(O$44:O246)+N247),O246))</f>
        <v/>
      </c>
      <c s="228" r="P247"/>
      <c s="273" r="Q247">
        <f>IF(ISNUMBER(P247),((Q246+P247)-R246),Q246)</f>
        <v>100</v>
      </c>
      <c s="228" r="R247"/>
      <c s="610" r="S247"/>
      <c s="458" r="T247"/>
      <c s="458" r="U247"/>
      <c s="458" r="V247"/>
      <c s="458" r="W247"/>
      <c s="458" r="X247"/>
      <c s="458" r="Y247"/>
      <c t="str" s="620" r="Z247">
        <f>IF(ISNUMBER(S247),(Q247-S247),NA())</f>
        <v>#N/A:explicit</v>
      </c>
      <c t="str" s="620" r="AA247">
        <f>IF(ISNUMBER(T247),IF((AH$22=1),(Z247+T247),(Q247-T247)),NA())</f>
        <v>#N/A:explicit</v>
      </c>
      <c t="str" s="620" r="AB247">
        <f>IF(ISNUMBER(U247),(Q247-U247),NA())</f>
        <v>#N/A:explicit</v>
      </c>
      <c t="str" s="620" r="AC247">
        <f>IF(ISNUMBER(V247),(Q247-V247),NA())</f>
        <v>#N/A:explicit</v>
      </c>
      <c t="str" s="620" r="AD247">
        <f>IF(ISNUMBER(W247),(Q247-W247),NA())</f>
        <v>#N/A:explicit</v>
      </c>
      <c t="str" s="620" r="AE247">
        <f>IF(ISNUMBER(X247),(Q247-X247),NA())</f>
        <v>#N/A:explicit</v>
      </c>
      <c t="str" s="552" r="AF247">
        <f>IF(ISNUMBER(Z247),Z247,"---")</f>
        <v>---</v>
      </c>
      <c s="142" r="AG247"/>
      <c t="str" s="142" r="AH247">
        <f>IF(ISBLANK(L247),NA(),MIN(AF$44:AF$361))</f>
        <v>#N/A:explicit</v>
      </c>
      <c t="str" s="142" r="AI247">
        <f>IF(ISNA(AA247),Z247,AA247)</f>
        <v>#N/A:explicit</v>
      </c>
      <c s="142" r="AJ247">
        <f>MIN(AF$44:AF$361)</f>
        <v>0</v>
      </c>
      <c s="142" r="AK247"/>
      <c t="str" s="142" r="AL247">
        <f>IF(ISNUMBER(AB247),O247,"---")</f>
        <v>---</v>
      </c>
      <c t="str" s="80" r="AM247">
        <f>IF(ISNUMBER(AB247),AB247,"---")</f>
        <v>---</v>
      </c>
      <c s="80" r="AN247"/>
      <c t="str" s="142" r="AO247">
        <f>IF((M247="r"),Z247,NA())</f>
        <v>#N/A:explicit</v>
      </c>
      <c t="str" s="142" r="AP247">
        <f>IF((M247="p"),Z247,NA())</f>
        <v>#N/A:explicit</v>
      </c>
      <c t="str" s="142" r="AQ247">
        <f>IF((M247="n"),Z247,NA())</f>
        <v>#N/A:explicit</v>
      </c>
      <c t="str" s="142" r="AR247">
        <f>IF((M247="g"),Z247,NA())</f>
        <v>#N/A:explicit</v>
      </c>
      <c s="142" r="AS247"/>
      <c t="str" s="142" r="AT247">
        <f>IF((COUNTA($M247:$M$361)=0),"---",IF(AND(($M247="r"),(COUNTA($M248:$M$361)&gt;0)),(MAX(AT$44:AT246)+1),IF(OR(($M246="p"),($M246="n"),($M246="g")),"---",AT246)))</f>
        <v>---</v>
      </c>
      <c t="str" s="142" r="AU247">
        <f>IF((COUNTA($M247:$M$361)=0),"---",IF(AND(($M247="p"),(COUNTA($M248:$M$361)&gt;0)),(MAX(AU$44:AU246)+1),IF(OR(($M246="r"),($M246="n"),($M246="g")),"---",AU246)))</f>
        <v>---</v>
      </c>
      <c t="str" s="142" r="AV247">
        <f>IF((COUNTA($M247:$M$361)=0),"---",IF(AND(($M247="n"),(COUNTA($M248:$M$361)&gt;0)),(MAX(AV$44:AV246)+1),IF(OR(($M246="r"),($M246="p"),($M246="g")),"---",AV246)))</f>
        <v>---</v>
      </c>
      <c t="str" s="142" r="AW247">
        <f>IF((COUNTA($M247:$M$361)=0),"---",IF(AND(($M247="g"),(COUNTA($M248:$M$361)&gt;0)),(MAX(AW$44:AW246)+1),IF(OR(($M246="r"),($M246="p"),($M246="n")),"---",AW246)))</f>
        <v>---</v>
      </c>
      <c s="676" r="AX247">
        <f>IF((M247="p"),(1+MAX(AX$44:AX246)),0)</f>
        <v>0</v>
      </c>
      <c s="51" r="AY247"/>
      <c s="761" r="AZ247"/>
      <c s="761" r="BA247"/>
      <c s="125" r="BB247"/>
      <c s="125" r="BC247"/>
      <c s="125" r="BD247"/>
      <c s="125" r="BE247"/>
      <c s="125" r="BF247"/>
      <c s="125" r="BG247"/>
      <c s="125" r="BH247"/>
      <c s="125" r="BI247"/>
    </row>
    <row r="248">
      <c s="125" r="A248"/>
      <c s="125" r="B248"/>
      <c s="125" r="C248"/>
      <c s="125" r="D248"/>
      <c s="125" r="E248"/>
      <c s="125" r="F248"/>
      <c s="125" r="G248"/>
      <c s="125" r="H248"/>
      <c s="125" r="I248"/>
      <c s="822" r="J248"/>
      <c s="429" r="K248"/>
      <c s="458" r="L248"/>
      <c s="104" r="M248"/>
      <c s="458" r="N248"/>
      <c t="str" s="589" r="O248">
        <f>IF((AH$28=2),IF(ISBLANK(N248),O247,N248),IF(ISNUMBER(N248),(MAX(O$44:O247)+N248),O247))</f>
        <v/>
      </c>
      <c s="228" r="P248"/>
      <c s="273" r="Q248">
        <f>IF(ISNUMBER(P248),((Q247+P248)-R247),Q247)</f>
        <v>100</v>
      </c>
      <c s="228" r="R248"/>
      <c s="610" r="S248"/>
      <c s="458" r="T248"/>
      <c s="458" r="U248"/>
      <c s="458" r="V248"/>
      <c s="458" r="W248"/>
      <c s="458" r="X248"/>
      <c s="458" r="Y248"/>
      <c t="str" s="620" r="Z248">
        <f>IF(ISNUMBER(S248),(Q248-S248),NA())</f>
        <v>#N/A:explicit</v>
      </c>
      <c t="str" s="620" r="AA248">
        <f>IF(ISNUMBER(T248),IF((AH$22=1),(Z248+T248),(Q248-T248)),NA())</f>
        <v>#N/A:explicit</v>
      </c>
      <c t="str" s="620" r="AB248">
        <f>IF(ISNUMBER(U248),(Q248-U248),NA())</f>
        <v>#N/A:explicit</v>
      </c>
      <c t="str" s="620" r="AC248">
        <f>IF(ISNUMBER(V248),(Q248-V248),NA())</f>
        <v>#N/A:explicit</v>
      </c>
      <c t="str" s="620" r="AD248">
        <f>IF(ISNUMBER(W248),(Q248-W248),NA())</f>
        <v>#N/A:explicit</v>
      </c>
      <c t="str" s="620" r="AE248">
        <f>IF(ISNUMBER(X248),(Q248-X248),NA())</f>
        <v>#N/A:explicit</v>
      </c>
      <c t="str" s="552" r="AF248">
        <f>IF(ISNUMBER(Z248),Z248,"---")</f>
        <v>---</v>
      </c>
      <c s="142" r="AG248"/>
      <c t="str" s="142" r="AH248">
        <f>IF(ISBLANK(L248),NA(),MIN(AF$44:AF$361))</f>
        <v>#N/A:explicit</v>
      </c>
      <c t="str" s="142" r="AI248">
        <f>IF(ISNA(AA248),Z248,AA248)</f>
        <v>#N/A:explicit</v>
      </c>
      <c s="142" r="AJ248">
        <f>MIN(AF$44:AF$361)</f>
        <v>0</v>
      </c>
      <c s="142" r="AK248"/>
      <c t="str" s="142" r="AL248">
        <f>IF(ISNUMBER(AB248),O248,"---")</f>
        <v>---</v>
      </c>
      <c t="str" s="80" r="AM248">
        <f>IF(ISNUMBER(AB248),AB248,"---")</f>
        <v>---</v>
      </c>
      <c s="80" r="AN248"/>
      <c t="str" s="142" r="AO248">
        <f>IF((M248="r"),Z248,NA())</f>
        <v>#N/A:explicit</v>
      </c>
      <c t="str" s="142" r="AP248">
        <f>IF((M248="p"),Z248,NA())</f>
        <v>#N/A:explicit</v>
      </c>
      <c t="str" s="142" r="AQ248">
        <f>IF((M248="n"),Z248,NA())</f>
        <v>#N/A:explicit</v>
      </c>
      <c t="str" s="142" r="AR248">
        <f>IF((M248="g"),Z248,NA())</f>
        <v>#N/A:explicit</v>
      </c>
      <c s="142" r="AS248"/>
      <c t="str" s="142" r="AT248">
        <f>IF((COUNTA($M248:$M$361)=0),"---",IF(AND(($M248="r"),(COUNTA($M249:$M$361)&gt;0)),(MAX(AT$44:AT247)+1),IF(OR(($M247="p"),($M247="n"),($M247="g")),"---",AT247)))</f>
        <v>---</v>
      </c>
      <c t="str" s="142" r="AU248">
        <f>IF((COUNTA($M248:$M$361)=0),"---",IF(AND(($M248="p"),(COUNTA($M249:$M$361)&gt;0)),(MAX(AU$44:AU247)+1),IF(OR(($M247="r"),($M247="n"),($M247="g")),"---",AU247)))</f>
        <v>---</v>
      </c>
      <c t="str" s="142" r="AV248">
        <f>IF((COUNTA($M248:$M$361)=0),"---",IF(AND(($M248="n"),(COUNTA($M249:$M$361)&gt;0)),(MAX(AV$44:AV247)+1),IF(OR(($M247="r"),($M247="p"),($M247="g")),"---",AV247)))</f>
        <v>---</v>
      </c>
      <c t="str" s="142" r="AW248">
        <f>IF((COUNTA($M248:$M$361)=0),"---",IF(AND(($M248="g"),(COUNTA($M249:$M$361)&gt;0)),(MAX(AW$44:AW247)+1),IF(OR(($M247="r"),($M247="p"),($M247="n")),"---",AW247)))</f>
        <v>---</v>
      </c>
      <c s="676" r="AX248">
        <f>IF((M248="p"),(1+MAX(AX$44:AX247)),0)</f>
        <v>0</v>
      </c>
      <c s="51" r="AY248"/>
      <c s="761" r="AZ248"/>
      <c s="761" r="BA248"/>
      <c s="125" r="BB248"/>
      <c s="125" r="BC248"/>
      <c s="125" r="BD248"/>
      <c s="125" r="BE248"/>
      <c s="125" r="BF248"/>
      <c s="125" r="BG248"/>
      <c s="125" r="BH248"/>
      <c s="125" r="BI248"/>
    </row>
    <row r="249">
      <c s="125" r="A249"/>
      <c s="125" r="B249"/>
      <c s="125" r="C249"/>
      <c s="125" r="D249"/>
      <c s="125" r="E249"/>
      <c s="125" r="F249"/>
      <c s="125" r="G249"/>
      <c s="125" r="H249"/>
      <c s="125" r="I249"/>
      <c s="822" r="J249"/>
      <c s="848" r="K249"/>
      <c s="550" r="L249"/>
      <c s="104" r="M249"/>
      <c s="550" r="N249"/>
      <c t="str" s="589" r="O249">
        <f>IF((AH$28=2),IF(ISBLANK(N249),O248,N249),IF(ISNUMBER(N249),(MAX(O$44:O248)+N249),O248))</f>
        <v/>
      </c>
      <c s="694" r="P249"/>
      <c s="273" r="Q249">
        <f>IF(ISNUMBER(P249),((Q248+P249)-R248),Q248)</f>
        <v>100</v>
      </c>
      <c s="694" r="R249"/>
      <c s="821" r="S249"/>
      <c s="550" r="T249"/>
      <c s="550" r="U249"/>
      <c s="550" r="V249"/>
      <c s="550" r="W249"/>
      <c s="550" r="X249"/>
      <c s="550" r="Y249"/>
      <c t="str" s="470" r="Z249">
        <f>IF(ISNUMBER(S249),(Q249-S249),NA())</f>
        <v>#N/A:explicit</v>
      </c>
      <c t="str" s="470" r="AA249">
        <f>IF(ISNUMBER(T249),IF((AH$22=1),(Z249+T249),(Q249-T249)),NA())</f>
        <v>#N/A:explicit</v>
      </c>
      <c t="str" s="470" r="AB249">
        <f>IF(ISNUMBER(U249),(Q249-U249),NA())</f>
        <v>#N/A:explicit</v>
      </c>
      <c t="str" s="470" r="AC249">
        <f>IF(ISNUMBER(V249),(Q249-V249),NA())</f>
        <v>#N/A:explicit</v>
      </c>
      <c t="str" s="470" r="AD249">
        <f>IF(ISNUMBER(W249),(Q249-W249),NA())</f>
        <v>#N/A:explicit</v>
      </c>
      <c t="str" s="470" r="AE249">
        <f>IF(ISNUMBER(X249),(Q249-X249),NA())</f>
        <v>#N/A:explicit</v>
      </c>
      <c t="str" s="552" r="AF249">
        <f>IF(ISNUMBER(Z249),Z249,"---")</f>
        <v>---</v>
      </c>
      <c s="142" r="AG249"/>
      <c t="str" s="142" r="AH249">
        <f>IF(ISBLANK(L249),NA(),MIN(AF$44:AF$361))</f>
        <v>#N/A:explicit</v>
      </c>
      <c t="str" s="142" r="AI249">
        <f>IF(ISNA(AA249),Z249,AA249)</f>
        <v>#N/A:explicit</v>
      </c>
      <c s="142" r="AJ249">
        <f>MIN(AF$44:AF$361)</f>
        <v>0</v>
      </c>
      <c s="142" r="AK249"/>
      <c t="str" s="142" r="AL249">
        <f>IF(ISNUMBER(AB249),O249,"---")</f>
        <v>---</v>
      </c>
      <c t="str" s="80" r="AM249">
        <f>IF(ISNUMBER(AB249),AB249,"---")</f>
        <v>---</v>
      </c>
      <c s="80" r="AN249"/>
      <c t="str" s="142" r="AO249">
        <f>IF((M249="r"),Z249,NA())</f>
        <v>#N/A:explicit</v>
      </c>
      <c t="str" s="142" r="AP249">
        <f>IF((M249="p"),Z249,NA())</f>
        <v>#N/A:explicit</v>
      </c>
      <c t="str" s="142" r="AQ249">
        <f>IF((M249="n"),Z249,NA())</f>
        <v>#N/A:explicit</v>
      </c>
      <c t="str" s="142" r="AR249">
        <f>IF((M249="g"),Z249,NA())</f>
        <v>#N/A:explicit</v>
      </c>
      <c s="142" r="AS249"/>
      <c t="str" s="142" r="AT249">
        <f>IF((COUNTA($M249:$M$361)=0),"---",IF(AND(($M249="r"),(COUNTA($M250:$M$361)&gt;0)),(MAX(AT$44:AT248)+1),IF(OR(($M248="p"),($M248="n"),($M248="g")),"---",AT248)))</f>
        <v>---</v>
      </c>
      <c t="str" s="142" r="AU249">
        <f>IF((COUNTA($M249:$M$361)=0),"---",IF(AND(($M249="p"),(COUNTA($M250:$M$361)&gt;0)),(MAX(AU$44:AU248)+1),IF(OR(($M248="r"),($M248="n"),($M248="g")),"---",AU248)))</f>
        <v>---</v>
      </c>
      <c t="str" s="142" r="AV249">
        <f>IF((COUNTA($M249:$M$361)=0),"---",IF(AND(($M249="n"),(COUNTA($M250:$M$361)&gt;0)),(MAX(AV$44:AV248)+1),IF(OR(($M248="r"),($M248="p"),($M248="g")),"---",AV248)))</f>
        <v>---</v>
      </c>
      <c t="str" s="142" r="AW249">
        <f>IF((COUNTA($M249:$M$361)=0),"---",IF(AND(($M249="g"),(COUNTA($M250:$M$361)&gt;0)),(MAX(AW$44:AW248)+1),IF(OR(($M248="r"),($M248="p"),($M248="n")),"---",AW248)))</f>
        <v>---</v>
      </c>
      <c s="676" r="AX249">
        <f>IF((M249="p"),(1+MAX(AX$44:AX248)),0)</f>
        <v>0</v>
      </c>
      <c s="51" r="AY249"/>
      <c s="761" r="AZ249"/>
      <c s="761" r="BA249"/>
      <c s="125" r="BB249"/>
      <c s="125" r="BC249"/>
      <c s="125" r="BD249"/>
      <c s="125" r="BE249"/>
      <c s="125" r="BF249"/>
      <c s="125" r="BG249"/>
      <c s="125" r="BH249"/>
      <c s="125" r="BI249"/>
    </row>
    <row r="250">
      <c s="125" r="A250"/>
      <c s="125" r="B250"/>
      <c s="125" r="C250"/>
      <c s="125" r="D250"/>
      <c s="125" r="E250"/>
      <c s="125" r="F250"/>
      <c s="125" r="G250"/>
      <c s="125" r="H250"/>
      <c s="125" r="I250"/>
      <c s="822" r="J250"/>
      <c s="848" r="K250"/>
      <c s="550" r="L250"/>
      <c s="104" r="M250"/>
      <c s="550" r="N250"/>
      <c t="str" s="589" r="O250">
        <f>IF((AH$28=2),IF(ISBLANK(N250),O249,N250),IF(ISNUMBER(N250),(MAX(O$44:O249)+N250),O249))</f>
        <v/>
      </c>
      <c s="694" r="P250"/>
      <c s="273" r="Q250">
        <f>IF(ISNUMBER(P250),((Q249+P250)-R249),Q249)</f>
        <v>100</v>
      </c>
      <c s="694" r="R250"/>
      <c s="821" r="S250"/>
      <c s="550" r="T250"/>
      <c s="550" r="U250"/>
      <c s="550" r="V250"/>
      <c s="550" r="W250"/>
      <c s="550" r="X250"/>
      <c s="550" r="Y250"/>
      <c t="str" s="470" r="Z250">
        <f>IF(ISNUMBER(S250),(Q250-S250),NA())</f>
        <v>#N/A:explicit</v>
      </c>
      <c t="str" s="470" r="AA250">
        <f>IF(ISNUMBER(T250),IF((AH$22=1),(Z250+T250),(Q250-T250)),NA())</f>
        <v>#N/A:explicit</v>
      </c>
      <c t="str" s="470" r="AB250">
        <f>IF(ISNUMBER(U250),(Q250-U250),NA())</f>
        <v>#N/A:explicit</v>
      </c>
      <c t="str" s="470" r="AC250">
        <f>IF(ISNUMBER(V250),(Q250-V250),NA())</f>
        <v>#N/A:explicit</v>
      </c>
      <c t="str" s="470" r="AD250">
        <f>IF(ISNUMBER(W250),(Q250-W250),NA())</f>
        <v>#N/A:explicit</v>
      </c>
      <c t="str" s="470" r="AE250">
        <f>IF(ISNUMBER(X250),(Q250-X250),NA())</f>
        <v>#N/A:explicit</v>
      </c>
      <c t="str" s="552" r="AF250">
        <f>IF(ISNUMBER(Z250),Z250,"---")</f>
        <v>---</v>
      </c>
      <c s="142" r="AG250"/>
      <c t="str" s="142" r="AH250">
        <f>IF(ISBLANK(L250),NA(),MIN(AF$44:AF$361))</f>
        <v>#N/A:explicit</v>
      </c>
      <c t="str" s="142" r="AI250">
        <f>IF(ISNA(AA250),Z250,AA250)</f>
        <v>#N/A:explicit</v>
      </c>
      <c s="142" r="AJ250">
        <f>MIN(AF$44:AF$361)</f>
        <v>0</v>
      </c>
      <c s="142" r="AK250"/>
      <c t="str" s="142" r="AL250">
        <f>IF(ISNUMBER(AB250),O250,"---")</f>
        <v>---</v>
      </c>
      <c t="str" s="80" r="AM250">
        <f>IF(ISNUMBER(AB250),AB250,"---")</f>
        <v>---</v>
      </c>
      <c s="80" r="AN250"/>
      <c t="str" s="142" r="AO250">
        <f>IF((M250="r"),Z250,NA())</f>
        <v>#N/A:explicit</v>
      </c>
      <c t="str" s="142" r="AP250">
        <f>IF((M250="p"),Z250,NA())</f>
        <v>#N/A:explicit</v>
      </c>
      <c t="str" s="142" r="AQ250">
        <f>IF((M250="n"),Z250,NA())</f>
        <v>#N/A:explicit</v>
      </c>
      <c t="str" s="142" r="AR250">
        <f>IF((M250="g"),Z250,NA())</f>
        <v>#N/A:explicit</v>
      </c>
      <c s="142" r="AS250"/>
      <c t="str" s="142" r="AT250">
        <f>IF((COUNTA($M250:$M$361)=0),"---",IF(AND(($M250="r"),(COUNTA($M251:$M$361)&gt;0)),(MAX(AT$44:AT249)+1),IF(OR(($M249="p"),($M249="n"),($M249="g")),"---",AT249)))</f>
        <v>---</v>
      </c>
      <c t="str" s="142" r="AU250">
        <f>IF((COUNTA($M250:$M$361)=0),"---",IF(AND(($M250="p"),(COUNTA($M251:$M$361)&gt;0)),(MAX(AU$44:AU249)+1),IF(OR(($M249="r"),($M249="n"),($M249="g")),"---",AU249)))</f>
        <v>---</v>
      </c>
      <c t="str" s="142" r="AV250">
        <f>IF((COUNTA($M250:$M$361)=0),"---",IF(AND(($M250="n"),(COUNTA($M251:$M$361)&gt;0)),(MAX(AV$44:AV249)+1),IF(OR(($M249="r"),($M249="p"),($M249="g")),"---",AV249)))</f>
        <v>---</v>
      </c>
      <c t="str" s="142" r="AW250">
        <f>IF((COUNTA($M250:$M$361)=0),"---",IF(AND(($M250="g"),(COUNTA($M251:$M$361)&gt;0)),(MAX(AW$44:AW249)+1),IF(OR(($M249="r"),($M249="p"),($M249="n")),"---",AW249)))</f>
        <v>---</v>
      </c>
      <c s="676" r="AX250">
        <f>IF((M250="p"),(1+MAX(AX$44:AX249)),0)</f>
        <v>0</v>
      </c>
      <c s="51" r="AY250"/>
      <c s="761" r="AZ250"/>
      <c s="761" r="BA250"/>
      <c s="125" r="BB250"/>
      <c s="125" r="BC250"/>
      <c s="125" r="BD250"/>
      <c s="125" r="BE250"/>
      <c s="125" r="BF250"/>
      <c s="125" r="BG250"/>
      <c s="125" r="BH250"/>
      <c s="125" r="BI250"/>
    </row>
    <row r="251">
      <c s="125" r="A251"/>
      <c s="125" r="B251"/>
      <c s="125" r="C251"/>
      <c s="125" r="D251"/>
      <c s="125" r="E251"/>
      <c s="125" r="F251"/>
      <c s="125" r="G251"/>
      <c s="125" r="H251"/>
      <c s="125" r="I251"/>
      <c s="822" r="J251"/>
      <c s="848" r="K251"/>
      <c s="550" r="L251"/>
      <c s="104" r="M251"/>
      <c s="550" r="N251"/>
      <c t="str" s="589" r="O251">
        <f>IF((AH$28=2),IF(ISBLANK(N251),O250,N251),IF(ISNUMBER(N251),(MAX(O$44:O250)+N251),O250))</f>
        <v/>
      </c>
      <c s="694" r="P251"/>
      <c s="273" r="Q251">
        <f>IF(ISNUMBER(P251),((Q250+P251)-R250),Q250)</f>
        <v>100</v>
      </c>
      <c s="694" r="R251"/>
      <c s="821" r="S251"/>
      <c s="550" r="T251"/>
      <c s="550" r="U251"/>
      <c s="550" r="V251"/>
      <c s="550" r="W251"/>
      <c s="550" r="X251"/>
      <c s="550" r="Y251"/>
      <c t="str" s="470" r="Z251">
        <f>IF(ISNUMBER(S251),(Q251-S251),NA())</f>
        <v>#N/A:explicit</v>
      </c>
      <c t="str" s="470" r="AA251">
        <f>IF(ISNUMBER(T251),IF((AH$22=1),(Z251+T251),(Q251-T251)),NA())</f>
        <v>#N/A:explicit</v>
      </c>
      <c t="str" s="470" r="AB251">
        <f>IF(ISNUMBER(U251),(Q251-U251),NA())</f>
        <v>#N/A:explicit</v>
      </c>
      <c t="str" s="470" r="AC251">
        <f>IF(ISNUMBER(V251),(Q251-V251),NA())</f>
        <v>#N/A:explicit</v>
      </c>
      <c t="str" s="470" r="AD251">
        <f>IF(ISNUMBER(W251),(Q251-W251),NA())</f>
        <v>#N/A:explicit</v>
      </c>
      <c t="str" s="470" r="AE251">
        <f>IF(ISNUMBER(X251),(Q251-X251),NA())</f>
        <v>#N/A:explicit</v>
      </c>
      <c t="str" s="552" r="AF251">
        <f>IF(ISNUMBER(Z251),Z251,"---")</f>
        <v>---</v>
      </c>
      <c s="142" r="AG251"/>
      <c t="str" s="142" r="AH251">
        <f>IF(ISBLANK(L251),NA(),MIN(AF$44:AF$361))</f>
        <v>#N/A:explicit</v>
      </c>
      <c t="str" s="142" r="AI251">
        <f>IF(ISNA(AA251),Z251,AA251)</f>
        <v>#N/A:explicit</v>
      </c>
      <c s="142" r="AJ251">
        <f>MIN(AF$44:AF$361)</f>
        <v>0</v>
      </c>
      <c s="142" r="AK251"/>
      <c t="str" s="142" r="AL251">
        <f>IF(ISNUMBER(AB251),O251,"---")</f>
        <v>---</v>
      </c>
      <c t="str" s="80" r="AM251">
        <f>IF(ISNUMBER(AB251),AB251,"---")</f>
        <v>---</v>
      </c>
      <c s="80" r="AN251"/>
      <c t="str" s="142" r="AO251">
        <f>IF((M251="r"),Z251,NA())</f>
        <v>#N/A:explicit</v>
      </c>
      <c t="str" s="142" r="AP251">
        <f>IF((M251="p"),Z251,NA())</f>
        <v>#N/A:explicit</v>
      </c>
      <c t="str" s="142" r="AQ251">
        <f>IF((M251="n"),Z251,NA())</f>
        <v>#N/A:explicit</v>
      </c>
      <c t="str" s="142" r="AR251">
        <f>IF((M251="g"),Z251,NA())</f>
        <v>#N/A:explicit</v>
      </c>
      <c s="142" r="AS251"/>
      <c t="str" s="142" r="AT251">
        <f>IF((COUNTA($M251:$M$361)=0),"---",IF(AND(($M251="r"),(COUNTA($M252:$M$361)&gt;0)),(MAX(AT$44:AT250)+1),IF(OR(($M250="p"),($M250="n"),($M250="g")),"---",AT250)))</f>
        <v>---</v>
      </c>
      <c t="str" s="142" r="AU251">
        <f>IF((COUNTA($M251:$M$361)=0),"---",IF(AND(($M251="p"),(COUNTA($M252:$M$361)&gt;0)),(MAX(AU$44:AU250)+1),IF(OR(($M250="r"),($M250="n"),($M250="g")),"---",AU250)))</f>
        <v>---</v>
      </c>
      <c t="str" s="142" r="AV251">
        <f>IF((COUNTA($M251:$M$361)=0),"---",IF(AND(($M251="n"),(COUNTA($M252:$M$361)&gt;0)),(MAX(AV$44:AV250)+1),IF(OR(($M250="r"),($M250="p"),($M250="g")),"---",AV250)))</f>
        <v>---</v>
      </c>
      <c t="str" s="142" r="AW251">
        <f>IF((COUNTA($M251:$M$361)=0),"---",IF(AND(($M251="g"),(COUNTA($M252:$M$361)&gt;0)),(MAX(AW$44:AW250)+1),IF(OR(($M250="r"),($M250="p"),($M250="n")),"---",AW250)))</f>
        <v>---</v>
      </c>
      <c s="676" r="AX251">
        <f>IF((M251="p"),(1+MAX(AX$44:AX250)),0)</f>
        <v>0</v>
      </c>
      <c s="51" r="AY251"/>
      <c s="761" r="AZ251"/>
      <c s="761" r="BA251"/>
      <c s="125" r="BB251"/>
      <c s="125" r="BC251"/>
      <c s="125" r="BD251"/>
      <c s="125" r="BE251"/>
      <c s="125" r="BF251"/>
      <c s="125" r="BG251"/>
      <c s="125" r="BH251"/>
      <c s="125" r="BI251"/>
    </row>
    <row r="252">
      <c s="125" r="A252"/>
      <c s="125" r="B252"/>
      <c s="125" r="C252"/>
      <c s="125" r="D252"/>
      <c s="125" r="E252"/>
      <c s="125" r="F252"/>
      <c s="125" r="G252"/>
      <c s="125" r="H252"/>
      <c s="125" r="I252"/>
      <c s="822" r="J252"/>
      <c s="429" r="K252"/>
      <c s="458" r="L252"/>
      <c s="104" r="M252"/>
      <c s="458" r="N252"/>
      <c t="str" s="589" r="O252">
        <f>IF((AH$28=2),IF(ISBLANK(N252),O251,N252),IF(ISNUMBER(N252),(MAX(O$44:O251)+N252),O251))</f>
        <v/>
      </c>
      <c s="228" r="P252"/>
      <c s="273" r="Q252">
        <f>IF(ISNUMBER(P252),((Q251+P252)-R251),Q251)</f>
        <v>100</v>
      </c>
      <c s="228" r="R252"/>
      <c s="610" r="S252"/>
      <c s="458" r="T252"/>
      <c s="458" r="U252"/>
      <c s="458" r="V252"/>
      <c s="458" r="W252"/>
      <c s="458" r="X252"/>
      <c s="458" r="Y252"/>
      <c t="str" s="620" r="Z252">
        <f>IF(ISNUMBER(S252),(Q252-S252),NA())</f>
        <v>#N/A:explicit</v>
      </c>
      <c t="str" s="620" r="AA252">
        <f>IF(ISNUMBER(T252),IF((AH$22=1),(Z252+T252),(Q252-T252)),NA())</f>
        <v>#N/A:explicit</v>
      </c>
      <c t="str" s="620" r="AB252">
        <f>IF(ISNUMBER(U252),(Q252-U252),NA())</f>
        <v>#N/A:explicit</v>
      </c>
      <c t="str" s="620" r="AC252">
        <f>IF(ISNUMBER(V252),(Q252-V252),NA())</f>
        <v>#N/A:explicit</v>
      </c>
      <c t="str" s="620" r="AD252">
        <f>IF(ISNUMBER(W252),(Q252-W252),NA())</f>
        <v>#N/A:explicit</v>
      </c>
      <c t="str" s="620" r="AE252">
        <f>IF(ISNUMBER(X252),(Q252-X252),NA())</f>
        <v>#N/A:explicit</v>
      </c>
      <c t="str" s="552" r="AF252">
        <f>IF(ISNUMBER(Z252),Z252,"---")</f>
        <v>---</v>
      </c>
      <c s="142" r="AG252"/>
      <c t="str" s="142" r="AH252">
        <f>IF(ISBLANK(L252),NA(),MIN(AF$44:AF$361))</f>
        <v>#N/A:explicit</v>
      </c>
      <c t="str" s="142" r="AI252">
        <f>IF(ISNA(AA252),Z252,AA252)</f>
        <v>#N/A:explicit</v>
      </c>
      <c s="142" r="AJ252">
        <f>MIN(AF$44:AF$361)</f>
        <v>0</v>
      </c>
      <c s="142" r="AK252"/>
      <c t="str" s="142" r="AL252">
        <f>IF(ISNUMBER(AB252),O252,"---")</f>
        <v>---</v>
      </c>
      <c t="str" s="80" r="AM252">
        <f>IF(ISNUMBER(AB252),AB252,"---")</f>
        <v>---</v>
      </c>
      <c s="80" r="AN252"/>
      <c t="str" s="142" r="AO252">
        <f>IF((M252="r"),Z252,NA())</f>
        <v>#N/A:explicit</v>
      </c>
      <c t="str" s="142" r="AP252">
        <f>IF((M252="p"),Z252,NA())</f>
        <v>#N/A:explicit</v>
      </c>
      <c t="str" s="142" r="AQ252">
        <f>IF((M252="n"),Z252,NA())</f>
        <v>#N/A:explicit</v>
      </c>
      <c t="str" s="142" r="AR252">
        <f>IF((M252="g"),Z252,NA())</f>
        <v>#N/A:explicit</v>
      </c>
      <c s="142" r="AS252"/>
      <c t="str" s="142" r="AT252">
        <f>IF((COUNTA($M252:$M$361)=0),"---",IF(AND(($M252="r"),(COUNTA($M253:$M$361)&gt;0)),(MAX(AT$44:AT251)+1),IF(OR(($M251="p"),($M251="n"),($M251="g")),"---",AT251)))</f>
        <v>---</v>
      </c>
      <c t="str" s="142" r="AU252">
        <f>IF((COUNTA($M252:$M$361)=0),"---",IF(AND(($M252="p"),(COUNTA($M253:$M$361)&gt;0)),(MAX(AU$44:AU251)+1),IF(OR(($M251="r"),($M251="n"),($M251="g")),"---",AU251)))</f>
        <v>---</v>
      </c>
      <c t="str" s="142" r="AV252">
        <f>IF((COUNTA($M252:$M$361)=0),"---",IF(AND(($M252="n"),(COUNTA($M253:$M$361)&gt;0)),(MAX(AV$44:AV251)+1),IF(OR(($M251="r"),($M251="p"),($M251="g")),"---",AV251)))</f>
        <v>---</v>
      </c>
      <c t="str" s="142" r="AW252">
        <f>IF((COUNTA($M252:$M$361)=0),"---",IF(AND(($M252="g"),(COUNTA($M253:$M$361)&gt;0)),(MAX(AW$44:AW251)+1),IF(OR(($M251="r"),($M251="p"),($M251="n")),"---",AW251)))</f>
        <v>---</v>
      </c>
      <c s="676" r="AX252">
        <f>IF((M252="p"),(1+MAX(AX$44:AX251)),0)</f>
        <v>0</v>
      </c>
      <c s="51" r="AY252"/>
      <c s="761" r="AZ252"/>
      <c s="761" r="BA252"/>
      <c s="125" r="BB252"/>
      <c s="125" r="BC252"/>
      <c s="125" r="BD252"/>
      <c s="125" r="BE252"/>
      <c s="125" r="BF252"/>
      <c s="125" r="BG252"/>
      <c s="125" r="BH252"/>
      <c s="125" r="BI252"/>
    </row>
    <row r="253">
      <c s="125" r="A253"/>
      <c s="125" r="B253"/>
      <c s="125" r="C253"/>
      <c s="125" r="D253"/>
      <c s="125" r="E253"/>
      <c s="125" r="F253"/>
      <c s="125" r="G253"/>
      <c s="125" r="H253"/>
      <c s="125" r="I253"/>
      <c s="822" r="J253"/>
      <c s="429" r="K253"/>
      <c s="458" r="L253"/>
      <c s="104" r="M253"/>
      <c s="458" r="N253"/>
      <c t="str" s="589" r="O253">
        <f>IF((AH$28=2),IF(ISBLANK(N253),O252,N253),IF(ISNUMBER(N253),(MAX(O$44:O252)+N253),O252))</f>
        <v/>
      </c>
      <c s="228" r="P253"/>
      <c s="273" r="Q253">
        <f>IF(ISNUMBER(P253),((Q252+P253)-R252),Q252)</f>
        <v>100</v>
      </c>
      <c s="228" r="R253"/>
      <c s="610" r="S253"/>
      <c s="458" r="T253"/>
      <c s="458" r="U253"/>
      <c s="458" r="V253"/>
      <c s="458" r="W253"/>
      <c s="458" r="X253"/>
      <c s="458" r="Y253"/>
      <c t="str" s="620" r="Z253">
        <f>IF(ISNUMBER(S253),(Q253-S253),NA())</f>
        <v>#N/A:explicit</v>
      </c>
      <c t="str" s="620" r="AA253">
        <f>IF(ISNUMBER(T253),IF((AH$22=1),(Z253+T253),(Q253-T253)),NA())</f>
        <v>#N/A:explicit</v>
      </c>
      <c t="str" s="620" r="AB253">
        <f>IF(ISNUMBER(U253),(Q253-U253),NA())</f>
        <v>#N/A:explicit</v>
      </c>
      <c t="str" s="620" r="AC253">
        <f>IF(ISNUMBER(V253),(Q253-V253),NA())</f>
        <v>#N/A:explicit</v>
      </c>
      <c t="str" s="620" r="AD253">
        <f>IF(ISNUMBER(W253),(Q253-W253),NA())</f>
        <v>#N/A:explicit</v>
      </c>
      <c t="str" s="620" r="AE253">
        <f>IF(ISNUMBER(X253),(Q253-X253),NA())</f>
        <v>#N/A:explicit</v>
      </c>
      <c t="str" s="552" r="AF253">
        <f>IF(ISNUMBER(Z253),Z253,"---")</f>
        <v>---</v>
      </c>
      <c s="142" r="AG253"/>
      <c t="str" s="142" r="AH253">
        <f>IF(ISBLANK(L253),NA(),MIN(AF$44:AF$361))</f>
        <v>#N/A:explicit</v>
      </c>
      <c t="str" s="142" r="AI253">
        <f>IF(ISNA(AA253),Z253,AA253)</f>
        <v>#N/A:explicit</v>
      </c>
      <c s="142" r="AJ253">
        <f>MIN(AF$44:AF$361)</f>
        <v>0</v>
      </c>
      <c s="142" r="AK253"/>
      <c t="str" s="142" r="AL253">
        <f>IF(ISNUMBER(AB253),O253,"---")</f>
        <v>---</v>
      </c>
      <c t="str" s="80" r="AM253">
        <f>IF(ISNUMBER(AB253),AB253,"---")</f>
        <v>---</v>
      </c>
      <c s="80" r="AN253"/>
      <c t="str" s="142" r="AO253">
        <f>IF((M253="r"),Z253,NA())</f>
        <v>#N/A:explicit</v>
      </c>
      <c t="str" s="142" r="AP253">
        <f>IF((M253="p"),Z253,NA())</f>
        <v>#N/A:explicit</v>
      </c>
      <c t="str" s="142" r="AQ253">
        <f>IF((M253="n"),Z253,NA())</f>
        <v>#N/A:explicit</v>
      </c>
      <c t="str" s="142" r="AR253">
        <f>IF((M253="g"),Z253,NA())</f>
        <v>#N/A:explicit</v>
      </c>
      <c s="142" r="AS253"/>
      <c t="str" s="142" r="AT253">
        <f>IF((COUNTA($M253:$M$361)=0),"---",IF(AND(($M253="r"),(COUNTA($M254:$M$361)&gt;0)),(MAX(AT$44:AT252)+1),IF(OR(($M252="p"),($M252="n"),($M252="g")),"---",AT252)))</f>
        <v>---</v>
      </c>
      <c t="str" s="142" r="AU253">
        <f>IF((COUNTA($M253:$M$361)=0),"---",IF(AND(($M253="p"),(COUNTA($M254:$M$361)&gt;0)),(MAX(AU$44:AU252)+1),IF(OR(($M252="r"),($M252="n"),($M252="g")),"---",AU252)))</f>
        <v>---</v>
      </c>
      <c t="str" s="142" r="AV253">
        <f>IF((COUNTA($M253:$M$361)=0),"---",IF(AND(($M253="n"),(COUNTA($M254:$M$361)&gt;0)),(MAX(AV$44:AV252)+1),IF(OR(($M252="r"),($M252="p"),($M252="g")),"---",AV252)))</f>
        <v>---</v>
      </c>
      <c t="str" s="142" r="AW253">
        <f>IF((COUNTA($M253:$M$361)=0),"---",IF(AND(($M253="g"),(COUNTA($M254:$M$361)&gt;0)),(MAX(AW$44:AW252)+1),IF(OR(($M252="r"),($M252="p"),($M252="n")),"---",AW252)))</f>
        <v>---</v>
      </c>
      <c s="676" r="AX253">
        <f>IF((M253="p"),(1+MAX(AX$44:AX252)),0)</f>
        <v>0</v>
      </c>
      <c s="51" r="AY253"/>
      <c s="761" r="AZ253"/>
      <c s="761" r="BA253"/>
      <c s="125" r="BB253"/>
      <c s="125" r="BC253"/>
      <c s="125" r="BD253"/>
      <c s="125" r="BE253"/>
      <c s="125" r="BF253"/>
      <c s="125" r="BG253"/>
      <c s="125" r="BH253"/>
      <c s="125" r="BI253"/>
    </row>
    <row r="254">
      <c s="125" r="A254"/>
      <c s="125" r="B254"/>
      <c s="125" r="C254"/>
      <c s="125" r="D254"/>
      <c s="125" r="E254"/>
      <c s="125" r="F254"/>
      <c s="125" r="G254"/>
      <c s="125" r="H254"/>
      <c s="125" r="I254"/>
      <c s="822" r="J254"/>
      <c s="429" r="K254"/>
      <c s="458" r="L254"/>
      <c s="104" r="M254"/>
      <c s="458" r="N254"/>
      <c t="str" s="589" r="O254">
        <f>IF((AH$28=2),IF(ISBLANK(N254),O253,N254),IF(ISNUMBER(N254),(MAX(O$44:O253)+N254),O253))</f>
        <v/>
      </c>
      <c s="228" r="P254"/>
      <c s="273" r="Q254">
        <f>IF(ISNUMBER(P254),((Q253+P254)-R253),Q253)</f>
        <v>100</v>
      </c>
      <c s="228" r="R254"/>
      <c s="610" r="S254"/>
      <c s="458" r="T254"/>
      <c s="458" r="U254"/>
      <c s="458" r="V254"/>
      <c s="458" r="W254"/>
      <c s="458" r="X254"/>
      <c s="458" r="Y254"/>
      <c t="str" s="620" r="Z254">
        <f>IF(ISNUMBER(S254),(Q254-S254),NA())</f>
        <v>#N/A:explicit</v>
      </c>
      <c t="str" s="620" r="AA254">
        <f>IF(ISNUMBER(T254),IF((AH$22=1),(Z254+T254),(Q254-T254)),NA())</f>
        <v>#N/A:explicit</v>
      </c>
      <c t="str" s="620" r="AB254">
        <f>IF(ISNUMBER(U254),(Q254-U254),NA())</f>
        <v>#N/A:explicit</v>
      </c>
      <c t="str" s="620" r="AC254">
        <f>IF(ISNUMBER(V254),(Q254-V254),NA())</f>
        <v>#N/A:explicit</v>
      </c>
      <c t="str" s="620" r="AD254">
        <f>IF(ISNUMBER(W254),(Q254-W254),NA())</f>
        <v>#N/A:explicit</v>
      </c>
      <c t="str" s="620" r="AE254">
        <f>IF(ISNUMBER(X254),(Q254-X254),NA())</f>
        <v>#N/A:explicit</v>
      </c>
      <c t="str" s="552" r="AF254">
        <f>IF(ISNUMBER(Z254),Z254,"---")</f>
        <v>---</v>
      </c>
      <c s="142" r="AG254"/>
      <c t="str" s="142" r="AH254">
        <f>IF(ISBLANK(L254),NA(),MIN(AF$44:AF$361))</f>
        <v>#N/A:explicit</v>
      </c>
      <c t="str" s="142" r="AI254">
        <f>IF(ISNA(AA254),Z254,AA254)</f>
        <v>#N/A:explicit</v>
      </c>
      <c s="142" r="AJ254">
        <f>MIN(AF$44:AF$361)</f>
        <v>0</v>
      </c>
      <c s="142" r="AK254"/>
      <c t="str" s="142" r="AL254">
        <f>IF(ISNUMBER(AB254),O254,"---")</f>
        <v>---</v>
      </c>
      <c t="str" s="80" r="AM254">
        <f>IF(ISNUMBER(AB254),AB254,"---")</f>
        <v>---</v>
      </c>
      <c s="80" r="AN254"/>
      <c t="str" s="142" r="AO254">
        <f>IF((M254="r"),Z254,NA())</f>
        <v>#N/A:explicit</v>
      </c>
      <c t="str" s="142" r="AP254">
        <f>IF((M254="p"),Z254,NA())</f>
        <v>#N/A:explicit</v>
      </c>
      <c t="str" s="142" r="AQ254">
        <f>IF((M254="n"),Z254,NA())</f>
        <v>#N/A:explicit</v>
      </c>
      <c t="str" s="142" r="AR254">
        <f>IF((M254="g"),Z254,NA())</f>
        <v>#N/A:explicit</v>
      </c>
      <c s="142" r="AS254"/>
      <c t="str" s="142" r="AT254">
        <f>IF((COUNTA($M254:$M$361)=0),"---",IF(AND(($M254="r"),(COUNTA($M255:$M$361)&gt;0)),(MAX(AT$44:AT253)+1),IF(OR(($M253="p"),($M253="n"),($M253="g")),"---",AT253)))</f>
        <v>---</v>
      </c>
      <c t="str" s="142" r="AU254">
        <f>IF((COUNTA($M254:$M$361)=0),"---",IF(AND(($M254="p"),(COUNTA($M255:$M$361)&gt;0)),(MAX(AU$44:AU253)+1),IF(OR(($M253="r"),($M253="n"),($M253="g")),"---",AU253)))</f>
        <v>---</v>
      </c>
      <c t="str" s="142" r="AV254">
        <f>IF((COUNTA($M254:$M$361)=0),"---",IF(AND(($M254="n"),(COUNTA($M255:$M$361)&gt;0)),(MAX(AV$44:AV253)+1),IF(OR(($M253="r"),($M253="p"),($M253="g")),"---",AV253)))</f>
        <v>---</v>
      </c>
      <c t="str" s="142" r="AW254">
        <f>IF((COUNTA($M254:$M$361)=0),"---",IF(AND(($M254="g"),(COUNTA($M255:$M$361)&gt;0)),(MAX(AW$44:AW253)+1),IF(OR(($M253="r"),($M253="p"),($M253="n")),"---",AW253)))</f>
        <v>---</v>
      </c>
      <c s="676" r="AX254">
        <f>IF((M254="p"),(1+MAX(AX$44:AX253)),0)</f>
        <v>0</v>
      </c>
      <c s="51" r="AY254"/>
      <c s="761" r="AZ254"/>
      <c s="761" r="BA254"/>
      <c s="125" r="BB254"/>
      <c s="125" r="BC254"/>
      <c s="125" r="BD254"/>
      <c s="125" r="BE254"/>
      <c s="125" r="BF254"/>
      <c s="125" r="BG254"/>
      <c s="125" r="BH254"/>
      <c s="125" r="BI254"/>
    </row>
    <row r="255">
      <c s="125" r="A255"/>
      <c s="125" r="B255"/>
      <c s="125" r="C255"/>
      <c s="125" r="D255"/>
      <c s="125" r="E255"/>
      <c s="125" r="F255"/>
      <c s="125" r="G255"/>
      <c s="125" r="H255"/>
      <c s="125" r="I255"/>
      <c s="822" r="J255"/>
      <c s="848" r="K255"/>
      <c s="550" r="L255"/>
      <c s="104" r="M255"/>
      <c s="550" r="N255"/>
      <c t="str" s="589" r="O255">
        <f>IF((AH$28=2),IF(ISBLANK(N255),O254,N255),IF(ISNUMBER(N255),(MAX(O$44:O254)+N255),O254))</f>
        <v/>
      </c>
      <c s="694" r="P255"/>
      <c s="273" r="Q255">
        <f>IF(ISNUMBER(P255),((Q254+P255)-R254),Q254)</f>
        <v>100</v>
      </c>
      <c s="694" r="R255"/>
      <c s="821" r="S255"/>
      <c s="550" r="T255"/>
      <c s="550" r="U255"/>
      <c s="550" r="V255"/>
      <c s="550" r="W255"/>
      <c s="550" r="X255"/>
      <c s="550" r="Y255"/>
      <c t="str" s="470" r="Z255">
        <f>IF(ISNUMBER(S255),(Q255-S255),NA())</f>
        <v>#N/A:explicit</v>
      </c>
      <c t="str" s="470" r="AA255">
        <f>IF(ISNUMBER(T255),IF((AH$22=1),(Z255+T255),(Q255-T255)),NA())</f>
        <v>#N/A:explicit</v>
      </c>
      <c t="str" s="470" r="AB255">
        <f>IF(ISNUMBER(U255),(Q255-U255),NA())</f>
        <v>#N/A:explicit</v>
      </c>
      <c t="str" s="470" r="AC255">
        <f>IF(ISNUMBER(V255),(Q255-V255),NA())</f>
        <v>#N/A:explicit</v>
      </c>
      <c t="str" s="470" r="AD255">
        <f>IF(ISNUMBER(W255),(Q255-W255),NA())</f>
        <v>#N/A:explicit</v>
      </c>
      <c t="str" s="470" r="AE255">
        <f>IF(ISNUMBER(X255),(Q255-X255),NA())</f>
        <v>#N/A:explicit</v>
      </c>
      <c t="str" s="552" r="AF255">
        <f>IF(ISNUMBER(Z255),Z255,"---")</f>
        <v>---</v>
      </c>
      <c s="142" r="AG255"/>
      <c t="str" s="142" r="AH255">
        <f>IF(ISBLANK(L255),NA(),MIN(AF$44:AF$361))</f>
        <v>#N/A:explicit</v>
      </c>
      <c t="str" s="142" r="AI255">
        <f>IF(ISNA(AA255),Z255,AA255)</f>
        <v>#N/A:explicit</v>
      </c>
      <c s="142" r="AJ255">
        <f>MIN(AF$44:AF$361)</f>
        <v>0</v>
      </c>
      <c s="142" r="AK255"/>
      <c t="str" s="142" r="AL255">
        <f>IF(ISNUMBER(AB255),O255,"---")</f>
        <v>---</v>
      </c>
      <c t="str" s="80" r="AM255">
        <f>IF(ISNUMBER(AB255),AB255,"---")</f>
        <v>---</v>
      </c>
      <c s="80" r="AN255"/>
      <c t="str" s="142" r="AO255">
        <f>IF((M255="r"),Z255,NA())</f>
        <v>#N/A:explicit</v>
      </c>
      <c t="str" s="142" r="AP255">
        <f>IF((M255="p"),Z255,NA())</f>
        <v>#N/A:explicit</v>
      </c>
      <c t="str" s="142" r="AQ255">
        <f>IF((M255="n"),Z255,NA())</f>
        <v>#N/A:explicit</v>
      </c>
      <c t="str" s="142" r="AR255">
        <f>IF((M255="g"),Z255,NA())</f>
        <v>#N/A:explicit</v>
      </c>
      <c s="142" r="AS255"/>
      <c t="str" s="142" r="AT255">
        <f>IF((COUNTA($M255:$M$361)=0),"---",IF(AND(($M255="r"),(COUNTA($M256:$M$361)&gt;0)),(MAX(AT$44:AT254)+1),IF(OR(($M254="p"),($M254="n"),($M254="g")),"---",AT254)))</f>
        <v>---</v>
      </c>
      <c t="str" s="142" r="AU255">
        <f>IF((COUNTA($M255:$M$361)=0),"---",IF(AND(($M255="p"),(COUNTA($M256:$M$361)&gt;0)),(MAX(AU$44:AU254)+1),IF(OR(($M254="r"),($M254="n"),($M254="g")),"---",AU254)))</f>
        <v>---</v>
      </c>
      <c t="str" s="142" r="AV255">
        <f>IF((COUNTA($M255:$M$361)=0),"---",IF(AND(($M255="n"),(COUNTA($M256:$M$361)&gt;0)),(MAX(AV$44:AV254)+1),IF(OR(($M254="r"),($M254="p"),($M254="g")),"---",AV254)))</f>
        <v>---</v>
      </c>
      <c t="str" s="142" r="AW255">
        <f>IF((COUNTA($M255:$M$361)=0),"---",IF(AND(($M255="g"),(COUNTA($M256:$M$361)&gt;0)),(MAX(AW$44:AW254)+1),IF(OR(($M254="r"),($M254="p"),($M254="n")),"---",AW254)))</f>
        <v>---</v>
      </c>
      <c s="676" r="AX255">
        <f>IF((M255="p"),(1+MAX(AX$44:AX254)),0)</f>
        <v>0</v>
      </c>
      <c s="51" r="AY255"/>
      <c s="761" r="AZ255"/>
      <c s="761" r="BA255"/>
      <c s="125" r="BB255"/>
      <c s="125" r="BC255"/>
      <c s="125" r="BD255"/>
      <c s="125" r="BE255"/>
      <c s="125" r="BF255"/>
      <c s="125" r="BG255"/>
      <c s="125" r="BH255"/>
      <c s="125" r="BI255"/>
    </row>
    <row r="256">
      <c s="125" r="A256"/>
      <c s="125" r="B256"/>
      <c s="125" r="C256"/>
      <c s="125" r="D256"/>
      <c s="125" r="E256"/>
      <c s="125" r="F256"/>
      <c s="125" r="G256"/>
      <c s="125" r="H256"/>
      <c s="125" r="I256"/>
      <c s="822" r="J256"/>
      <c s="848" r="K256"/>
      <c s="550" r="L256"/>
      <c s="104" r="M256"/>
      <c s="550" r="N256"/>
      <c t="str" s="589" r="O256">
        <f>IF((AH$28=2),IF(ISBLANK(N256),O255,N256),IF(ISNUMBER(N256),(MAX(O$44:O255)+N256),O255))</f>
        <v/>
      </c>
      <c s="694" r="P256"/>
      <c s="273" r="Q256">
        <f>IF(ISNUMBER(P256),((Q255+P256)-R255),Q255)</f>
        <v>100</v>
      </c>
      <c s="694" r="R256"/>
      <c s="821" r="S256"/>
      <c s="550" r="T256"/>
      <c s="550" r="U256"/>
      <c s="550" r="V256"/>
      <c s="550" r="W256"/>
      <c s="550" r="X256"/>
      <c s="550" r="Y256"/>
      <c t="str" s="470" r="Z256">
        <f>IF(ISNUMBER(S256),(Q256-S256),NA())</f>
        <v>#N/A:explicit</v>
      </c>
      <c t="str" s="470" r="AA256">
        <f>IF(ISNUMBER(T256),IF((AH$22=1),(Z256+T256),(Q256-T256)),NA())</f>
        <v>#N/A:explicit</v>
      </c>
      <c t="str" s="470" r="AB256">
        <f>IF(ISNUMBER(U256),(Q256-U256),NA())</f>
        <v>#N/A:explicit</v>
      </c>
      <c t="str" s="470" r="AC256">
        <f>IF(ISNUMBER(V256),(Q256-V256),NA())</f>
        <v>#N/A:explicit</v>
      </c>
      <c t="str" s="470" r="AD256">
        <f>IF(ISNUMBER(W256),(Q256-W256),NA())</f>
        <v>#N/A:explicit</v>
      </c>
      <c t="str" s="470" r="AE256">
        <f>IF(ISNUMBER(X256),(Q256-X256),NA())</f>
        <v>#N/A:explicit</v>
      </c>
      <c t="str" s="552" r="AF256">
        <f>IF(ISNUMBER(Z256),Z256,"---")</f>
        <v>---</v>
      </c>
      <c s="142" r="AG256"/>
      <c t="str" s="142" r="AH256">
        <f>IF(ISBLANK(L256),NA(),MIN(AF$44:AF$361))</f>
        <v>#N/A:explicit</v>
      </c>
      <c t="str" s="142" r="AI256">
        <f>IF(ISNA(AA256),Z256,AA256)</f>
        <v>#N/A:explicit</v>
      </c>
      <c s="142" r="AJ256">
        <f>MIN(AF$44:AF$361)</f>
        <v>0</v>
      </c>
      <c s="142" r="AK256"/>
      <c t="str" s="142" r="AL256">
        <f>IF(ISNUMBER(AB256),O256,"---")</f>
        <v>---</v>
      </c>
      <c t="str" s="80" r="AM256">
        <f>IF(ISNUMBER(AB256),AB256,"---")</f>
        <v>---</v>
      </c>
      <c s="80" r="AN256"/>
      <c t="str" s="142" r="AO256">
        <f>IF((M256="r"),Z256,NA())</f>
        <v>#N/A:explicit</v>
      </c>
      <c t="str" s="142" r="AP256">
        <f>IF((M256="p"),Z256,NA())</f>
        <v>#N/A:explicit</v>
      </c>
      <c t="str" s="142" r="AQ256">
        <f>IF((M256="n"),Z256,NA())</f>
        <v>#N/A:explicit</v>
      </c>
      <c t="str" s="142" r="AR256">
        <f>IF((M256="g"),Z256,NA())</f>
        <v>#N/A:explicit</v>
      </c>
      <c s="142" r="AS256"/>
      <c t="str" s="142" r="AT256">
        <f>IF((COUNTA($M256:$M$361)=0),"---",IF(AND(($M256="r"),(COUNTA($M257:$M$361)&gt;0)),(MAX(AT$44:AT255)+1),IF(OR(($M255="p"),($M255="n"),($M255="g")),"---",AT255)))</f>
        <v>---</v>
      </c>
      <c t="str" s="142" r="AU256">
        <f>IF((COUNTA($M256:$M$361)=0),"---",IF(AND(($M256="p"),(COUNTA($M257:$M$361)&gt;0)),(MAX(AU$44:AU255)+1),IF(OR(($M255="r"),($M255="n"),($M255="g")),"---",AU255)))</f>
        <v>---</v>
      </c>
      <c t="str" s="142" r="AV256">
        <f>IF((COUNTA($M256:$M$361)=0),"---",IF(AND(($M256="n"),(COUNTA($M257:$M$361)&gt;0)),(MAX(AV$44:AV255)+1),IF(OR(($M255="r"),($M255="p"),($M255="g")),"---",AV255)))</f>
        <v>---</v>
      </c>
      <c t="str" s="142" r="AW256">
        <f>IF((COUNTA($M256:$M$361)=0),"---",IF(AND(($M256="g"),(COUNTA($M257:$M$361)&gt;0)),(MAX(AW$44:AW255)+1),IF(OR(($M255="r"),($M255="p"),($M255="n")),"---",AW255)))</f>
        <v>---</v>
      </c>
      <c s="676" r="AX256">
        <f>IF((M256="p"),(1+MAX(AX$44:AX255)),0)</f>
        <v>0</v>
      </c>
      <c s="51" r="AY256"/>
      <c s="761" r="AZ256"/>
      <c s="761" r="BA256"/>
      <c s="125" r="BB256"/>
      <c s="125" r="BC256"/>
      <c s="125" r="BD256"/>
      <c s="125" r="BE256"/>
      <c s="125" r="BF256"/>
      <c s="125" r="BG256"/>
      <c s="125" r="BH256"/>
      <c s="125" r="BI256"/>
    </row>
    <row r="257">
      <c s="125" r="A257"/>
      <c s="125" r="B257"/>
      <c s="125" r="C257"/>
      <c s="125" r="D257"/>
      <c s="125" r="E257"/>
      <c s="125" r="F257"/>
      <c s="125" r="G257"/>
      <c s="125" r="H257"/>
      <c s="125" r="I257"/>
      <c s="822" r="J257"/>
      <c s="848" r="K257"/>
      <c s="550" r="L257"/>
      <c s="104" r="M257"/>
      <c s="550" r="N257"/>
      <c t="str" s="589" r="O257">
        <f>IF((AH$28=2),IF(ISBLANK(N257),O256,N257),IF(ISNUMBER(N257),(MAX(O$44:O256)+N257),O256))</f>
        <v/>
      </c>
      <c s="694" r="P257"/>
      <c s="273" r="Q257">
        <f>IF(ISNUMBER(P257),((Q256+P257)-R256),Q256)</f>
        <v>100</v>
      </c>
      <c s="694" r="R257"/>
      <c s="821" r="S257"/>
      <c s="550" r="T257"/>
      <c s="550" r="U257"/>
      <c s="550" r="V257"/>
      <c s="550" r="W257"/>
      <c s="550" r="X257"/>
      <c s="550" r="Y257"/>
      <c t="str" s="470" r="Z257">
        <f>IF(ISNUMBER(S257),(Q257-S257),NA())</f>
        <v>#N/A:explicit</v>
      </c>
      <c t="str" s="470" r="AA257">
        <f>IF(ISNUMBER(T257),IF((AH$22=1),(Z257+T257),(Q257-T257)),NA())</f>
        <v>#N/A:explicit</v>
      </c>
      <c t="str" s="470" r="AB257">
        <f>IF(ISNUMBER(U257),(Q257-U257),NA())</f>
        <v>#N/A:explicit</v>
      </c>
      <c t="str" s="470" r="AC257">
        <f>IF(ISNUMBER(V257),(Q257-V257),NA())</f>
        <v>#N/A:explicit</v>
      </c>
      <c t="str" s="470" r="AD257">
        <f>IF(ISNUMBER(W257),(Q257-W257),NA())</f>
        <v>#N/A:explicit</v>
      </c>
      <c t="str" s="470" r="AE257">
        <f>IF(ISNUMBER(X257),(Q257-X257),NA())</f>
        <v>#N/A:explicit</v>
      </c>
      <c t="str" s="552" r="AF257">
        <f>IF(ISNUMBER(Z257),Z257,"---")</f>
        <v>---</v>
      </c>
      <c s="142" r="AG257"/>
      <c t="str" s="142" r="AH257">
        <f>IF(ISBLANK(L257),NA(),MIN(AF$44:AF$361))</f>
        <v>#N/A:explicit</v>
      </c>
      <c t="str" s="142" r="AI257">
        <f>IF(ISNA(AA257),Z257,AA257)</f>
        <v>#N/A:explicit</v>
      </c>
      <c s="142" r="AJ257">
        <f>MIN(AF$44:AF$361)</f>
        <v>0</v>
      </c>
      <c s="142" r="AK257"/>
      <c t="str" s="142" r="AL257">
        <f>IF(ISNUMBER(AB257),O257,"---")</f>
        <v>---</v>
      </c>
      <c t="str" s="80" r="AM257">
        <f>IF(ISNUMBER(AB257),AB257,"---")</f>
        <v>---</v>
      </c>
      <c s="80" r="AN257"/>
      <c t="str" s="142" r="AO257">
        <f>IF((M257="r"),Z257,NA())</f>
        <v>#N/A:explicit</v>
      </c>
      <c t="str" s="142" r="AP257">
        <f>IF((M257="p"),Z257,NA())</f>
        <v>#N/A:explicit</v>
      </c>
      <c t="str" s="142" r="AQ257">
        <f>IF((M257="n"),Z257,NA())</f>
        <v>#N/A:explicit</v>
      </c>
      <c t="str" s="142" r="AR257">
        <f>IF((M257="g"),Z257,NA())</f>
        <v>#N/A:explicit</v>
      </c>
      <c s="142" r="AS257"/>
      <c t="str" s="142" r="AT257">
        <f>IF((COUNTA($M257:$M$361)=0),"---",IF(AND(($M257="r"),(COUNTA($M258:$M$361)&gt;0)),(MAX(AT$44:AT256)+1),IF(OR(($M256="p"),($M256="n"),($M256="g")),"---",AT256)))</f>
        <v>---</v>
      </c>
      <c t="str" s="142" r="AU257">
        <f>IF((COUNTA($M257:$M$361)=0),"---",IF(AND(($M257="p"),(COUNTA($M258:$M$361)&gt;0)),(MAX(AU$44:AU256)+1),IF(OR(($M256="r"),($M256="n"),($M256="g")),"---",AU256)))</f>
        <v>---</v>
      </c>
      <c t="str" s="142" r="AV257">
        <f>IF((COUNTA($M257:$M$361)=0),"---",IF(AND(($M257="n"),(COUNTA($M258:$M$361)&gt;0)),(MAX(AV$44:AV256)+1),IF(OR(($M256="r"),($M256="p"),($M256="g")),"---",AV256)))</f>
        <v>---</v>
      </c>
      <c t="str" s="142" r="AW257">
        <f>IF((COUNTA($M257:$M$361)=0),"---",IF(AND(($M257="g"),(COUNTA($M258:$M$361)&gt;0)),(MAX(AW$44:AW256)+1),IF(OR(($M256="r"),($M256="p"),($M256="n")),"---",AW256)))</f>
        <v>---</v>
      </c>
      <c s="676" r="AX257">
        <f>IF((M257="p"),(1+MAX(AX$44:AX256)),0)</f>
        <v>0</v>
      </c>
      <c s="51" r="AY257"/>
      <c s="761" r="AZ257"/>
      <c s="761" r="BA257"/>
      <c s="125" r="BB257"/>
      <c s="125" r="BC257"/>
      <c s="125" r="BD257"/>
      <c s="125" r="BE257"/>
      <c s="125" r="BF257"/>
      <c s="125" r="BG257"/>
      <c s="125" r="BH257"/>
      <c s="125" r="BI257"/>
    </row>
    <row r="258">
      <c s="125" r="A258"/>
      <c s="125" r="B258"/>
      <c s="125" r="C258"/>
      <c s="125" r="D258"/>
      <c s="125" r="E258"/>
      <c s="125" r="F258"/>
      <c s="125" r="G258"/>
      <c s="125" r="H258"/>
      <c s="125" r="I258"/>
      <c s="822" r="J258"/>
      <c s="429" r="K258"/>
      <c s="458" r="L258"/>
      <c s="104" r="M258"/>
      <c s="458" r="N258"/>
      <c t="str" s="589" r="O258">
        <f>IF((AH$28=2),IF(ISBLANK(N258),O257,N258),IF(ISNUMBER(N258),(MAX(O$44:O257)+N258),O257))</f>
        <v/>
      </c>
      <c s="228" r="P258"/>
      <c s="273" r="Q258">
        <f>IF(ISNUMBER(P258),((Q257+P258)-R257),Q257)</f>
        <v>100</v>
      </c>
      <c s="228" r="R258"/>
      <c s="610" r="S258"/>
      <c s="458" r="T258"/>
      <c s="458" r="U258"/>
      <c s="458" r="V258"/>
      <c s="458" r="W258"/>
      <c s="458" r="X258"/>
      <c s="458" r="Y258"/>
      <c t="str" s="620" r="Z258">
        <f>IF(ISNUMBER(S258),(Q258-S258),NA())</f>
        <v>#N/A:explicit</v>
      </c>
      <c t="str" s="620" r="AA258">
        <f>IF(ISNUMBER(T258),IF((AH$22=1),(Z258+T258),(Q258-T258)),NA())</f>
        <v>#N/A:explicit</v>
      </c>
      <c t="str" s="620" r="AB258">
        <f>IF(ISNUMBER(U258),(Q258-U258),NA())</f>
        <v>#N/A:explicit</v>
      </c>
      <c t="str" s="620" r="AC258">
        <f>IF(ISNUMBER(V258),(Q258-V258),NA())</f>
        <v>#N/A:explicit</v>
      </c>
      <c t="str" s="620" r="AD258">
        <f>IF(ISNUMBER(W258),(Q258-W258),NA())</f>
        <v>#N/A:explicit</v>
      </c>
      <c t="str" s="620" r="AE258">
        <f>IF(ISNUMBER(X258),(Q258-X258),NA())</f>
        <v>#N/A:explicit</v>
      </c>
      <c t="str" s="552" r="AF258">
        <f>IF(ISNUMBER(Z258),Z258,"---")</f>
        <v>---</v>
      </c>
      <c s="142" r="AG258"/>
      <c t="str" s="142" r="AH258">
        <f>IF(ISBLANK(L258),NA(),MIN(AF$44:AF$361))</f>
        <v>#N/A:explicit</v>
      </c>
      <c t="str" s="142" r="AI258">
        <f>IF(ISNA(AA258),Z258,AA258)</f>
        <v>#N/A:explicit</v>
      </c>
      <c s="142" r="AJ258">
        <f>MIN(AF$44:AF$361)</f>
        <v>0</v>
      </c>
      <c s="142" r="AK258"/>
      <c t="str" s="142" r="AL258">
        <f>IF(ISNUMBER(AB258),O258,"---")</f>
        <v>---</v>
      </c>
      <c t="str" s="80" r="AM258">
        <f>IF(ISNUMBER(AB258),AB258,"---")</f>
        <v>---</v>
      </c>
      <c s="80" r="AN258"/>
      <c t="str" s="142" r="AO258">
        <f>IF((M258="r"),Z258,NA())</f>
        <v>#N/A:explicit</v>
      </c>
      <c t="str" s="142" r="AP258">
        <f>IF((M258="p"),Z258,NA())</f>
        <v>#N/A:explicit</v>
      </c>
      <c t="str" s="142" r="AQ258">
        <f>IF((M258="n"),Z258,NA())</f>
        <v>#N/A:explicit</v>
      </c>
      <c t="str" s="142" r="AR258">
        <f>IF((M258="g"),Z258,NA())</f>
        <v>#N/A:explicit</v>
      </c>
      <c s="142" r="AS258"/>
      <c t="str" s="142" r="AT258">
        <f>IF((COUNTA($M258:$M$361)=0),"---",IF(AND(($M258="r"),(COUNTA($M259:$M$361)&gt;0)),(MAX(AT$44:AT257)+1),IF(OR(($M257="p"),($M257="n"),($M257="g")),"---",AT257)))</f>
        <v>---</v>
      </c>
      <c t="str" s="142" r="AU258">
        <f>IF((COUNTA($M258:$M$361)=0),"---",IF(AND(($M258="p"),(COUNTA($M259:$M$361)&gt;0)),(MAX(AU$44:AU257)+1),IF(OR(($M257="r"),($M257="n"),($M257="g")),"---",AU257)))</f>
        <v>---</v>
      </c>
      <c t="str" s="142" r="AV258">
        <f>IF((COUNTA($M258:$M$361)=0),"---",IF(AND(($M258="n"),(COUNTA($M259:$M$361)&gt;0)),(MAX(AV$44:AV257)+1),IF(OR(($M257="r"),($M257="p"),($M257="g")),"---",AV257)))</f>
        <v>---</v>
      </c>
      <c t="str" s="142" r="AW258">
        <f>IF((COUNTA($M258:$M$361)=0),"---",IF(AND(($M258="g"),(COUNTA($M259:$M$361)&gt;0)),(MAX(AW$44:AW257)+1),IF(OR(($M257="r"),($M257="p"),($M257="n")),"---",AW257)))</f>
        <v>---</v>
      </c>
      <c s="676" r="AX258">
        <f>IF((M258="p"),(1+MAX(AX$44:AX257)),0)</f>
        <v>0</v>
      </c>
      <c s="51" r="AY258"/>
      <c s="761" r="AZ258"/>
      <c s="761" r="BA258"/>
      <c s="125" r="BB258"/>
      <c s="125" r="BC258"/>
      <c s="125" r="BD258"/>
      <c s="125" r="BE258"/>
      <c s="125" r="BF258"/>
      <c s="125" r="BG258"/>
      <c s="125" r="BH258"/>
      <c s="125" r="BI258"/>
    </row>
    <row r="259">
      <c s="125" r="A259"/>
      <c s="125" r="B259"/>
      <c s="125" r="C259"/>
      <c s="125" r="D259"/>
      <c s="125" r="E259"/>
      <c s="125" r="F259"/>
      <c s="125" r="G259"/>
      <c s="125" r="H259"/>
      <c s="125" r="I259"/>
      <c s="822" r="J259"/>
      <c s="429" r="K259"/>
      <c s="458" r="L259"/>
      <c s="104" r="M259"/>
      <c s="458" r="N259"/>
      <c t="str" s="589" r="O259">
        <f>IF((AH$28=2),IF(ISBLANK(N259),O258,N259),IF(ISNUMBER(N259),(MAX(O$44:O258)+N259),O258))</f>
        <v/>
      </c>
      <c s="228" r="P259"/>
      <c s="273" r="Q259">
        <f>IF(ISNUMBER(P259),((Q258+P259)-R258),Q258)</f>
        <v>100</v>
      </c>
      <c s="228" r="R259"/>
      <c s="610" r="S259"/>
      <c s="458" r="T259"/>
      <c s="458" r="U259"/>
      <c s="458" r="V259"/>
      <c s="458" r="W259"/>
      <c s="458" r="X259"/>
      <c s="458" r="Y259"/>
      <c t="str" s="620" r="Z259">
        <f>IF(ISNUMBER(S259),(Q259-S259),NA())</f>
        <v>#N/A:explicit</v>
      </c>
      <c t="str" s="620" r="AA259">
        <f>IF(ISNUMBER(T259),IF((AH$22=1),(Z259+T259),(Q259-T259)),NA())</f>
        <v>#N/A:explicit</v>
      </c>
      <c t="str" s="620" r="AB259">
        <f>IF(ISNUMBER(U259),(Q259-U259),NA())</f>
        <v>#N/A:explicit</v>
      </c>
      <c t="str" s="620" r="AC259">
        <f>IF(ISNUMBER(V259),(Q259-V259),NA())</f>
        <v>#N/A:explicit</v>
      </c>
      <c t="str" s="620" r="AD259">
        <f>IF(ISNUMBER(W259),(Q259-W259),NA())</f>
        <v>#N/A:explicit</v>
      </c>
      <c t="str" s="620" r="AE259">
        <f>IF(ISNUMBER(X259),(Q259-X259),NA())</f>
        <v>#N/A:explicit</v>
      </c>
      <c t="str" s="552" r="AF259">
        <f>IF(ISNUMBER(Z259),Z259,"---")</f>
        <v>---</v>
      </c>
      <c s="142" r="AG259"/>
      <c t="str" s="142" r="AH259">
        <f>IF(ISBLANK(L259),NA(),MIN(AF$44:AF$361))</f>
        <v>#N/A:explicit</v>
      </c>
      <c t="str" s="142" r="AI259">
        <f>IF(ISNA(AA259),Z259,AA259)</f>
        <v>#N/A:explicit</v>
      </c>
      <c s="142" r="AJ259">
        <f>MIN(AF$44:AF$361)</f>
        <v>0</v>
      </c>
      <c s="142" r="AK259"/>
      <c t="str" s="142" r="AL259">
        <f>IF(ISNUMBER(AB259),O259,"---")</f>
        <v>---</v>
      </c>
      <c t="str" s="80" r="AM259">
        <f>IF(ISNUMBER(AB259),AB259,"---")</f>
        <v>---</v>
      </c>
      <c s="80" r="AN259"/>
      <c t="str" s="142" r="AO259">
        <f>IF((M259="r"),Z259,NA())</f>
        <v>#N/A:explicit</v>
      </c>
      <c t="str" s="142" r="AP259">
        <f>IF((M259="p"),Z259,NA())</f>
        <v>#N/A:explicit</v>
      </c>
      <c t="str" s="142" r="AQ259">
        <f>IF((M259="n"),Z259,NA())</f>
        <v>#N/A:explicit</v>
      </c>
      <c t="str" s="142" r="AR259">
        <f>IF((M259="g"),Z259,NA())</f>
        <v>#N/A:explicit</v>
      </c>
      <c s="142" r="AS259"/>
      <c t="str" s="142" r="AT259">
        <f>IF((COUNTA($M259:$M$361)=0),"---",IF(AND(($M259="r"),(COUNTA($M260:$M$361)&gt;0)),(MAX(AT$44:AT258)+1),IF(OR(($M258="p"),($M258="n"),($M258="g")),"---",AT258)))</f>
        <v>---</v>
      </c>
      <c t="str" s="142" r="AU259">
        <f>IF((COUNTA($M259:$M$361)=0),"---",IF(AND(($M259="p"),(COUNTA($M260:$M$361)&gt;0)),(MAX(AU$44:AU258)+1),IF(OR(($M258="r"),($M258="n"),($M258="g")),"---",AU258)))</f>
        <v>---</v>
      </c>
      <c t="str" s="142" r="AV259">
        <f>IF((COUNTA($M259:$M$361)=0),"---",IF(AND(($M259="n"),(COUNTA($M260:$M$361)&gt;0)),(MAX(AV$44:AV258)+1),IF(OR(($M258="r"),($M258="p"),($M258="g")),"---",AV258)))</f>
        <v>---</v>
      </c>
      <c t="str" s="142" r="AW259">
        <f>IF((COUNTA($M259:$M$361)=0),"---",IF(AND(($M259="g"),(COUNTA($M260:$M$361)&gt;0)),(MAX(AW$44:AW258)+1),IF(OR(($M258="r"),($M258="p"),($M258="n")),"---",AW258)))</f>
        <v>---</v>
      </c>
      <c s="676" r="AX259">
        <f>IF((M259="p"),(1+MAX(AX$44:AX258)),0)</f>
        <v>0</v>
      </c>
      <c s="51" r="AY259"/>
      <c s="761" r="AZ259"/>
      <c s="761" r="BA259"/>
      <c s="125" r="BB259"/>
      <c s="125" r="BC259"/>
      <c s="125" r="BD259"/>
      <c s="125" r="BE259"/>
      <c s="125" r="BF259"/>
      <c s="125" r="BG259"/>
      <c s="125" r="BH259"/>
      <c s="125" r="BI259"/>
    </row>
    <row r="260">
      <c s="125" r="A260"/>
      <c s="125" r="B260"/>
      <c s="125" r="C260"/>
      <c s="125" r="D260"/>
      <c s="125" r="E260"/>
      <c s="125" r="F260"/>
      <c s="125" r="G260"/>
      <c s="125" r="H260"/>
      <c s="125" r="I260"/>
      <c s="822" r="J260"/>
      <c s="429" r="K260"/>
      <c s="458" r="L260"/>
      <c s="104" r="M260"/>
      <c s="458" r="N260"/>
      <c t="str" s="589" r="O260">
        <f>IF((AH$28=2),IF(ISBLANK(N260),O259,N260),IF(ISNUMBER(N260),(MAX(O$44:O259)+N260),O259))</f>
        <v/>
      </c>
      <c s="228" r="P260"/>
      <c s="273" r="Q260">
        <f>IF(ISNUMBER(P260),((Q259+P260)-R259),Q259)</f>
        <v>100</v>
      </c>
      <c s="228" r="R260"/>
      <c s="610" r="S260"/>
      <c s="458" r="T260"/>
      <c s="458" r="U260"/>
      <c s="458" r="V260"/>
      <c s="458" r="W260"/>
      <c s="458" r="X260"/>
      <c s="458" r="Y260"/>
      <c t="str" s="620" r="Z260">
        <f>IF(ISNUMBER(S260),(Q260-S260),NA())</f>
        <v>#N/A:explicit</v>
      </c>
      <c t="str" s="620" r="AA260">
        <f>IF(ISNUMBER(T260),IF((AH$22=1),(Z260+T260),(Q260-T260)),NA())</f>
        <v>#N/A:explicit</v>
      </c>
      <c t="str" s="620" r="AB260">
        <f>IF(ISNUMBER(U260),(Q260-U260),NA())</f>
        <v>#N/A:explicit</v>
      </c>
      <c t="str" s="620" r="AC260">
        <f>IF(ISNUMBER(V260),(Q260-V260),NA())</f>
        <v>#N/A:explicit</v>
      </c>
      <c t="str" s="620" r="AD260">
        <f>IF(ISNUMBER(W260),(Q260-W260),NA())</f>
        <v>#N/A:explicit</v>
      </c>
      <c t="str" s="620" r="AE260">
        <f>IF(ISNUMBER(X260),(Q260-X260),NA())</f>
        <v>#N/A:explicit</v>
      </c>
      <c t="str" s="552" r="AF260">
        <f>IF(ISNUMBER(Z260),Z260,"---")</f>
        <v>---</v>
      </c>
      <c s="142" r="AG260"/>
      <c t="str" s="142" r="AH260">
        <f>IF(ISBLANK(L260),NA(),MIN(AF$44:AF$361))</f>
        <v>#N/A:explicit</v>
      </c>
      <c t="str" s="142" r="AI260">
        <f>IF(ISNA(AA260),Z260,AA260)</f>
        <v>#N/A:explicit</v>
      </c>
      <c s="142" r="AJ260">
        <f>MIN(AF$44:AF$361)</f>
        <v>0</v>
      </c>
      <c s="142" r="AK260"/>
      <c t="str" s="142" r="AL260">
        <f>IF(ISNUMBER(AB260),O260,"---")</f>
        <v>---</v>
      </c>
      <c t="str" s="80" r="AM260">
        <f>IF(ISNUMBER(AB260),AB260,"---")</f>
        <v>---</v>
      </c>
      <c s="80" r="AN260"/>
      <c t="str" s="142" r="AO260">
        <f>IF((M260="r"),Z260,NA())</f>
        <v>#N/A:explicit</v>
      </c>
      <c t="str" s="142" r="AP260">
        <f>IF((M260="p"),Z260,NA())</f>
        <v>#N/A:explicit</v>
      </c>
      <c t="str" s="142" r="AQ260">
        <f>IF((M260="n"),Z260,NA())</f>
        <v>#N/A:explicit</v>
      </c>
      <c t="str" s="142" r="AR260">
        <f>IF((M260="g"),Z260,NA())</f>
        <v>#N/A:explicit</v>
      </c>
      <c s="142" r="AS260"/>
      <c t="str" s="142" r="AT260">
        <f>IF((COUNTA($M260:$M$361)=0),"---",IF(AND(($M260="r"),(COUNTA($M261:$M$361)&gt;0)),(MAX(AT$44:AT259)+1),IF(OR(($M259="p"),($M259="n"),($M259="g")),"---",AT259)))</f>
        <v>---</v>
      </c>
      <c t="str" s="142" r="AU260">
        <f>IF((COUNTA($M260:$M$361)=0),"---",IF(AND(($M260="p"),(COUNTA($M261:$M$361)&gt;0)),(MAX(AU$44:AU259)+1),IF(OR(($M259="r"),($M259="n"),($M259="g")),"---",AU259)))</f>
        <v>---</v>
      </c>
      <c t="str" s="142" r="AV260">
        <f>IF((COUNTA($M260:$M$361)=0),"---",IF(AND(($M260="n"),(COUNTA($M261:$M$361)&gt;0)),(MAX(AV$44:AV259)+1),IF(OR(($M259="r"),($M259="p"),($M259="g")),"---",AV259)))</f>
        <v>---</v>
      </c>
      <c t="str" s="142" r="AW260">
        <f>IF((COUNTA($M260:$M$361)=0),"---",IF(AND(($M260="g"),(COUNTA($M261:$M$361)&gt;0)),(MAX(AW$44:AW259)+1),IF(OR(($M259="r"),($M259="p"),($M259="n")),"---",AW259)))</f>
        <v>---</v>
      </c>
      <c s="676" r="AX260">
        <f>IF((M260="p"),(1+MAX(AX$44:AX259)),0)</f>
        <v>0</v>
      </c>
      <c s="51" r="AY260"/>
      <c s="761" r="AZ260"/>
      <c s="761" r="BA260"/>
      <c s="125" r="BB260"/>
      <c s="125" r="BC260"/>
      <c s="125" r="BD260"/>
      <c s="125" r="BE260"/>
      <c s="125" r="BF260"/>
      <c s="125" r="BG260"/>
      <c s="125" r="BH260"/>
      <c s="125" r="BI260"/>
    </row>
    <row r="261">
      <c s="125" r="A261"/>
      <c s="125" r="B261"/>
      <c s="125" r="C261"/>
      <c s="125" r="D261"/>
      <c s="125" r="E261"/>
      <c s="125" r="F261"/>
      <c s="125" r="G261"/>
      <c s="125" r="H261"/>
      <c s="125" r="I261"/>
      <c s="822" r="J261"/>
      <c s="848" r="K261"/>
      <c s="550" r="L261"/>
      <c s="104" r="M261"/>
      <c s="550" r="N261"/>
      <c t="str" s="589" r="O261">
        <f>IF((AH$28=2),IF(ISBLANK(N261),O260,N261),IF(ISNUMBER(N261),(MAX(O$44:O260)+N261),O260))</f>
        <v/>
      </c>
      <c s="694" r="P261"/>
      <c s="273" r="Q261">
        <f>IF(ISNUMBER(P261),((Q260+P261)-R260),Q260)</f>
        <v>100</v>
      </c>
      <c s="694" r="R261"/>
      <c s="821" r="S261"/>
      <c s="550" r="T261"/>
      <c s="550" r="U261"/>
      <c s="550" r="V261"/>
      <c s="550" r="W261"/>
      <c s="550" r="X261"/>
      <c s="550" r="Y261"/>
      <c t="str" s="470" r="Z261">
        <f>IF(ISNUMBER(S261),(Q261-S261),NA())</f>
        <v>#N/A:explicit</v>
      </c>
      <c t="str" s="470" r="AA261">
        <f>IF(ISNUMBER(T261),IF((AH$22=1),(Z261+T261),(Q261-T261)),NA())</f>
        <v>#N/A:explicit</v>
      </c>
      <c t="str" s="470" r="AB261">
        <f>IF(ISNUMBER(U261),(Q261-U261),NA())</f>
        <v>#N/A:explicit</v>
      </c>
      <c t="str" s="470" r="AC261">
        <f>IF(ISNUMBER(V261),(Q261-V261),NA())</f>
        <v>#N/A:explicit</v>
      </c>
      <c t="str" s="470" r="AD261">
        <f>IF(ISNUMBER(W261),(Q261-W261),NA())</f>
        <v>#N/A:explicit</v>
      </c>
      <c t="str" s="470" r="AE261">
        <f>IF(ISNUMBER(X261),(Q261-X261),NA())</f>
        <v>#N/A:explicit</v>
      </c>
      <c t="str" s="552" r="AF261">
        <f>IF(ISNUMBER(Z261),Z261,"---")</f>
        <v>---</v>
      </c>
      <c s="142" r="AG261"/>
      <c t="str" s="142" r="AH261">
        <f>IF(ISBLANK(L261),NA(),MIN(AF$44:AF$361))</f>
        <v>#N/A:explicit</v>
      </c>
      <c t="str" s="142" r="AI261">
        <f>IF(ISNA(AA261),Z261,AA261)</f>
        <v>#N/A:explicit</v>
      </c>
      <c s="142" r="AJ261">
        <f>MIN(AF$44:AF$361)</f>
        <v>0</v>
      </c>
      <c s="142" r="AK261"/>
      <c t="str" s="142" r="AL261">
        <f>IF(ISNUMBER(AB261),O261,"---")</f>
        <v>---</v>
      </c>
      <c t="str" s="80" r="AM261">
        <f>IF(ISNUMBER(AB261),AB261,"---")</f>
        <v>---</v>
      </c>
      <c s="80" r="AN261"/>
      <c t="str" s="142" r="AO261">
        <f>IF((M261="r"),Z261,NA())</f>
        <v>#N/A:explicit</v>
      </c>
      <c t="str" s="142" r="AP261">
        <f>IF((M261="p"),Z261,NA())</f>
        <v>#N/A:explicit</v>
      </c>
      <c t="str" s="142" r="AQ261">
        <f>IF((M261="n"),Z261,NA())</f>
        <v>#N/A:explicit</v>
      </c>
      <c t="str" s="142" r="AR261">
        <f>IF((M261="g"),Z261,NA())</f>
        <v>#N/A:explicit</v>
      </c>
      <c s="142" r="AS261"/>
      <c t="str" s="142" r="AT261">
        <f>IF((COUNTA($M261:$M$361)=0),"---",IF(AND(($M261="r"),(COUNTA($M262:$M$361)&gt;0)),(MAX(AT$44:AT260)+1),IF(OR(($M260="p"),($M260="n"),($M260="g")),"---",AT260)))</f>
        <v>---</v>
      </c>
      <c t="str" s="142" r="AU261">
        <f>IF((COUNTA($M261:$M$361)=0),"---",IF(AND(($M261="p"),(COUNTA($M262:$M$361)&gt;0)),(MAX(AU$44:AU260)+1),IF(OR(($M260="r"),($M260="n"),($M260="g")),"---",AU260)))</f>
        <v>---</v>
      </c>
      <c t="str" s="142" r="AV261">
        <f>IF((COUNTA($M261:$M$361)=0),"---",IF(AND(($M261="n"),(COUNTA($M262:$M$361)&gt;0)),(MAX(AV$44:AV260)+1),IF(OR(($M260="r"),($M260="p"),($M260="g")),"---",AV260)))</f>
        <v>---</v>
      </c>
      <c t="str" s="142" r="AW261">
        <f>IF((COUNTA($M261:$M$361)=0),"---",IF(AND(($M261="g"),(COUNTA($M262:$M$361)&gt;0)),(MAX(AW$44:AW260)+1),IF(OR(($M260="r"),($M260="p"),($M260="n")),"---",AW260)))</f>
        <v>---</v>
      </c>
      <c s="676" r="AX261">
        <f>IF((M261="p"),(1+MAX(AX$44:AX260)),0)</f>
        <v>0</v>
      </c>
      <c s="51" r="AY261"/>
      <c s="761" r="AZ261"/>
      <c s="761" r="BA261"/>
      <c s="125" r="BB261"/>
      <c s="125" r="BC261"/>
      <c s="125" r="BD261"/>
      <c s="125" r="BE261"/>
      <c s="125" r="BF261"/>
      <c s="125" r="BG261"/>
      <c s="125" r="BH261"/>
      <c s="125" r="BI261"/>
    </row>
    <row r="262">
      <c s="125" r="A262"/>
      <c s="125" r="B262"/>
      <c s="125" r="C262"/>
      <c s="125" r="D262"/>
      <c s="125" r="E262"/>
      <c s="125" r="F262"/>
      <c s="125" r="G262"/>
      <c s="125" r="H262"/>
      <c s="125" r="I262"/>
      <c s="822" r="J262"/>
      <c s="848" r="K262"/>
      <c s="550" r="L262"/>
      <c s="104" r="M262"/>
      <c s="550" r="N262"/>
      <c t="str" s="589" r="O262">
        <f>IF((AH$28=2),IF(ISBLANK(N262),O261,N262),IF(ISNUMBER(N262),(MAX(O$44:O261)+N262),O261))</f>
        <v/>
      </c>
      <c s="694" r="P262"/>
      <c s="273" r="Q262">
        <f>IF(ISNUMBER(P262),((Q261+P262)-R261),Q261)</f>
        <v>100</v>
      </c>
      <c s="694" r="R262"/>
      <c s="821" r="S262"/>
      <c s="550" r="T262"/>
      <c s="550" r="U262"/>
      <c s="550" r="V262"/>
      <c s="550" r="W262"/>
      <c s="550" r="X262"/>
      <c s="550" r="Y262"/>
      <c t="str" s="470" r="Z262">
        <f>IF(ISNUMBER(S262),(Q262-S262),NA())</f>
        <v>#N/A:explicit</v>
      </c>
      <c t="str" s="470" r="AA262">
        <f>IF(ISNUMBER(T262),IF((AH$22=1),(Z262+T262),(Q262-T262)),NA())</f>
        <v>#N/A:explicit</v>
      </c>
      <c t="str" s="470" r="AB262">
        <f>IF(ISNUMBER(U262),(Q262-U262),NA())</f>
        <v>#N/A:explicit</v>
      </c>
      <c t="str" s="470" r="AC262">
        <f>IF(ISNUMBER(V262),(Q262-V262),NA())</f>
        <v>#N/A:explicit</v>
      </c>
      <c t="str" s="470" r="AD262">
        <f>IF(ISNUMBER(W262),(Q262-W262),NA())</f>
        <v>#N/A:explicit</v>
      </c>
      <c t="str" s="470" r="AE262">
        <f>IF(ISNUMBER(X262),(Q262-X262),NA())</f>
        <v>#N/A:explicit</v>
      </c>
      <c t="str" s="552" r="AF262">
        <f>IF(ISNUMBER(Z262),Z262,"---")</f>
        <v>---</v>
      </c>
      <c s="142" r="AG262"/>
      <c t="str" s="142" r="AH262">
        <f>IF(ISBLANK(L262),NA(),MIN(AF$44:AF$361))</f>
        <v>#N/A:explicit</v>
      </c>
      <c t="str" s="142" r="AI262">
        <f>IF(ISNA(AA262),Z262,AA262)</f>
        <v>#N/A:explicit</v>
      </c>
      <c s="142" r="AJ262">
        <f>MIN(AF$44:AF$361)</f>
        <v>0</v>
      </c>
      <c s="142" r="AK262"/>
      <c t="str" s="142" r="AL262">
        <f>IF(ISNUMBER(AB262),O262,"---")</f>
        <v>---</v>
      </c>
      <c t="str" s="80" r="AM262">
        <f>IF(ISNUMBER(AB262),AB262,"---")</f>
        <v>---</v>
      </c>
      <c s="80" r="AN262"/>
      <c t="str" s="142" r="AO262">
        <f>IF((M262="r"),Z262,NA())</f>
        <v>#N/A:explicit</v>
      </c>
      <c t="str" s="142" r="AP262">
        <f>IF((M262="p"),Z262,NA())</f>
        <v>#N/A:explicit</v>
      </c>
      <c t="str" s="142" r="AQ262">
        <f>IF((M262="n"),Z262,NA())</f>
        <v>#N/A:explicit</v>
      </c>
      <c t="str" s="142" r="AR262">
        <f>IF((M262="g"),Z262,NA())</f>
        <v>#N/A:explicit</v>
      </c>
      <c s="142" r="AS262"/>
      <c t="str" s="142" r="AT262">
        <f>IF((COUNTA($M262:$M$361)=0),"---",IF(AND(($M262="r"),(COUNTA($M263:$M$361)&gt;0)),(MAX(AT$44:AT261)+1),IF(OR(($M261="p"),($M261="n"),($M261="g")),"---",AT261)))</f>
        <v>---</v>
      </c>
      <c t="str" s="142" r="AU262">
        <f>IF((COUNTA($M262:$M$361)=0),"---",IF(AND(($M262="p"),(COUNTA($M263:$M$361)&gt;0)),(MAX(AU$44:AU261)+1),IF(OR(($M261="r"),($M261="n"),($M261="g")),"---",AU261)))</f>
        <v>---</v>
      </c>
      <c t="str" s="142" r="AV262">
        <f>IF((COUNTA($M262:$M$361)=0),"---",IF(AND(($M262="n"),(COUNTA($M263:$M$361)&gt;0)),(MAX(AV$44:AV261)+1),IF(OR(($M261="r"),($M261="p"),($M261="g")),"---",AV261)))</f>
        <v>---</v>
      </c>
      <c t="str" s="142" r="AW262">
        <f>IF((COUNTA($M262:$M$361)=0),"---",IF(AND(($M262="g"),(COUNTA($M263:$M$361)&gt;0)),(MAX(AW$44:AW261)+1),IF(OR(($M261="r"),($M261="p"),($M261="n")),"---",AW261)))</f>
        <v>---</v>
      </c>
      <c s="676" r="AX262">
        <f>IF((M262="p"),(1+MAX(AX$44:AX261)),0)</f>
        <v>0</v>
      </c>
      <c s="51" r="AY262"/>
      <c s="761" r="AZ262"/>
      <c s="761" r="BA262"/>
      <c s="125" r="BB262"/>
      <c s="125" r="BC262"/>
      <c s="125" r="BD262"/>
      <c s="125" r="BE262"/>
      <c s="125" r="BF262"/>
      <c s="125" r="BG262"/>
      <c s="125" r="BH262"/>
      <c s="125" r="BI262"/>
    </row>
    <row r="263">
      <c s="125" r="A263"/>
      <c s="125" r="B263"/>
      <c s="125" r="C263"/>
      <c s="125" r="D263"/>
      <c s="125" r="E263"/>
      <c s="125" r="F263"/>
      <c s="125" r="G263"/>
      <c s="125" r="H263"/>
      <c s="125" r="I263"/>
      <c s="822" r="J263"/>
      <c s="848" r="K263"/>
      <c s="550" r="L263"/>
      <c s="104" r="M263"/>
      <c s="550" r="N263"/>
      <c t="str" s="589" r="O263">
        <f>IF((AH$28=2),IF(ISBLANK(N263),O262,N263),IF(ISNUMBER(N263),(MAX(O$44:O262)+N263),O262))</f>
        <v/>
      </c>
      <c s="694" r="P263"/>
      <c s="273" r="Q263">
        <f>IF(ISNUMBER(P263),((Q262+P263)-R262),Q262)</f>
        <v>100</v>
      </c>
      <c s="694" r="R263"/>
      <c s="821" r="S263"/>
      <c s="550" r="T263"/>
      <c s="550" r="U263"/>
      <c s="550" r="V263"/>
      <c s="550" r="W263"/>
      <c s="550" r="X263"/>
      <c s="550" r="Y263"/>
      <c t="str" s="470" r="Z263">
        <f>IF(ISNUMBER(S263),(Q263-S263),NA())</f>
        <v>#N/A:explicit</v>
      </c>
      <c t="str" s="470" r="AA263">
        <f>IF(ISNUMBER(T263),IF((AH$22=1),(Z263+T263),(Q263-T263)),NA())</f>
        <v>#N/A:explicit</v>
      </c>
      <c t="str" s="470" r="AB263">
        <f>IF(ISNUMBER(U263),(Q263-U263),NA())</f>
        <v>#N/A:explicit</v>
      </c>
      <c t="str" s="470" r="AC263">
        <f>IF(ISNUMBER(V263),(Q263-V263),NA())</f>
        <v>#N/A:explicit</v>
      </c>
      <c t="str" s="470" r="AD263">
        <f>IF(ISNUMBER(W263),(Q263-W263),NA())</f>
        <v>#N/A:explicit</v>
      </c>
      <c t="str" s="470" r="AE263">
        <f>IF(ISNUMBER(X263),(Q263-X263),NA())</f>
        <v>#N/A:explicit</v>
      </c>
      <c t="str" s="552" r="AF263">
        <f>IF(ISNUMBER(Z263),Z263,"---")</f>
        <v>---</v>
      </c>
      <c s="142" r="AG263"/>
      <c t="str" s="142" r="AH263">
        <f>IF(ISBLANK(L263),NA(),MIN(AF$44:AF$361))</f>
        <v>#N/A:explicit</v>
      </c>
      <c t="str" s="142" r="AI263">
        <f>IF(ISNA(AA263),Z263,AA263)</f>
        <v>#N/A:explicit</v>
      </c>
      <c s="142" r="AJ263">
        <f>MIN(AF$44:AF$361)</f>
        <v>0</v>
      </c>
      <c s="142" r="AK263"/>
      <c t="str" s="142" r="AL263">
        <f>IF(ISNUMBER(AB263),O263,"---")</f>
        <v>---</v>
      </c>
      <c t="str" s="80" r="AM263">
        <f>IF(ISNUMBER(AB263),AB263,"---")</f>
        <v>---</v>
      </c>
      <c s="80" r="AN263"/>
      <c t="str" s="142" r="AO263">
        <f>IF((M263="r"),Z263,NA())</f>
        <v>#N/A:explicit</v>
      </c>
      <c t="str" s="142" r="AP263">
        <f>IF((M263="p"),Z263,NA())</f>
        <v>#N/A:explicit</v>
      </c>
      <c t="str" s="142" r="AQ263">
        <f>IF((M263="n"),Z263,NA())</f>
        <v>#N/A:explicit</v>
      </c>
      <c t="str" s="142" r="AR263">
        <f>IF((M263="g"),Z263,NA())</f>
        <v>#N/A:explicit</v>
      </c>
      <c s="142" r="AS263"/>
      <c t="str" s="142" r="AT263">
        <f>IF((COUNTA($M263:$M$361)=0),"---",IF(AND(($M263="r"),(COUNTA($M264:$M$361)&gt;0)),(MAX(AT$44:AT262)+1),IF(OR(($M262="p"),($M262="n"),($M262="g")),"---",AT262)))</f>
        <v>---</v>
      </c>
      <c t="str" s="142" r="AU263">
        <f>IF((COUNTA($M263:$M$361)=0),"---",IF(AND(($M263="p"),(COUNTA($M264:$M$361)&gt;0)),(MAX(AU$44:AU262)+1),IF(OR(($M262="r"),($M262="n"),($M262="g")),"---",AU262)))</f>
        <v>---</v>
      </c>
      <c t="str" s="142" r="AV263">
        <f>IF((COUNTA($M263:$M$361)=0),"---",IF(AND(($M263="n"),(COUNTA($M264:$M$361)&gt;0)),(MAX(AV$44:AV262)+1),IF(OR(($M262="r"),($M262="p"),($M262="g")),"---",AV262)))</f>
        <v>---</v>
      </c>
      <c t="str" s="142" r="AW263">
        <f>IF((COUNTA($M263:$M$361)=0),"---",IF(AND(($M263="g"),(COUNTA($M264:$M$361)&gt;0)),(MAX(AW$44:AW262)+1),IF(OR(($M262="r"),($M262="p"),($M262="n")),"---",AW262)))</f>
        <v>---</v>
      </c>
      <c s="676" r="AX263">
        <f>IF((M263="p"),(1+MAX(AX$44:AX262)),0)</f>
        <v>0</v>
      </c>
      <c s="51" r="AY263"/>
      <c s="761" r="AZ263"/>
      <c s="761" r="BA263"/>
      <c s="125" r="BB263"/>
      <c s="125" r="BC263"/>
      <c s="125" r="BD263"/>
      <c s="125" r="BE263"/>
      <c s="125" r="BF263"/>
      <c s="125" r="BG263"/>
      <c s="125" r="BH263"/>
      <c s="125" r="BI263"/>
    </row>
    <row r="264">
      <c s="125" r="A264"/>
      <c s="125" r="B264"/>
      <c s="125" r="C264"/>
      <c s="125" r="D264"/>
      <c s="125" r="E264"/>
      <c s="125" r="F264"/>
      <c s="125" r="G264"/>
      <c s="125" r="H264"/>
      <c s="125" r="I264"/>
      <c s="822" r="J264"/>
      <c s="429" r="K264"/>
      <c s="458" r="L264"/>
      <c s="104" r="M264"/>
      <c s="458" r="N264"/>
      <c t="str" s="589" r="O264">
        <f>IF((AH$28=2),IF(ISBLANK(N264),O263,N264),IF(ISNUMBER(N264),(MAX(O$44:O263)+N264),O263))</f>
        <v/>
      </c>
      <c s="228" r="P264"/>
      <c s="273" r="Q264">
        <f>IF(ISNUMBER(P264),((Q263+P264)-R263),Q263)</f>
        <v>100</v>
      </c>
      <c s="228" r="R264"/>
      <c s="610" r="S264"/>
      <c s="458" r="T264"/>
      <c s="458" r="U264"/>
      <c s="458" r="V264"/>
      <c s="458" r="W264"/>
      <c s="458" r="X264"/>
      <c s="458" r="Y264"/>
      <c t="str" s="620" r="Z264">
        <f>IF(ISNUMBER(S264),(Q264-S264),NA())</f>
        <v>#N/A:explicit</v>
      </c>
      <c t="str" s="620" r="AA264">
        <f>IF(ISNUMBER(T264),IF((AH$22=1),(Z264+T264),(Q264-T264)),NA())</f>
        <v>#N/A:explicit</v>
      </c>
      <c t="str" s="620" r="AB264">
        <f>IF(ISNUMBER(U264),(Q264-U264),NA())</f>
        <v>#N/A:explicit</v>
      </c>
      <c t="str" s="620" r="AC264">
        <f>IF(ISNUMBER(V264),(Q264-V264),NA())</f>
        <v>#N/A:explicit</v>
      </c>
      <c t="str" s="620" r="AD264">
        <f>IF(ISNUMBER(W264),(Q264-W264),NA())</f>
        <v>#N/A:explicit</v>
      </c>
      <c t="str" s="620" r="AE264">
        <f>IF(ISNUMBER(X264),(Q264-X264),NA())</f>
        <v>#N/A:explicit</v>
      </c>
      <c t="str" s="552" r="AF264">
        <f>IF(ISNUMBER(Z264),Z264,"---")</f>
        <v>---</v>
      </c>
      <c s="142" r="AG264"/>
      <c t="str" s="142" r="AH264">
        <f>IF(ISBLANK(L264),NA(),MIN(AF$44:AF$361))</f>
        <v>#N/A:explicit</v>
      </c>
      <c t="str" s="142" r="AI264">
        <f>IF(ISNA(AA264),Z264,AA264)</f>
        <v>#N/A:explicit</v>
      </c>
      <c s="142" r="AJ264">
        <f>MIN(AF$44:AF$361)</f>
        <v>0</v>
      </c>
      <c s="142" r="AK264"/>
      <c t="str" s="142" r="AL264">
        <f>IF(ISNUMBER(AB264),O264,"---")</f>
        <v>---</v>
      </c>
      <c t="str" s="80" r="AM264">
        <f>IF(ISNUMBER(AB264),AB264,"---")</f>
        <v>---</v>
      </c>
      <c s="80" r="AN264"/>
      <c t="str" s="142" r="AO264">
        <f>IF((M264="r"),Z264,NA())</f>
        <v>#N/A:explicit</v>
      </c>
      <c t="str" s="142" r="AP264">
        <f>IF((M264="p"),Z264,NA())</f>
        <v>#N/A:explicit</v>
      </c>
      <c t="str" s="142" r="AQ264">
        <f>IF((M264="n"),Z264,NA())</f>
        <v>#N/A:explicit</v>
      </c>
      <c t="str" s="142" r="AR264">
        <f>IF((M264="g"),Z264,NA())</f>
        <v>#N/A:explicit</v>
      </c>
      <c s="142" r="AS264"/>
      <c t="str" s="142" r="AT264">
        <f>IF((COUNTA($M264:$M$361)=0),"---",IF(AND(($M264="r"),(COUNTA($M265:$M$361)&gt;0)),(MAX(AT$44:AT263)+1),IF(OR(($M263="p"),($M263="n"),($M263="g")),"---",AT263)))</f>
        <v>---</v>
      </c>
      <c t="str" s="142" r="AU264">
        <f>IF((COUNTA($M264:$M$361)=0),"---",IF(AND(($M264="p"),(COUNTA($M265:$M$361)&gt;0)),(MAX(AU$44:AU263)+1),IF(OR(($M263="r"),($M263="n"),($M263="g")),"---",AU263)))</f>
        <v>---</v>
      </c>
      <c t="str" s="142" r="AV264">
        <f>IF((COUNTA($M264:$M$361)=0),"---",IF(AND(($M264="n"),(COUNTA($M265:$M$361)&gt;0)),(MAX(AV$44:AV263)+1),IF(OR(($M263="r"),($M263="p"),($M263="g")),"---",AV263)))</f>
        <v>---</v>
      </c>
      <c t="str" s="142" r="AW264">
        <f>IF((COUNTA($M264:$M$361)=0),"---",IF(AND(($M264="g"),(COUNTA($M265:$M$361)&gt;0)),(MAX(AW$44:AW263)+1),IF(OR(($M263="r"),($M263="p"),($M263="n")),"---",AW263)))</f>
        <v>---</v>
      </c>
      <c s="676" r="AX264">
        <f>IF((M264="p"),(1+MAX(AX$44:AX263)),0)</f>
        <v>0</v>
      </c>
      <c s="51" r="AY264"/>
      <c s="761" r="AZ264"/>
      <c s="761" r="BA264"/>
      <c s="125" r="BB264"/>
      <c s="125" r="BC264"/>
      <c s="125" r="BD264"/>
      <c s="125" r="BE264"/>
      <c s="125" r="BF264"/>
      <c s="125" r="BG264"/>
      <c s="125" r="BH264"/>
      <c s="125" r="BI264"/>
    </row>
    <row r="265">
      <c s="125" r="A265"/>
      <c s="125" r="B265"/>
      <c s="125" r="C265"/>
      <c s="125" r="D265"/>
      <c s="125" r="E265"/>
      <c s="125" r="F265"/>
      <c s="125" r="G265"/>
      <c s="125" r="H265"/>
      <c s="125" r="I265"/>
      <c s="822" r="J265"/>
      <c s="429" r="K265"/>
      <c s="458" r="L265"/>
      <c s="104" r="M265"/>
      <c s="458" r="N265"/>
      <c t="str" s="589" r="O265">
        <f>IF((AH$28=2),IF(ISBLANK(N265),O264,N265),IF(ISNUMBER(N265),(MAX(O$44:O264)+N265),O264))</f>
        <v/>
      </c>
      <c s="228" r="P265"/>
      <c s="273" r="Q265">
        <f>IF(ISNUMBER(P265),((Q264+P265)-R264),Q264)</f>
        <v>100</v>
      </c>
      <c s="228" r="R265"/>
      <c s="610" r="S265"/>
      <c s="458" r="T265"/>
      <c s="458" r="U265"/>
      <c s="458" r="V265"/>
      <c s="458" r="W265"/>
      <c s="458" r="X265"/>
      <c s="458" r="Y265"/>
      <c t="str" s="620" r="Z265">
        <f>IF(ISNUMBER(S265),(Q265-S265),NA())</f>
        <v>#N/A:explicit</v>
      </c>
      <c t="str" s="620" r="AA265">
        <f>IF(ISNUMBER(T265),IF((AH$22=1),(Z265+T265),(Q265-T265)),NA())</f>
        <v>#N/A:explicit</v>
      </c>
      <c t="str" s="620" r="AB265">
        <f>IF(ISNUMBER(U265),(Q265-U265),NA())</f>
        <v>#N/A:explicit</v>
      </c>
      <c t="str" s="620" r="AC265">
        <f>IF(ISNUMBER(V265),(Q265-V265),NA())</f>
        <v>#N/A:explicit</v>
      </c>
      <c t="str" s="620" r="AD265">
        <f>IF(ISNUMBER(W265),(Q265-W265),NA())</f>
        <v>#N/A:explicit</v>
      </c>
      <c t="str" s="620" r="AE265">
        <f>IF(ISNUMBER(X265),(Q265-X265),NA())</f>
        <v>#N/A:explicit</v>
      </c>
      <c t="str" s="552" r="AF265">
        <f>IF(ISNUMBER(Z265),Z265,"---")</f>
        <v>---</v>
      </c>
      <c s="142" r="AG265"/>
      <c t="str" s="142" r="AH265">
        <f>IF(ISBLANK(L265),NA(),MIN(AF$44:AF$361))</f>
        <v>#N/A:explicit</v>
      </c>
      <c t="str" s="142" r="AI265">
        <f>IF(ISNA(AA265),Z265,AA265)</f>
        <v>#N/A:explicit</v>
      </c>
      <c s="142" r="AJ265">
        <f>MIN(AF$44:AF$361)</f>
        <v>0</v>
      </c>
      <c s="142" r="AK265"/>
      <c t="str" s="142" r="AL265">
        <f>IF(ISNUMBER(AB265),O265,"---")</f>
        <v>---</v>
      </c>
      <c t="str" s="80" r="AM265">
        <f>IF(ISNUMBER(AB265),AB265,"---")</f>
        <v>---</v>
      </c>
      <c s="80" r="AN265"/>
      <c t="str" s="142" r="AO265">
        <f>IF((M265="r"),Z265,NA())</f>
        <v>#N/A:explicit</v>
      </c>
      <c t="str" s="142" r="AP265">
        <f>IF((M265="p"),Z265,NA())</f>
        <v>#N/A:explicit</v>
      </c>
      <c t="str" s="142" r="AQ265">
        <f>IF((M265="n"),Z265,NA())</f>
        <v>#N/A:explicit</v>
      </c>
      <c t="str" s="142" r="AR265">
        <f>IF((M265="g"),Z265,NA())</f>
        <v>#N/A:explicit</v>
      </c>
      <c s="142" r="AS265"/>
      <c t="str" s="142" r="AT265">
        <f>IF((COUNTA($M265:$M$361)=0),"---",IF(AND(($M265="r"),(COUNTA($M266:$M$361)&gt;0)),(MAX(AT$44:AT264)+1),IF(OR(($M264="p"),($M264="n"),($M264="g")),"---",AT264)))</f>
        <v>---</v>
      </c>
      <c t="str" s="142" r="AU265">
        <f>IF((COUNTA($M265:$M$361)=0),"---",IF(AND(($M265="p"),(COUNTA($M266:$M$361)&gt;0)),(MAX(AU$44:AU264)+1),IF(OR(($M264="r"),($M264="n"),($M264="g")),"---",AU264)))</f>
        <v>---</v>
      </c>
      <c t="str" s="142" r="AV265">
        <f>IF((COUNTA($M265:$M$361)=0),"---",IF(AND(($M265="n"),(COUNTA($M266:$M$361)&gt;0)),(MAX(AV$44:AV264)+1),IF(OR(($M264="r"),($M264="p"),($M264="g")),"---",AV264)))</f>
        <v>---</v>
      </c>
      <c t="str" s="142" r="AW265">
        <f>IF((COUNTA($M265:$M$361)=0),"---",IF(AND(($M265="g"),(COUNTA($M266:$M$361)&gt;0)),(MAX(AW$44:AW264)+1),IF(OR(($M264="r"),($M264="p"),($M264="n")),"---",AW264)))</f>
        <v>---</v>
      </c>
      <c s="676" r="AX265">
        <f>IF((M265="p"),(1+MAX(AX$44:AX264)),0)</f>
        <v>0</v>
      </c>
      <c s="51" r="AY265"/>
      <c s="761" r="AZ265"/>
      <c s="761" r="BA265"/>
      <c s="125" r="BB265"/>
      <c s="125" r="BC265"/>
      <c s="125" r="BD265"/>
      <c s="125" r="BE265"/>
      <c s="125" r="BF265"/>
      <c s="125" r="BG265"/>
      <c s="125" r="BH265"/>
      <c s="125" r="BI265"/>
    </row>
    <row r="266">
      <c s="125" r="A266"/>
      <c s="125" r="B266"/>
      <c s="125" r="C266"/>
      <c s="125" r="D266"/>
      <c s="125" r="E266"/>
      <c s="125" r="F266"/>
      <c s="125" r="G266"/>
      <c s="125" r="H266"/>
      <c s="125" r="I266"/>
      <c s="822" r="J266"/>
      <c s="429" r="K266"/>
      <c s="458" r="L266"/>
      <c s="104" r="M266"/>
      <c s="458" r="N266"/>
      <c t="str" s="589" r="O266">
        <f>IF((AH$28=2),IF(ISBLANK(N266),O265,N266),IF(ISNUMBER(N266),(MAX(O$44:O265)+N266),O265))</f>
        <v/>
      </c>
      <c s="228" r="P266"/>
      <c s="273" r="Q266">
        <f>IF(ISNUMBER(P266),((Q265+P266)-R265),Q265)</f>
        <v>100</v>
      </c>
      <c s="228" r="R266"/>
      <c s="610" r="S266"/>
      <c s="458" r="T266"/>
      <c s="458" r="U266"/>
      <c s="458" r="V266"/>
      <c s="458" r="W266"/>
      <c s="458" r="X266"/>
      <c s="458" r="Y266"/>
      <c t="str" s="620" r="Z266">
        <f>IF(ISNUMBER(S266),(Q266-S266),NA())</f>
        <v>#N/A:explicit</v>
      </c>
      <c t="str" s="620" r="AA266">
        <f>IF(ISNUMBER(T266),IF((AH$22=1),(Z266+T266),(Q266-T266)),NA())</f>
        <v>#N/A:explicit</v>
      </c>
      <c t="str" s="620" r="AB266">
        <f>IF(ISNUMBER(U266),(Q266-U266),NA())</f>
        <v>#N/A:explicit</v>
      </c>
      <c t="str" s="620" r="AC266">
        <f>IF(ISNUMBER(V266),(Q266-V266),NA())</f>
        <v>#N/A:explicit</v>
      </c>
      <c t="str" s="620" r="AD266">
        <f>IF(ISNUMBER(W266),(Q266-W266),NA())</f>
        <v>#N/A:explicit</v>
      </c>
      <c t="str" s="620" r="AE266">
        <f>IF(ISNUMBER(X266),(Q266-X266),NA())</f>
        <v>#N/A:explicit</v>
      </c>
      <c t="str" s="552" r="AF266">
        <f>IF(ISNUMBER(Z266),Z266,"---")</f>
        <v>---</v>
      </c>
      <c s="142" r="AG266"/>
      <c t="str" s="142" r="AH266">
        <f>IF(ISBLANK(L266),NA(),MIN(AF$44:AF$361))</f>
        <v>#N/A:explicit</v>
      </c>
      <c t="str" s="142" r="AI266">
        <f>IF(ISNA(AA266),Z266,AA266)</f>
        <v>#N/A:explicit</v>
      </c>
      <c s="142" r="AJ266">
        <f>MIN(AF$44:AF$361)</f>
        <v>0</v>
      </c>
      <c s="142" r="AK266"/>
      <c t="str" s="142" r="AL266">
        <f>IF(ISNUMBER(AB266),O266,"---")</f>
        <v>---</v>
      </c>
      <c t="str" s="80" r="AM266">
        <f>IF(ISNUMBER(AB266),AB266,"---")</f>
        <v>---</v>
      </c>
      <c s="80" r="AN266"/>
      <c t="str" s="142" r="AO266">
        <f>IF((M266="r"),Z266,NA())</f>
        <v>#N/A:explicit</v>
      </c>
      <c t="str" s="142" r="AP266">
        <f>IF((M266="p"),Z266,NA())</f>
        <v>#N/A:explicit</v>
      </c>
      <c t="str" s="142" r="AQ266">
        <f>IF((M266="n"),Z266,NA())</f>
        <v>#N/A:explicit</v>
      </c>
      <c t="str" s="142" r="AR266">
        <f>IF((M266="g"),Z266,NA())</f>
        <v>#N/A:explicit</v>
      </c>
      <c s="142" r="AS266"/>
      <c t="str" s="142" r="AT266">
        <f>IF((COUNTA($M266:$M$361)=0),"---",IF(AND(($M266="r"),(COUNTA($M267:$M$361)&gt;0)),(MAX(AT$44:AT265)+1),IF(OR(($M265="p"),($M265="n"),($M265="g")),"---",AT265)))</f>
        <v>---</v>
      </c>
      <c t="str" s="142" r="AU266">
        <f>IF((COUNTA($M266:$M$361)=0),"---",IF(AND(($M266="p"),(COUNTA($M267:$M$361)&gt;0)),(MAX(AU$44:AU265)+1),IF(OR(($M265="r"),($M265="n"),($M265="g")),"---",AU265)))</f>
        <v>---</v>
      </c>
      <c t="str" s="142" r="AV266">
        <f>IF((COUNTA($M266:$M$361)=0),"---",IF(AND(($M266="n"),(COUNTA($M267:$M$361)&gt;0)),(MAX(AV$44:AV265)+1),IF(OR(($M265="r"),($M265="p"),($M265="g")),"---",AV265)))</f>
        <v>---</v>
      </c>
      <c t="str" s="142" r="AW266">
        <f>IF((COUNTA($M266:$M$361)=0),"---",IF(AND(($M266="g"),(COUNTA($M267:$M$361)&gt;0)),(MAX(AW$44:AW265)+1),IF(OR(($M265="r"),($M265="p"),($M265="n")),"---",AW265)))</f>
        <v>---</v>
      </c>
      <c s="676" r="AX266">
        <f>IF((M266="p"),(1+MAX(AX$44:AX265)),0)</f>
        <v>0</v>
      </c>
      <c s="51" r="AY266"/>
      <c s="761" r="AZ266"/>
      <c s="761" r="BA266"/>
      <c s="125" r="BB266"/>
      <c s="125" r="BC266"/>
      <c s="125" r="BD266"/>
      <c s="125" r="BE266"/>
      <c s="125" r="BF266"/>
      <c s="125" r="BG266"/>
      <c s="125" r="BH266"/>
      <c s="125" r="BI266"/>
    </row>
    <row r="267">
      <c s="125" r="A267"/>
      <c s="125" r="B267"/>
      <c s="125" r="C267"/>
      <c s="125" r="D267"/>
      <c s="125" r="E267"/>
      <c s="125" r="F267"/>
      <c s="125" r="G267"/>
      <c s="125" r="H267"/>
      <c s="125" r="I267"/>
      <c s="822" r="J267"/>
      <c s="848" r="K267"/>
      <c s="550" r="L267"/>
      <c s="104" r="M267"/>
      <c s="550" r="N267"/>
      <c t="str" s="589" r="O267">
        <f>IF((AH$28=2),IF(ISBLANK(N267),O266,N267),IF(ISNUMBER(N267),(MAX(O$44:O266)+N267),O266))</f>
        <v/>
      </c>
      <c s="694" r="P267"/>
      <c s="273" r="Q267">
        <f>IF(ISNUMBER(P267),((Q266+P267)-R266),Q266)</f>
        <v>100</v>
      </c>
      <c s="694" r="R267"/>
      <c s="821" r="S267"/>
      <c s="550" r="T267"/>
      <c s="550" r="U267"/>
      <c s="550" r="V267"/>
      <c s="550" r="W267"/>
      <c s="550" r="X267"/>
      <c s="550" r="Y267"/>
      <c t="str" s="470" r="Z267">
        <f>IF(ISNUMBER(S267),(Q267-S267),NA())</f>
        <v>#N/A:explicit</v>
      </c>
      <c t="str" s="470" r="AA267">
        <f>IF(ISNUMBER(T267),IF((AH$22=1),(Z267+T267),(Q267-T267)),NA())</f>
        <v>#N/A:explicit</v>
      </c>
      <c t="str" s="470" r="AB267">
        <f>IF(ISNUMBER(U267),(Q267-U267),NA())</f>
        <v>#N/A:explicit</v>
      </c>
      <c t="str" s="470" r="AC267">
        <f>IF(ISNUMBER(V267),(Q267-V267),NA())</f>
        <v>#N/A:explicit</v>
      </c>
      <c t="str" s="470" r="AD267">
        <f>IF(ISNUMBER(W267),(Q267-W267),NA())</f>
        <v>#N/A:explicit</v>
      </c>
      <c t="str" s="470" r="AE267">
        <f>IF(ISNUMBER(X267),(Q267-X267),NA())</f>
        <v>#N/A:explicit</v>
      </c>
      <c t="str" s="552" r="AF267">
        <f>IF(ISNUMBER(Z267),Z267,"---")</f>
        <v>---</v>
      </c>
      <c s="142" r="AG267"/>
      <c t="str" s="142" r="AH267">
        <f>IF(ISBLANK(L267),NA(),MIN(AF$44:AF$361))</f>
        <v>#N/A:explicit</v>
      </c>
      <c t="str" s="142" r="AI267">
        <f>IF(ISNA(AA267),Z267,AA267)</f>
        <v>#N/A:explicit</v>
      </c>
      <c s="142" r="AJ267">
        <f>MIN(AF$44:AF$361)</f>
        <v>0</v>
      </c>
      <c s="142" r="AK267"/>
      <c t="str" s="142" r="AL267">
        <f>IF(ISNUMBER(AB267),O267,"---")</f>
        <v>---</v>
      </c>
      <c t="str" s="80" r="AM267">
        <f>IF(ISNUMBER(AB267),AB267,"---")</f>
        <v>---</v>
      </c>
      <c s="80" r="AN267"/>
      <c t="str" s="142" r="AO267">
        <f>IF((M267="r"),Z267,NA())</f>
        <v>#N/A:explicit</v>
      </c>
      <c t="str" s="142" r="AP267">
        <f>IF((M267="p"),Z267,NA())</f>
        <v>#N/A:explicit</v>
      </c>
      <c t="str" s="142" r="AQ267">
        <f>IF((M267="n"),Z267,NA())</f>
        <v>#N/A:explicit</v>
      </c>
      <c t="str" s="142" r="AR267">
        <f>IF((M267="g"),Z267,NA())</f>
        <v>#N/A:explicit</v>
      </c>
      <c s="142" r="AS267"/>
      <c t="str" s="142" r="AT267">
        <f>IF((COUNTA($M267:$M$361)=0),"---",IF(AND(($M267="r"),(COUNTA($M268:$M$361)&gt;0)),(MAX(AT$44:AT266)+1),IF(OR(($M266="p"),($M266="n"),($M266="g")),"---",AT266)))</f>
        <v>---</v>
      </c>
      <c t="str" s="142" r="AU267">
        <f>IF((COUNTA($M267:$M$361)=0),"---",IF(AND(($M267="p"),(COUNTA($M268:$M$361)&gt;0)),(MAX(AU$44:AU266)+1),IF(OR(($M266="r"),($M266="n"),($M266="g")),"---",AU266)))</f>
        <v>---</v>
      </c>
      <c t="str" s="142" r="AV267">
        <f>IF((COUNTA($M267:$M$361)=0),"---",IF(AND(($M267="n"),(COUNTA($M268:$M$361)&gt;0)),(MAX(AV$44:AV266)+1),IF(OR(($M266="r"),($M266="p"),($M266="g")),"---",AV266)))</f>
        <v>---</v>
      </c>
      <c t="str" s="142" r="AW267">
        <f>IF((COUNTA($M267:$M$361)=0),"---",IF(AND(($M267="g"),(COUNTA($M268:$M$361)&gt;0)),(MAX(AW$44:AW266)+1),IF(OR(($M266="r"),($M266="p"),($M266="n")),"---",AW266)))</f>
        <v>---</v>
      </c>
      <c s="676" r="AX267">
        <f>IF((M267="p"),(1+MAX(AX$44:AX266)),0)</f>
        <v>0</v>
      </c>
      <c s="51" r="AY267"/>
      <c s="761" r="AZ267"/>
      <c s="761" r="BA267"/>
      <c s="125" r="BB267"/>
      <c s="125" r="BC267"/>
      <c s="125" r="BD267"/>
      <c s="125" r="BE267"/>
      <c s="125" r="BF267"/>
      <c s="125" r="BG267"/>
      <c s="125" r="BH267"/>
      <c s="125" r="BI267"/>
    </row>
    <row r="268">
      <c s="125" r="A268"/>
      <c s="125" r="B268"/>
      <c s="125" r="C268"/>
      <c s="125" r="D268"/>
      <c s="125" r="E268"/>
      <c s="125" r="F268"/>
      <c s="125" r="G268"/>
      <c s="125" r="H268"/>
      <c s="125" r="I268"/>
      <c s="822" r="J268"/>
      <c s="848" r="K268"/>
      <c s="550" r="L268"/>
      <c s="104" r="M268"/>
      <c s="550" r="N268"/>
      <c t="str" s="589" r="O268">
        <f>IF((AH$28=2),IF(ISBLANK(N268),O267,N268),IF(ISNUMBER(N268),(MAX(O$44:O267)+N268),O267))</f>
        <v/>
      </c>
      <c s="694" r="P268"/>
      <c s="273" r="Q268">
        <f>IF(ISNUMBER(P268),((Q267+P268)-R267),Q267)</f>
        <v>100</v>
      </c>
      <c s="694" r="R268"/>
      <c s="821" r="S268"/>
      <c s="550" r="T268"/>
      <c s="550" r="U268"/>
      <c s="550" r="V268"/>
      <c s="550" r="W268"/>
      <c s="550" r="X268"/>
      <c s="550" r="Y268"/>
      <c t="str" s="470" r="Z268">
        <f>IF(ISNUMBER(S268),(Q268-S268),NA())</f>
        <v>#N/A:explicit</v>
      </c>
      <c t="str" s="470" r="AA268">
        <f>IF(ISNUMBER(T268),IF((AH$22=1),(Z268+T268),(Q268-T268)),NA())</f>
        <v>#N/A:explicit</v>
      </c>
      <c t="str" s="470" r="AB268">
        <f>IF(ISNUMBER(U268),(Q268-U268),NA())</f>
        <v>#N/A:explicit</v>
      </c>
      <c t="str" s="470" r="AC268">
        <f>IF(ISNUMBER(V268),(Q268-V268),NA())</f>
        <v>#N/A:explicit</v>
      </c>
      <c t="str" s="470" r="AD268">
        <f>IF(ISNUMBER(W268),(Q268-W268),NA())</f>
        <v>#N/A:explicit</v>
      </c>
      <c t="str" s="470" r="AE268">
        <f>IF(ISNUMBER(X268),(Q268-X268),NA())</f>
        <v>#N/A:explicit</v>
      </c>
      <c t="str" s="552" r="AF268">
        <f>IF(ISNUMBER(Z268),Z268,"---")</f>
        <v>---</v>
      </c>
      <c s="142" r="AG268"/>
      <c t="str" s="142" r="AH268">
        <f>IF(ISBLANK(L268),NA(),MIN(AF$44:AF$361))</f>
        <v>#N/A:explicit</v>
      </c>
      <c t="str" s="142" r="AI268">
        <f>IF(ISNA(AA268),Z268,AA268)</f>
        <v>#N/A:explicit</v>
      </c>
      <c s="142" r="AJ268">
        <f>MIN(AF$44:AF$361)</f>
        <v>0</v>
      </c>
      <c s="142" r="AK268"/>
      <c t="str" s="142" r="AL268">
        <f>IF(ISNUMBER(AB268),O268,"---")</f>
        <v>---</v>
      </c>
      <c t="str" s="80" r="AM268">
        <f>IF(ISNUMBER(AB268),AB268,"---")</f>
        <v>---</v>
      </c>
      <c s="80" r="AN268"/>
      <c t="str" s="142" r="AO268">
        <f>IF((M268="r"),Z268,NA())</f>
        <v>#N/A:explicit</v>
      </c>
      <c t="str" s="142" r="AP268">
        <f>IF((M268="p"),Z268,NA())</f>
        <v>#N/A:explicit</v>
      </c>
      <c t="str" s="142" r="AQ268">
        <f>IF((M268="n"),Z268,NA())</f>
        <v>#N/A:explicit</v>
      </c>
      <c t="str" s="142" r="AR268">
        <f>IF((M268="g"),Z268,NA())</f>
        <v>#N/A:explicit</v>
      </c>
      <c s="142" r="AS268"/>
      <c t="str" s="142" r="AT268">
        <f>IF((COUNTA($M268:$M$361)=0),"---",IF(AND(($M268="r"),(COUNTA($M269:$M$361)&gt;0)),(MAX(AT$44:AT267)+1),IF(OR(($M267="p"),($M267="n"),($M267="g")),"---",AT267)))</f>
        <v>---</v>
      </c>
      <c t="str" s="142" r="AU268">
        <f>IF((COUNTA($M268:$M$361)=0),"---",IF(AND(($M268="p"),(COUNTA($M269:$M$361)&gt;0)),(MAX(AU$44:AU267)+1),IF(OR(($M267="r"),($M267="n"),($M267="g")),"---",AU267)))</f>
        <v>---</v>
      </c>
      <c t="str" s="142" r="AV268">
        <f>IF((COUNTA($M268:$M$361)=0),"---",IF(AND(($M268="n"),(COUNTA($M269:$M$361)&gt;0)),(MAX(AV$44:AV267)+1),IF(OR(($M267="r"),($M267="p"),($M267="g")),"---",AV267)))</f>
        <v>---</v>
      </c>
      <c t="str" s="142" r="AW268">
        <f>IF((COUNTA($M268:$M$361)=0),"---",IF(AND(($M268="g"),(COUNTA($M269:$M$361)&gt;0)),(MAX(AW$44:AW267)+1),IF(OR(($M267="r"),($M267="p"),($M267="n")),"---",AW267)))</f>
        <v>---</v>
      </c>
      <c s="676" r="AX268">
        <f>IF((M268="p"),(1+MAX(AX$44:AX267)),0)</f>
        <v>0</v>
      </c>
      <c s="51" r="AY268"/>
      <c s="761" r="AZ268"/>
      <c s="761" r="BA268"/>
      <c s="125" r="BB268"/>
      <c s="125" r="BC268"/>
      <c s="125" r="BD268"/>
      <c s="125" r="BE268"/>
      <c s="125" r="BF268"/>
      <c s="125" r="BG268"/>
      <c s="125" r="BH268"/>
      <c s="125" r="BI268"/>
    </row>
    <row r="269">
      <c s="125" r="A269"/>
      <c s="125" r="B269"/>
      <c s="125" r="C269"/>
      <c s="125" r="D269"/>
      <c s="125" r="E269"/>
      <c s="125" r="F269"/>
      <c s="125" r="G269"/>
      <c s="125" r="H269"/>
      <c s="125" r="I269"/>
      <c s="822" r="J269"/>
      <c s="848" r="K269"/>
      <c s="550" r="L269"/>
      <c s="104" r="M269"/>
      <c s="550" r="N269"/>
      <c t="str" s="589" r="O269">
        <f>IF((AH$28=2),IF(ISBLANK(N269),O268,N269),IF(ISNUMBER(N269),(MAX(O$44:O268)+N269),O268))</f>
        <v/>
      </c>
      <c s="694" r="P269"/>
      <c s="273" r="Q269">
        <f>IF(ISNUMBER(P269),((Q268+P269)-R268),Q268)</f>
        <v>100</v>
      </c>
      <c s="694" r="R269"/>
      <c s="821" r="S269"/>
      <c s="550" r="T269"/>
      <c s="550" r="U269"/>
      <c s="550" r="V269"/>
      <c s="550" r="W269"/>
      <c s="550" r="X269"/>
      <c s="550" r="Y269"/>
      <c t="str" s="470" r="Z269">
        <f>IF(ISNUMBER(S269),(Q269-S269),NA())</f>
        <v>#N/A:explicit</v>
      </c>
      <c t="str" s="470" r="AA269">
        <f>IF(ISNUMBER(T269),IF((AH$22=1),(Z269+T269),(Q269-T269)),NA())</f>
        <v>#N/A:explicit</v>
      </c>
      <c t="str" s="470" r="AB269">
        <f>IF(ISNUMBER(U269),(Q269-U269),NA())</f>
        <v>#N/A:explicit</v>
      </c>
      <c t="str" s="470" r="AC269">
        <f>IF(ISNUMBER(V269),(Q269-V269),NA())</f>
        <v>#N/A:explicit</v>
      </c>
      <c t="str" s="470" r="AD269">
        <f>IF(ISNUMBER(W269),(Q269-W269),NA())</f>
        <v>#N/A:explicit</v>
      </c>
      <c t="str" s="470" r="AE269">
        <f>IF(ISNUMBER(X269),(Q269-X269),NA())</f>
        <v>#N/A:explicit</v>
      </c>
      <c t="str" s="552" r="AF269">
        <f>IF(ISNUMBER(Z269),Z269,"---")</f>
        <v>---</v>
      </c>
      <c s="142" r="AG269"/>
      <c t="str" s="142" r="AH269">
        <f>IF(ISBLANK(L269),NA(),MIN(AF$44:AF$361))</f>
        <v>#N/A:explicit</v>
      </c>
      <c t="str" s="142" r="AI269">
        <f>IF(ISNA(AA269),Z269,AA269)</f>
        <v>#N/A:explicit</v>
      </c>
      <c s="142" r="AJ269">
        <f>MIN(AF$44:AF$361)</f>
        <v>0</v>
      </c>
      <c s="142" r="AK269"/>
      <c t="str" s="142" r="AL269">
        <f>IF(ISNUMBER(AB269),O269,"---")</f>
        <v>---</v>
      </c>
      <c t="str" s="80" r="AM269">
        <f>IF(ISNUMBER(AB269),AB269,"---")</f>
        <v>---</v>
      </c>
      <c s="80" r="AN269"/>
      <c t="str" s="142" r="AO269">
        <f>IF((M269="r"),Z269,NA())</f>
        <v>#N/A:explicit</v>
      </c>
      <c t="str" s="142" r="AP269">
        <f>IF((M269="p"),Z269,NA())</f>
        <v>#N/A:explicit</v>
      </c>
      <c t="str" s="142" r="AQ269">
        <f>IF((M269="n"),Z269,NA())</f>
        <v>#N/A:explicit</v>
      </c>
      <c t="str" s="142" r="AR269">
        <f>IF((M269="g"),Z269,NA())</f>
        <v>#N/A:explicit</v>
      </c>
      <c s="142" r="AS269"/>
      <c t="str" s="142" r="AT269">
        <f>IF((COUNTA($M269:$M$361)=0),"---",IF(AND(($M269="r"),(COUNTA($M270:$M$361)&gt;0)),(MAX(AT$44:AT268)+1),IF(OR(($M268="p"),($M268="n"),($M268="g")),"---",AT268)))</f>
        <v>---</v>
      </c>
      <c t="str" s="142" r="AU269">
        <f>IF((COUNTA($M269:$M$361)=0),"---",IF(AND(($M269="p"),(COUNTA($M270:$M$361)&gt;0)),(MAX(AU$44:AU268)+1),IF(OR(($M268="r"),($M268="n"),($M268="g")),"---",AU268)))</f>
        <v>---</v>
      </c>
      <c t="str" s="142" r="AV269">
        <f>IF((COUNTA($M269:$M$361)=0),"---",IF(AND(($M269="n"),(COUNTA($M270:$M$361)&gt;0)),(MAX(AV$44:AV268)+1),IF(OR(($M268="r"),($M268="p"),($M268="g")),"---",AV268)))</f>
        <v>---</v>
      </c>
      <c t="str" s="142" r="AW269">
        <f>IF((COUNTA($M269:$M$361)=0),"---",IF(AND(($M269="g"),(COUNTA($M270:$M$361)&gt;0)),(MAX(AW$44:AW268)+1),IF(OR(($M268="r"),($M268="p"),($M268="n")),"---",AW268)))</f>
        <v>---</v>
      </c>
      <c s="676" r="AX269">
        <f>IF((M269="p"),(1+MAX(AX$44:AX268)),0)</f>
        <v>0</v>
      </c>
      <c s="51" r="AY269"/>
      <c s="761" r="AZ269"/>
      <c s="761" r="BA269"/>
      <c s="125" r="BB269"/>
      <c s="125" r="BC269"/>
      <c s="125" r="BD269"/>
      <c s="125" r="BE269"/>
      <c s="125" r="BF269"/>
      <c s="125" r="BG269"/>
      <c s="125" r="BH269"/>
      <c s="125" r="BI269"/>
    </row>
    <row r="270">
      <c s="125" r="A270"/>
      <c s="125" r="B270"/>
      <c s="125" r="C270"/>
      <c s="125" r="D270"/>
      <c s="125" r="E270"/>
      <c s="125" r="F270"/>
      <c s="125" r="G270"/>
      <c s="125" r="H270"/>
      <c s="125" r="I270"/>
      <c s="822" r="J270"/>
      <c s="429" r="K270"/>
      <c s="458" r="L270"/>
      <c s="104" r="M270"/>
      <c s="458" r="N270"/>
      <c t="str" s="589" r="O270">
        <f>IF((AH$28=2),IF(ISBLANK(N270),O269,N270),IF(ISNUMBER(N270),(MAX(O$44:O269)+N270),O269))</f>
        <v/>
      </c>
      <c s="228" r="P270"/>
      <c s="273" r="Q270">
        <f>IF(ISNUMBER(P270),((Q269+P270)-R269),Q269)</f>
        <v>100</v>
      </c>
      <c s="228" r="R270"/>
      <c s="610" r="S270"/>
      <c s="458" r="T270"/>
      <c s="458" r="U270"/>
      <c s="458" r="V270"/>
      <c s="458" r="W270"/>
      <c s="458" r="X270"/>
      <c s="458" r="Y270"/>
      <c t="str" s="620" r="Z270">
        <f>IF(ISNUMBER(S270),(Q270-S270),NA())</f>
        <v>#N/A:explicit</v>
      </c>
      <c t="str" s="620" r="AA270">
        <f>IF(ISNUMBER(T270),IF((AH$22=1),(Z270+T270),(Q270-T270)),NA())</f>
        <v>#N/A:explicit</v>
      </c>
      <c t="str" s="620" r="AB270">
        <f>IF(ISNUMBER(U270),(Q270-U270),NA())</f>
        <v>#N/A:explicit</v>
      </c>
      <c t="str" s="620" r="AC270">
        <f>IF(ISNUMBER(V270),(Q270-V270),NA())</f>
        <v>#N/A:explicit</v>
      </c>
      <c t="str" s="620" r="AD270">
        <f>IF(ISNUMBER(W270),(Q270-W270),NA())</f>
        <v>#N/A:explicit</v>
      </c>
      <c t="str" s="620" r="AE270">
        <f>IF(ISNUMBER(X270),(Q270-X270),NA())</f>
        <v>#N/A:explicit</v>
      </c>
      <c t="str" s="552" r="AF270">
        <f>IF(ISNUMBER(Z270),Z270,"---")</f>
        <v>---</v>
      </c>
      <c s="142" r="AG270"/>
      <c t="str" s="142" r="AH270">
        <f>IF(ISBLANK(L270),NA(),MIN(AF$44:AF$361))</f>
        <v>#N/A:explicit</v>
      </c>
      <c t="str" s="142" r="AI270">
        <f>IF(ISNA(AA270),Z270,AA270)</f>
        <v>#N/A:explicit</v>
      </c>
      <c s="142" r="AJ270">
        <f>MIN(AF$44:AF$361)</f>
        <v>0</v>
      </c>
      <c s="142" r="AK270"/>
      <c t="str" s="142" r="AL270">
        <f>IF(ISNUMBER(AB270),O270,"---")</f>
        <v>---</v>
      </c>
      <c t="str" s="80" r="AM270">
        <f>IF(ISNUMBER(AB270),AB270,"---")</f>
        <v>---</v>
      </c>
      <c s="80" r="AN270"/>
      <c t="str" s="142" r="AO270">
        <f>IF((M270="r"),Z270,NA())</f>
        <v>#N/A:explicit</v>
      </c>
      <c t="str" s="142" r="AP270">
        <f>IF((M270="p"),Z270,NA())</f>
        <v>#N/A:explicit</v>
      </c>
      <c t="str" s="142" r="AQ270">
        <f>IF((M270="n"),Z270,NA())</f>
        <v>#N/A:explicit</v>
      </c>
      <c t="str" s="142" r="AR270">
        <f>IF((M270="g"),Z270,NA())</f>
        <v>#N/A:explicit</v>
      </c>
      <c s="142" r="AS270"/>
      <c t="str" s="142" r="AT270">
        <f>IF((COUNTA($M270:$M$361)=0),"---",IF(AND(($M270="r"),(COUNTA($M271:$M$361)&gt;0)),(MAX(AT$44:AT269)+1),IF(OR(($M269="p"),($M269="n"),($M269="g")),"---",AT269)))</f>
        <v>---</v>
      </c>
      <c t="str" s="142" r="AU270">
        <f>IF((COUNTA($M270:$M$361)=0),"---",IF(AND(($M270="p"),(COUNTA($M271:$M$361)&gt;0)),(MAX(AU$44:AU269)+1),IF(OR(($M269="r"),($M269="n"),($M269="g")),"---",AU269)))</f>
        <v>---</v>
      </c>
      <c t="str" s="142" r="AV270">
        <f>IF((COUNTA($M270:$M$361)=0),"---",IF(AND(($M270="n"),(COUNTA($M271:$M$361)&gt;0)),(MAX(AV$44:AV269)+1),IF(OR(($M269="r"),($M269="p"),($M269="g")),"---",AV269)))</f>
        <v>---</v>
      </c>
      <c t="str" s="142" r="AW270">
        <f>IF((COUNTA($M270:$M$361)=0),"---",IF(AND(($M270="g"),(COUNTA($M271:$M$361)&gt;0)),(MAX(AW$44:AW269)+1),IF(OR(($M269="r"),($M269="p"),($M269="n")),"---",AW269)))</f>
        <v>---</v>
      </c>
      <c s="676" r="AX270">
        <f>IF((M270="p"),(1+MAX(AX$44:AX269)),0)</f>
        <v>0</v>
      </c>
      <c s="51" r="AY270"/>
      <c s="761" r="AZ270"/>
      <c s="761" r="BA270"/>
      <c s="125" r="BB270"/>
      <c s="125" r="BC270"/>
      <c s="125" r="BD270"/>
      <c s="125" r="BE270"/>
      <c s="125" r="BF270"/>
      <c s="125" r="BG270"/>
      <c s="125" r="BH270"/>
      <c s="125" r="BI270"/>
    </row>
    <row r="271">
      <c s="125" r="A271"/>
      <c s="125" r="B271"/>
      <c s="125" r="C271"/>
      <c s="125" r="D271"/>
      <c s="125" r="E271"/>
      <c s="125" r="F271"/>
      <c s="125" r="G271"/>
      <c s="125" r="H271"/>
      <c s="125" r="I271"/>
      <c s="822" r="J271"/>
      <c s="429" r="K271"/>
      <c s="458" r="L271"/>
      <c s="104" r="M271"/>
      <c s="458" r="N271"/>
      <c t="str" s="589" r="O271">
        <f>IF((AH$28=2),IF(ISBLANK(N271),O270,N271),IF(ISNUMBER(N271),(MAX(O$44:O270)+N271),O270))</f>
        <v/>
      </c>
      <c s="228" r="P271"/>
      <c s="273" r="Q271">
        <f>IF(ISNUMBER(P271),((Q270+P271)-R270),Q270)</f>
        <v>100</v>
      </c>
      <c s="228" r="R271"/>
      <c s="610" r="S271"/>
      <c s="458" r="T271"/>
      <c s="458" r="U271"/>
      <c s="458" r="V271"/>
      <c s="458" r="W271"/>
      <c s="458" r="X271"/>
      <c s="458" r="Y271"/>
      <c t="str" s="620" r="Z271">
        <f>IF(ISNUMBER(S271),(Q271-S271),NA())</f>
        <v>#N/A:explicit</v>
      </c>
      <c t="str" s="620" r="AA271">
        <f>IF(ISNUMBER(T271),IF((AH$22=1),(Z271+T271),(Q271-T271)),NA())</f>
        <v>#N/A:explicit</v>
      </c>
      <c t="str" s="620" r="AB271">
        <f>IF(ISNUMBER(U271),(Q271-U271),NA())</f>
        <v>#N/A:explicit</v>
      </c>
      <c t="str" s="620" r="AC271">
        <f>IF(ISNUMBER(V271),(Q271-V271),NA())</f>
        <v>#N/A:explicit</v>
      </c>
      <c t="str" s="620" r="AD271">
        <f>IF(ISNUMBER(W271),(Q271-W271),NA())</f>
        <v>#N/A:explicit</v>
      </c>
      <c t="str" s="620" r="AE271">
        <f>IF(ISNUMBER(X271),(Q271-X271),NA())</f>
        <v>#N/A:explicit</v>
      </c>
      <c t="str" s="552" r="AF271">
        <f>IF(ISNUMBER(Z271),Z271,"---")</f>
        <v>---</v>
      </c>
      <c s="142" r="AG271"/>
      <c t="str" s="142" r="AH271">
        <f>IF(ISBLANK(L271),NA(),MIN(AF$44:AF$361))</f>
        <v>#N/A:explicit</v>
      </c>
      <c t="str" s="142" r="AI271">
        <f>IF(ISNA(AA271),Z271,AA271)</f>
        <v>#N/A:explicit</v>
      </c>
      <c s="142" r="AJ271">
        <f>MIN(AF$44:AF$361)</f>
        <v>0</v>
      </c>
      <c s="142" r="AK271"/>
      <c t="str" s="142" r="AL271">
        <f>IF(ISNUMBER(AB271),O271,"---")</f>
        <v>---</v>
      </c>
      <c t="str" s="80" r="AM271">
        <f>IF(ISNUMBER(AB271),AB271,"---")</f>
        <v>---</v>
      </c>
      <c s="80" r="AN271"/>
      <c t="str" s="142" r="AO271">
        <f>IF((M271="r"),Z271,NA())</f>
        <v>#N/A:explicit</v>
      </c>
      <c t="str" s="142" r="AP271">
        <f>IF((M271="p"),Z271,NA())</f>
        <v>#N/A:explicit</v>
      </c>
      <c t="str" s="142" r="AQ271">
        <f>IF((M271="n"),Z271,NA())</f>
        <v>#N/A:explicit</v>
      </c>
      <c t="str" s="142" r="AR271">
        <f>IF((M271="g"),Z271,NA())</f>
        <v>#N/A:explicit</v>
      </c>
      <c s="142" r="AS271"/>
      <c t="str" s="142" r="AT271">
        <f>IF((COUNTA($M271:$M$361)=0),"---",IF(AND(($M271="r"),(COUNTA($M272:$M$361)&gt;0)),(MAX(AT$44:AT270)+1),IF(OR(($M270="p"),($M270="n"),($M270="g")),"---",AT270)))</f>
        <v>---</v>
      </c>
      <c t="str" s="142" r="AU271">
        <f>IF((COUNTA($M271:$M$361)=0),"---",IF(AND(($M271="p"),(COUNTA($M272:$M$361)&gt;0)),(MAX(AU$44:AU270)+1),IF(OR(($M270="r"),($M270="n"),($M270="g")),"---",AU270)))</f>
        <v>---</v>
      </c>
      <c t="str" s="142" r="AV271">
        <f>IF((COUNTA($M271:$M$361)=0),"---",IF(AND(($M271="n"),(COUNTA($M272:$M$361)&gt;0)),(MAX(AV$44:AV270)+1),IF(OR(($M270="r"),($M270="p"),($M270="g")),"---",AV270)))</f>
        <v>---</v>
      </c>
      <c t="str" s="142" r="AW271">
        <f>IF((COUNTA($M271:$M$361)=0),"---",IF(AND(($M271="g"),(COUNTA($M272:$M$361)&gt;0)),(MAX(AW$44:AW270)+1),IF(OR(($M270="r"),($M270="p"),($M270="n")),"---",AW270)))</f>
        <v>---</v>
      </c>
      <c s="676" r="AX271">
        <f>IF((M271="p"),(1+MAX(AX$44:AX270)),0)</f>
        <v>0</v>
      </c>
      <c s="51" r="AY271"/>
      <c s="761" r="AZ271"/>
      <c s="761" r="BA271"/>
      <c s="125" r="BB271"/>
      <c s="125" r="BC271"/>
      <c s="125" r="BD271"/>
      <c s="125" r="BE271"/>
      <c s="125" r="BF271"/>
      <c s="125" r="BG271"/>
      <c s="125" r="BH271"/>
      <c s="125" r="BI271"/>
    </row>
    <row r="272">
      <c s="125" r="A272"/>
      <c s="125" r="B272"/>
      <c s="125" r="C272"/>
      <c s="125" r="D272"/>
      <c s="125" r="E272"/>
      <c s="125" r="F272"/>
      <c s="125" r="G272"/>
      <c s="125" r="H272"/>
      <c s="125" r="I272"/>
      <c s="822" r="J272"/>
      <c s="429" r="K272"/>
      <c s="458" r="L272"/>
      <c s="104" r="M272"/>
      <c s="458" r="N272"/>
      <c t="str" s="589" r="O272">
        <f>IF((AH$28=2),IF(ISBLANK(N272),O271,N272),IF(ISNUMBER(N272),(MAX(O$44:O271)+N272),O271))</f>
        <v/>
      </c>
      <c s="228" r="P272"/>
      <c s="273" r="Q272">
        <f>IF(ISNUMBER(P272),((Q271+P272)-R271),Q271)</f>
        <v>100</v>
      </c>
      <c s="228" r="R272"/>
      <c s="610" r="S272"/>
      <c s="458" r="T272"/>
      <c s="458" r="U272"/>
      <c s="458" r="V272"/>
      <c s="458" r="W272"/>
      <c s="458" r="X272"/>
      <c s="458" r="Y272"/>
      <c t="str" s="620" r="Z272">
        <f>IF(ISNUMBER(S272),(Q272-S272),NA())</f>
        <v>#N/A:explicit</v>
      </c>
      <c t="str" s="620" r="AA272">
        <f>IF(ISNUMBER(T272),IF((AH$22=1),(Z272+T272),(Q272-T272)),NA())</f>
        <v>#N/A:explicit</v>
      </c>
      <c t="str" s="620" r="AB272">
        <f>IF(ISNUMBER(U272),(Q272-U272),NA())</f>
        <v>#N/A:explicit</v>
      </c>
      <c t="str" s="620" r="AC272">
        <f>IF(ISNUMBER(V272),(Q272-V272),NA())</f>
        <v>#N/A:explicit</v>
      </c>
      <c t="str" s="620" r="AD272">
        <f>IF(ISNUMBER(W272),(Q272-W272),NA())</f>
        <v>#N/A:explicit</v>
      </c>
      <c t="str" s="620" r="AE272">
        <f>IF(ISNUMBER(X272),(Q272-X272),NA())</f>
        <v>#N/A:explicit</v>
      </c>
      <c t="str" s="552" r="AF272">
        <f>IF(ISNUMBER(Z272),Z272,"---")</f>
        <v>---</v>
      </c>
      <c s="142" r="AG272"/>
      <c t="str" s="142" r="AH272">
        <f>IF(ISBLANK(L272),NA(),MIN(AF$44:AF$361))</f>
        <v>#N/A:explicit</v>
      </c>
      <c t="str" s="142" r="AI272">
        <f>IF(ISNA(AA272),Z272,AA272)</f>
        <v>#N/A:explicit</v>
      </c>
      <c s="142" r="AJ272">
        <f>MIN(AF$44:AF$361)</f>
        <v>0</v>
      </c>
      <c s="142" r="AK272"/>
      <c t="str" s="142" r="AL272">
        <f>IF(ISNUMBER(AB272),O272,"---")</f>
        <v>---</v>
      </c>
      <c t="str" s="80" r="AM272">
        <f>IF(ISNUMBER(AB272),AB272,"---")</f>
        <v>---</v>
      </c>
      <c s="80" r="AN272"/>
      <c t="str" s="142" r="AO272">
        <f>IF((M272="r"),Z272,NA())</f>
        <v>#N/A:explicit</v>
      </c>
      <c t="str" s="142" r="AP272">
        <f>IF((M272="p"),Z272,NA())</f>
        <v>#N/A:explicit</v>
      </c>
      <c t="str" s="142" r="AQ272">
        <f>IF((M272="n"),Z272,NA())</f>
        <v>#N/A:explicit</v>
      </c>
      <c t="str" s="142" r="AR272">
        <f>IF((M272="g"),Z272,NA())</f>
        <v>#N/A:explicit</v>
      </c>
      <c s="142" r="AS272"/>
      <c t="str" s="142" r="AT272">
        <f>IF((COUNTA($M272:$M$361)=0),"---",IF(AND(($M272="r"),(COUNTA($M273:$M$361)&gt;0)),(MAX(AT$44:AT271)+1),IF(OR(($M271="p"),($M271="n"),($M271="g")),"---",AT271)))</f>
        <v>---</v>
      </c>
      <c t="str" s="142" r="AU272">
        <f>IF((COUNTA($M272:$M$361)=0),"---",IF(AND(($M272="p"),(COUNTA($M273:$M$361)&gt;0)),(MAX(AU$44:AU271)+1),IF(OR(($M271="r"),($M271="n"),($M271="g")),"---",AU271)))</f>
        <v>---</v>
      </c>
      <c t="str" s="142" r="AV272">
        <f>IF((COUNTA($M272:$M$361)=0),"---",IF(AND(($M272="n"),(COUNTA($M273:$M$361)&gt;0)),(MAX(AV$44:AV271)+1),IF(OR(($M271="r"),($M271="p"),($M271="g")),"---",AV271)))</f>
        <v>---</v>
      </c>
      <c t="str" s="142" r="AW272">
        <f>IF((COUNTA($M272:$M$361)=0),"---",IF(AND(($M272="g"),(COUNTA($M273:$M$361)&gt;0)),(MAX(AW$44:AW271)+1),IF(OR(($M271="r"),($M271="p"),($M271="n")),"---",AW271)))</f>
        <v>---</v>
      </c>
      <c s="676" r="AX272">
        <f>IF((M272="p"),(1+MAX(AX$44:AX271)),0)</f>
        <v>0</v>
      </c>
      <c s="51" r="AY272"/>
      <c s="761" r="AZ272"/>
      <c s="761" r="BA272"/>
      <c s="125" r="BB272"/>
      <c s="125" r="BC272"/>
      <c s="125" r="BD272"/>
      <c s="125" r="BE272"/>
      <c s="125" r="BF272"/>
      <c s="125" r="BG272"/>
      <c s="125" r="BH272"/>
      <c s="125" r="BI272"/>
    </row>
    <row r="273">
      <c s="125" r="A273"/>
      <c s="125" r="B273"/>
      <c s="125" r="C273"/>
      <c s="125" r="D273"/>
      <c s="125" r="E273"/>
      <c s="125" r="F273"/>
      <c s="125" r="G273"/>
      <c s="125" r="H273"/>
      <c s="125" r="I273"/>
      <c s="822" r="J273"/>
      <c s="848" r="K273"/>
      <c s="550" r="L273"/>
      <c s="104" r="M273"/>
      <c s="550" r="N273"/>
      <c t="str" s="589" r="O273">
        <f>IF((AH$28=2),IF(ISBLANK(N273),O272,N273),IF(ISNUMBER(N273),(MAX(O$44:O272)+N273),O272))</f>
        <v/>
      </c>
      <c s="694" r="P273"/>
      <c s="273" r="Q273">
        <f>IF(ISNUMBER(P273),((Q272+P273)-R272),Q272)</f>
        <v>100</v>
      </c>
      <c s="694" r="R273"/>
      <c s="821" r="S273"/>
      <c s="550" r="T273"/>
      <c s="550" r="U273"/>
      <c s="550" r="V273"/>
      <c s="550" r="W273"/>
      <c s="550" r="X273"/>
      <c s="550" r="Y273"/>
      <c t="str" s="470" r="Z273">
        <f>IF(ISNUMBER(S273),(Q273-S273),NA())</f>
        <v>#N/A:explicit</v>
      </c>
      <c t="str" s="470" r="AA273">
        <f>IF(ISNUMBER(T273),IF((AH$22=1),(Z273+T273),(Q273-T273)),NA())</f>
        <v>#N/A:explicit</v>
      </c>
      <c t="str" s="470" r="AB273">
        <f>IF(ISNUMBER(U273),(Q273-U273),NA())</f>
        <v>#N/A:explicit</v>
      </c>
      <c t="str" s="470" r="AC273">
        <f>IF(ISNUMBER(V273),(Q273-V273),NA())</f>
        <v>#N/A:explicit</v>
      </c>
      <c t="str" s="470" r="AD273">
        <f>IF(ISNUMBER(W273),(Q273-W273),NA())</f>
        <v>#N/A:explicit</v>
      </c>
      <c t="str" s="470" r="AE273">
        <f>IF(ISNUMBER(X273),(Q273-X273),NA())</f>
        <v>#N/A:explicit</v>
      </c>
      <c t="str" s="552" r="AF273">
        <f>IF(ISNUMBER(Z273),Z273,"---")</f>
        <v>---</v>
      </c>
      <c s="142" r="AG273"/>
      <c t="str" s="142" r="AH273">
        <f>IF(ISBLANK(L273),NA(),MIN(AF$44:AF$361))</f>
        <v>#N/A:explicit</v>
      </c>
      <c t="str" s="142" r="AI273">
        <f>IF(ISNA(AA273),Z273,AA273)</f>
        <v>#N/A:explicit</v>
      </c>
      <c s="142" r="AJ273">
        <f>MIN(AF$44:AF$361)</f>
        <v>0</v>
      </c>
      <c s="142" r="AK273"/>
      <c t="str" s="142" r="AL273">
        <f>IF(ISNUMBER(AB273),O273,"---")</f>
        <v>---</v>
      </c>
      <c t="str" s="80" r="AM273">
        <f>IF(ISNUMBER(AB273),AB273,"---")</f>
        <v>---</v>
      </c>
      <c s="80" r="AN273"/>
      <c t="str" s="142" r="AO273">
        <f>IF((M273="r"),Z273,NA())</f>
        <v>#N/A:explicit</v>
      </c>
      <c t="str" s="142" r="AP273">
        <f>IF((M273="p"),Z273,NA())</f>
        <v>#N/A:explicit</v>
      </c>
      <c t="str" s="142" r="AQ273">
        <f>IF((M273="n"),Z273,NA())</f>
        <v>#N/A:explicit</v>
      </c>
      <c t="str" s="142" r="AR273">
        <f>IF((M273="g"),Z273,NA())</f>
        <v>#N/A:explicit</v>
      </c>
      <c s="142" r="AS273"/>
      <c t="str" s="142" r="AT273">
        <f>IF((COUNTA($M273:$M$361)=0),"---",IF(AND(($M273="r"),(COUNTA($M274:$M$361)&gt;0)),(MAX(AT$44:AT272)+1),IF(OR(($M272="p"),($M272="n"),($M272="g")),"---",AT272)))</f>
        <v>---</v>
      </c>
      <c t="str" s="142" r="AU273">
        <f>IF((COUNTA($M273:$M$361)=0),"---",IF(AND(($M273="p"),(COUNTA($M274:$M$361)&gt;0)),(MAX(AU$44:AU272)+1),IF(OR(($M272="r"),($M272="n"),($M272="g")),"---",AU272)))</f>
        <v>---</v>
      </c>
      <c t="str" s="142" r="AV273">
        <f>IF((COUNTA($M273:$M$361)=0),"---",IF(AND(($M273="n"),(COUNTA($M274:$M$361)&gt;0)),(MAX(AV$44:AV272)+1),IF(OR(($M272="r"),($M272="p"),($M272="g")),"---",AV272)))</f>
        <v>---</v>
      </c>
      <c t="str" s="142" r="AW273">
        <f>IF((COUNTA($M273:$M$361)=0),"---",IF(AND(($M273="g"),(COUNTA($M274:$M$361)&gt;0)),(MAX(AW$44:AW272)+1),IF(OR(($M272="r"),($M272="p"),($M272="n")),"---",AW272)))</f>
        <v>---</v>
      </c>
      <c s="676" r="AX273">
        <f>IF((M273="p"),(1+MAX(AX$44:AX272)),0)</f>
        <v>0</v>
      </c>
      <c s="51" r="AY273"/>
      <c s="761" r="AZ273"/>
      <c s="761" r="BA273"/>
      <c s="125" r="BB273"/>
      <c s="125" r="BC273"/>
      <c s="125" r="BD273"/>
      <c s="125" r="BE273"/>
      <c s="125" r="BF273"/>
      <c s="125" r="BG273"/>
      <c s="125" r="BH273"/>
      <c s="125" r="BI273"/>
    </row>
    <row r="274">
      <c s="125" r="A274"/>
      <c s="125" r="B274"/>
      <c s="125" r="C274"/>
      <c s="125" r="D274"/>
      <c s="125" r="E274"/>
      <c s="125" r="F274"/>
      <c s="125" r="G274"/>
      <c s="125" r="H274"/>
      <c s="125" r="I274"/>
      <c s="822" r="J274"/>
      <c s="848" r="K274"/>
      <c s="550" r="L274"/>
      <c s="104" r="M274"/>
      <c s="550" r="N274"/>
      <c t="str" s="589" r="O274">
        <f>IF((AH$28=2),IF(ISBLANK(N274),O273,N274),IF(ISNUMBER(N274),(MAX(O$44:O273)+N274),O273))</f>
        <v/>
      </c>
      <c s="694" r="P274"/>
      <c s="273" r="Q274">
        <f>IF(ISNUMBER(P274),((Q273+P274)-R273),Q273)</f>
        <v>100</v>
      </c>
      <c s="694" r="R274"/>
      <c s="821" r="S274"/>
      <c s="550" r="T274"/>
      <c s="550" r="U274"/>
      <c s="550" r="V274"/>
      <c s="550" r="W274"/>
      <c s="550" r="X274"/>
      <c s="550" r="Y274"/>
      <c t="str" s="470" r="Z274">
        <f>IF(ISNUMBER(S274),(Q274-S274),NA())</f>
        <v>#N/A:explicit</v>
      </c>
      <c t="str" s="470" r="AA274">
        <f>IF(ISNUMBER(T274),IF((AH$22=1),(Z274+T274),(Q274-T274)),NA())</f>
        <v>#N/A:explicit</v>
      </c>
      <c t="str" s="470" r="AB274">
        <f>IF(ISNUMBER(U274),(Q274-U274),NA())</f>
        <v>#N/A:explicit</v>
      </c>
      <c t="str" s="470" r="AC274">
        <f>IF(ISNUMBER(V274),(Q274-V274),NA())</f>
        <v>#N/A:explicit</v>
      </c>
      <c t="str" s="470" r="AD274">
        <f>IF(ISNUMBER(W274),(Q274-W274),NA())</f>
        <v>#N/A:explicit</v>
      </c>
      <c t="str" s="470" r="AE274">
        <f>IF(ISNUMBER(X274),(Q274-X274),NA())</f>
        <v>#N/A:explicit</v>
      </c>
      <c t="str" s="552" r="AF274">
        <f>IF(ISNUMBER(Z274),Z274,"---")</f>
        <v>---</v>
      </c>
      <c s="142" r="AG274"/>
      <c t="str" s="142" r="AH274">
        <f>IF(ISBLANK(L274),NA(),MIN(AF$44:AF$361))</f>
        <v>#N/A:explicit</v>
      </c>
      <c t="str" s="142" r="AI274">
        <f>IF(ISNA(AA274),Z274,AA274)</f>
        <v>#N/A:explicit</v>
      </c>
      <c s="142" r="AJ274">
        <f>MIN(AF$44:AF$361)</f>
        <v>0</v>
      </c>
      <c s="142" r="AK274"/>
      <c t="str" s="142" r="AL274">
        <f>IF(ISNUMBER(AB274),O274,"---")</f>
        <v>---</v>
      </c>
      <c t="str" s="80" r="AM274">
        <f>IF(ISNUMBER(AB274),AB274,"---")</f>
        <v>---</v>
      </c>
      <c s="80" r="AN274"/>
      <c t="str" s="142" r="AO274">
        <f>IF((M274="r"),Z274,NA())</f>
        <v>#N/A:explicit</v>
      </c>
      <c t="str" s="142" r="AP274">
        <f>IF((M274="p"),Z274,NA())</f>
        <v>#N/A:explicit</v>
      </c>
      <c t="str" s="142" r="AQ274">
        <f>IF((M274="n"),Z274,NA())</f>
        <v>#N/A:explicit</v>
      </c>
      <c t="str" s="142" r="AR274">
        <f>IF((M274="g"),Z274,NA())</f>
        <v>#N/A:explicit</v>
      </c>
      <c s="142" r="AS274"/>
      <c t="str" s="142" r="AT274">
        <f>IF((COUNTA($M274:$M$361)=0),"---",IF(AND(($M274="r"),(COUNTA($M275:$M$361)&gt;0)),(MAX(AT$44:AT273)+1),IF(OR(($M273="p"),($M273="n"),($M273="g")),"---",AT273)))</f>
        <v>---</v>
      </c>
      <c t="str" s="142" r="AU274">
        <f>IF((COUNTA($M274:$M$361)=0),"---",IF(AND(($M274="p"),(COUNTA($M275:$M$361)&gt;0)),(MAX(AU$44:AU273)+1),IF(OR(($M273="r"),($M273="n"),($M273="g")),"---",AU273)))</f>
        <v>---</v>
      </c>
      <c t="str" s="142" r="AV274">
        <f>IF((COUNTA($M274:$M$361)=0),"---",IF(AND(($M274="n"),(COUNTA($M275:$M$361)&gt;0)),(MAX(AV$44:AV273)+1),IF(OR(($M273="r"),($M273="p"),($M273="g")),"---",AV273)))</f>
        <v>---</v>
      </c>
      <c t="str" s="142" r="AW274">
        <f>IF((COUNTA($M274:$M$361)=0),"---",IF(AND(($M274="g"),(COUNTA($M275:$M$361)&gt;0)),(MAX(AW$44:AW273)+1),IF(OR(($M273="r"),($M273="p"),($M273="n")),"---",AW273)))</f>
        <v>---</v>
      </c>
      <c s="676" r="AX274">
        <f>IF((M274="p"),(1+MAX(AX$44:AX273)),0)</f>
        <v>0</v>
      </c>
      <c s="51" r="AY274"/>
      <c s="761" r="AZ274"/>
      <c s="761" r="BA274"/>
      <c s="125" r="BB274"/>
      <c s="125" r="BC274"/>
      <c s="125" r="BD274"/>
      <c s="125" r="BE274"/>
      <c s="125" r="BF274"/>
      <c s="125" r="BG274"/>
      <c s="125" r="BH274"/>
      <c s="125" r="BI274"/>
    </row>
    <row r="275">
      <c s="125" r="A275"/>
      <c s="125" r="B275"/>
      <c s="125" r="C275"/>
      <c s="125" r="D275"/>
      <c s="125" r="E275"/>
      <c s="125" r="F275"/>
      <c s="125" r="G275"/>
      <c s="125" r="H275"/>
      <c s="125" r="I275"/>
      <c s="822" r="J275"/>
      <c s="848" r="K275"/>
      <c s="550" r="L275"/>
      <c s="104" r="M275"/>
      <c s="550" r="N275"/>
      <c t="str" s="589" r="O275">
        <f>IF((AH$28=2),IF(ISBLANK(N275),O274,N275),IF(ISNUMBER(N275),(MAX(O$44:O274)+N275),O274))</f>
        <v/>
      </c>
      <c s="694" r="P275"/>
      <c s="273" r="Q275">
        <f>IF(ISNUMBER(P275),((Q274+P275)-R274),Q274)</f>
        <v>100</v>
      </c>
      <c s="694" r="R275"/>
      <c s="821" r="S275"/>
      <c s="550" r="T275"/>
      <c s="550" r="U275"/>
      <c s="550" r="V275"/>
      <c s="550" r="W275"/>
      <c s="550" r="X275"/>
      <c s="550" r="Y275"/>
      <c t="str" s="470" r="Z275">
        <f>IF(ISNUMBER(S275),(Q275-S275),NA())</f>
        <v>#N/A:explicit</v>
      </c>
      <c t="str" s="470" r="AA275">
        <f>IF(ISNUMBER(T275),IF((AH$22=1),(Z275+T275),(Q275-T275)),NA())</f>
        <v>#N/A:explicit</v>
      </c>
      <c t="str" s="470" r="AB275">
        <f>IF(ISNUMBER(U275),(Q275-U275),NA())</f>
        <v>#N/A:explicit</v>
      </c>
      <c t="str" s="470" r="AC275">
        <f>IF(ISNUMBER(V275),(Q275-V275),NA())</f>
        <v>#N/A:explicit</v>
      </c>
      <c t="str" s="470" r="AD275">
        <f>IF(ISNUMBER(W275),(Q275-W275),NA())</f>
        <v>#N/A:explicit</v>
      </c>
      <c t="str" s="470" r="AE275">
        <f>IF(ISNUMBER(X275),(Q275-X275),NA())</f>
        <v>#N/A:explicit</v>
      </c>
      <c t="str" s="552" r="AF275">
        <f>IF(ISNUMBER(Z275),Z275,"---")</f>
        <v>---</v>
      </c>
      <c s="142" r="AG275"/>
      <c t="str" s="142" r="AH275">
        <f>IF(ISBLANK(L275),NA(),MIN(AF$44:AF$361))</f>
        <v>#N/A:explicit</v>
      </c>
      <c t="str" s="142" r="AI275">
        <f>IF(ISNA(AA275),Z275,AA275)</f>
        <v>#N/A:explicit</v>
      </c>
      <c s="142" r="AJ275">
        <f>MIN(AF$44:AF$361)</f>
        <v>0</v>
      </c>
      <c s="142" r="AK275"/>
      <c t="str" s="142" r="AL275">
        <f>IF(ISNUMBER(AB275),O275,"---")</f>
        <v>---</v>
      </c>
      <c t="str" s="80" r="AM275">
        <f>IF(ISNUMBER(AB275),AB275,"---")</f>
        <v>---</v>
      </c>
      <c s="80" r="AN275"/>
      <c t="str" s="142" r="AO275">
        <f>IF((M275="r"),Z275,NA())</f>
        <v>#N/A:explicit</v>
      </c>
      <c t="str" s="142" r="AP275">
        <f>IF((M275="p"),Z275,NA())</f>
        <v>#N/A:explicit</v>
      </c>
      <c t="str" s="142" r="AQ275">
        <f>IF((M275="n"),Z275,NA())</f>
        <v>#N/A:explicit</v>
      </c>
      <c t="str" s="142" r="AR275">
        <f>IF((M275="g"),Z275,NA())</f>
        <v>#N/A:explicit</v>
      </c>
      <c s="142" r="AS275"/>
      <c t="str" s="142" r="AT275">
        <f>IF((COUNTA($M275:$M$361)=0),"---",IF(AND(($M275="r"),(COUNTA($M276:$M$361)&gt;0)),(MAX(AT$44:AT274)+1),IF(OR(($M274="p"),($M274="n"),($M274="g")),"---",AT274)))</f>
        <v>---</v>
      </c>
      <c t="str" s="142" r="AU275">
        <f>IF((COUNTA($M275:$M$361)=0),"---",IF(AND(($M275="p"),(COUNTA($M276:$M$361)&gt;0)),(MAX(AU$44:AU274)+1),IF(OR(($M274="r"),($M274="n"),($M274="g")),"---",AU274)))</f>
        <v>---</v>
      </c>
      <c t="str" s="142" r="AV275">
        <f>IF((COUNTA($M275:$M$361)=0),"---",IF(AND(($M275="n"),(COUNTA($M276:$M$361)&gt;0)),(MAX(AV$44:AV274)+1),IF(OR(($M274="r"),($M274="p"),($M274="g")),"---",AV274)))</f>
        <v>---</v>
      </c>
      <c t="str" s="142" r="AW275">
        <f>IF((COUNTA($M275:$M$361)=0),"---",IF(AND(($M275="g"),(COUNTA($M276:$M$361)&gt;0)),(MAX(AW$44:AW274)+1),IF(OR(($M274="r"),($M274="p"),($M274="n")),"---",AW274)))</f>
        <v>---</v>
      </c>
      <c s="676" r="AX275">
        <f>IF((M275="p"),(1+MAX(AX$44:AX274)),0)</f>
        <v>0</v>
      </c>
      <c s="51" r="AY275"/>
      <c s="761" r="AZ275"/>
      <c s="761" r="BA275"/>
      <c s="125" r="BB275"/>
      <c s="125" r="BC275"/>
      <c s="125" r="BD275"/>
      <c s="125" r="BE275"/>
      <c s="125" r="BF275"/>
      <c s="125" r="BG275"/>
      <c s="125" r="BH275"/>
      <c s="125" r="BI275"/>
    </row>
    <row r="276">
      <c s="125" r="A276"/>
      <c s="125" r="B276"/>
      <c s="125" r="C276"/>
      <c s="125" r="D276"/>
      <c s="125" r="E276"/>
      <c s="125" r="F276"/>
      <c s="125" r="G276"/>
      <c s="125" r="H276"/>
      <c s="125" r="I276"/>
      <c s="822" r="J276"/>
      <c s="429" r="K276"/>
      <c s="458" r="L276"/>
      <c s="104" r="M276"/>
      <c s="458" r="N276"/>
      <c t="str" s="589" r="O276">
        <f>IF((AH$28=2),IF(ISBLANK(N276),O275,N276),IF(ISNUMBER(N276),(MAX(O$44:O275)+N276),O275))</f>
        <v/>
      </c>
      <c s="228" r="P276"/>
      <c s="273" r="Q276">
        <f>IF(ISNUMBER(P276),((Q275+P276)-R275),Q275)</f>
        <v>100</v>
      </c>
      <c s="228" r="R276"/>
      <c s="610" r="S276"/>
      <c s="458" r="T276"/>
      <c s="458" r="U276"/>
      <c s="458" r="V276"/>
      <c s="458" r="W276"/>
      <c s="458" r="X276"/>
      <c s="458" r="Y276"/>
      <c t="str" s="620" r="Z276">
        <f>IF(ISNUMBER(S276),(Q276-S276),NA())</f>
        <v>#N/A:explicit</v>
      </c>
      <c t="str" s="620" r="AA276">
        <f>IF(ISNUMBER(T276),IF((AH$22=1),(Z276+T276),(Q276-T276)),NA())</f>
        <v>#N/A:explicit</v>
      </c>
      <c t="str" s="620" r="AB276">
        <f>IF(ISNUMBER(U276),(Q276-U276),NA())</f>
        <v>#N/A:explicit</v>
      </c>
      <c t="str" s="620" r="AC276">
        <f>IF(ISNUMBER(V276),(Q276-V276),NA())</f>
        <v>#N/A:explicit</v>
      </c>
      <c t="str" s="620" r="AD276">
        <f>IF(ISNUMBER(W276),(Q276-W276),NA())</f>
        <v>#N/A:explicit</v>
      </c>
      <c t="str" s="620" r="AE276">
        <f>IF(ISNUMBER(X276),(Q276-X276),NA())</f>
        <v>#N/A:explicit</v>
      </c>
      <c t="str" s="552" r="AF276">
        <f>IF(ISNUMBER(Z276),Z276,"---")</f>
        <v>---</v>
      </c>
      <c s="142" r="AG276"/>
      <c t="str" s="142" r="AH276">
        <f>IF(ISBLANK(L276),NA(),MIN(AF$44:AF$361))</f>
        <v>#N/A:explicit</v>
      </c>
      <c t="str" s="142" r="AI276">
        <f>IF(ISNA(AA276),Z276,AA276)</f>
        <v>#N/A:explicit</v>
      </c>
      <c s="142" r="AJ276">
        <f>MIN(AF$44:AF$361)</f>
        <v>0</v>
      </c>
      <c s="142" r="AK276"/>
      <c t="str" s="142" r="AL276">
        <f>IF(ISNUMBER(AB276),O276,"---")</f>
        <v>---</v>
      </c>
      <c t="str" s="80" r="AM276">
        <f>IF(ISNUMBER(AB276),AB276,"---")</f>
        <v>---</v>
      </c>
      <c s="80" r="AN276"/>
      <c t="str" s="142" r="AO276">
        <f>IF((M276="r"),Z276,NA())</f>
        <v>#N/A:explicit</v>
      </c>
      <c t="str" s="142" r="AP276">
        <f>IF((M276="p"),Z276,NA())</f>
        <v>#N/A:explicit</v>
      </c>
      <c t="str" s="142" r="AQ276">
        <f>IF((M276="n"),Z276,NA())</f>
        <v>#N/A:explicit</v>
      </c>
      <c t="str" s="142" r="AR276">
        <f>IF((M276="g"),Z276,NA())</f>
        <v>#N/A:explicit</v>
      </c>
      <c s="142" r="AS276"/>
      <c t="str" s="142" r="AT276">
        <f>IF((COUNTA($M276:$M$361)=0),"---",IF(AND(($M276="r"),(COUNTA($M277:$M$361)&gt;0)),(MAX(AT$44:AT275)+1),IF(OR(($M275="p"),($M275="n"),($M275="g")),"---",AT275)))</f>
        <v>---</v>
      </c>
      <c t="str" s="142" r="AU276">
        <f>IF((COUNTA($M276:$M$361)=0),"---",IF(AND(($M276="p"),(COUNTA($M277:$M$361)&gt;0)),(MAX(AU$44:AU275)+1),IF(OR(($M275="r"),($M275="n"),($M275="g")),"---",AU275)))</f>
        <v>---</v>
      </c>
      <c t="str" s="142" r="AV276">
        <f>IF((COUNTA($M276:$M$361)=0),"---",IF(AND(($M276="n"),(COUNTA($M277:$M$361)&gt;0)),(MAX(AV$44:AV275)+1),IF(OR(($M275="r"),($M275="p"),($M275="g")),"---",AV275)))</f>
        <v>---</v>
      </c>
      <c t="str" s="142" r="AW276">
        <f>IF((COUNTA($M276:$M$361)=0),"---",IF(AND(($M276="g"),(COUNTA($M277:$M$361)&gt;0)),(MAX(AW$44:AW275)+1),IF(OR(($M275="r"),($M275="p"),($M275="n")),"---",AW275)))</f>
        <v>---</v>
      </c>
      <c s="676" r="AX276">
        <f>IF((M276="p"),(1+MAX(AX$44:AX275)),0)</f>
        <v>0</v>
      </c>
      <c s="51" r="AY276"/>
      <c s="761" r="AZ276"/>
      <c s="761" r="BA276"/>
      <c s="125" r="BB276"/>
      <c s="125" r="BC276"/>
      <c s="125" r="BD276"/>
      <c s="125" r="BE276"/>
      <c s="125" r="BF276"/>
      <c s="125" r="BG276"/>
      <c s="125" r="BH276"/>
      <c s="125" r="BI276"/>
    </row>
    <row r="277">
      <c s="125" r="A277"/>
      <c s="125" r="B277"/>
      <c s="125" r="C277"/>
      <c s="125" r="D277"/>
      <c s="125" r="E277"/>
      <c s="125" r="F277"/>
      <c s="125" r="G277"/>
      <c s="125" r="H277"/>
      <c s="125" r="I277"/>
      <c s="822" r="J277"/>
      <c s="429" r="K277"/>
      <c s="458" r="L277"/>
      <c s="104" r="M277"/>
      <c s="458" r="N277"/>
      <c t="str" s="589" r="O277">
        <f>IF((AH$28=2),IF(ISBLANK(N277),O276,N277),IF(ISNUMBER(N277),(MAX(O$44:O276)+N277),O276))</f>
        <v/>
      </c>
      <c s="228" r="P277"/>
      <c s="273" r="Q277">
        <f>IF(ISNUMBER(P277),((Q276+P277)-R276),Q276)</f>
        <v>100</v>
      </c>
      <c s="228" r="R277"/>
      <c s="610" r="S277"/>
      <c s="458" r="T277"/>
      <c s="458" r="U277"/>
      <c s="458" r="V277"/>
      <c s="458" r="W277"/>
      <c s="458" r="X277"/>
      <c s="458" r="Y277"/>
      <c t="str" s="620" r="Z277">
        <f>IF(ISNUMBER(S277),(Q277-S277),NA())</f>
        <v>#N/A:explicit</v>
      </c>
      <c t="str" s="620" r="AA277">
        <f>IF(ISNUMBER(T277),IF((AH$22=1),(Z277+T277),(Q277-T277)),NA())</f>
        <v>#N/A:explicit</v>
      </c>
      <c t="str" s="620" r="AB277">
        <f>IF(ISNUMBER(U277),(Q277-U277),NA())</f>
        <v>#N/A:explicit</v>
      </c>
      <c t="str" s="620" r="AC277">
        <f>IF(ISNUMBER(V277),(Q277-V277),NA())</f>
        <v>#N/A:explicit</v>
      </c>
      <c t="str" s="620" r="AD277">
        <f>IF(ISNUMBER(W277),(Q277-W277),NA())</f>
        <v>#N/A:explicit</v>
      </c>
      <c t="str" s="620" r="AE277">
        <f>IF(ISNUMBER(X277),(Q277-X277),NA())</f>
        <v>#N/A:explicit</v>
      </c>
      <c t="str" s="552" r="AF277">
        <f>IF(ISNUMBER(Z277),Z277,"---")</f>
        <v>---</v>
      </c>
      <c s="142" r="AG277"/>
      <c t="str" s="142" r="AH277">
        <f>IF(ISBLANK(L277),NA(),MIN(AF$44:AF$361))</f>
        <v>#N/A:explicit</v>
      </c>
      <c t="str" s="142" r="AI277">
        <f>IF(ISNA(AA277),Z277,AA277)</f>
        <v>#N/A:explicit</v>
      </c>
      <c s="142" r="AJ277">
        <f>MIN(AF$44:AF$361)</f>
        <v>0</v>
      </c>
      <c s="142" r="AK277"/>
      <c t="str" s="142" r="AL277">
        <f>IF(ISNUMBER(AB277),O277,"---")</f>
        <v>---</v>
      </c>
      <c t="str" s="80" r="AM277">
        <f>IF(ISNUMBER(AB277),AB277,"---")</f>
        <v>---</v>
      </c>
      <c s="80" r="AN277"/>
      <c t="str" s="142" r="AO277">
        <f>IF((M277="r"),Z277,NA())</f>
        <v>#N/A:explicit</v>
      </c>
      <c t="str" s="142" r="AP277">
        <f>IF((M277="p"),Z277,NA())</f>
        <v>#N/A:explicit</v>
      </c>
      <c t="str" s="142" r="AQ277">
        <f>IF((M277="n"),Z277,NA())</f>
        <v>#N/A:explicit</v>
      </c>
      <c t="str" s="142" r="AR277">
        <f>IF((M277="g"),Z277,NA())</f>
        <v>#N/A:explicit</v>
      </c>
      <c s="142" r="AS277"/>
      <c t="str" s="142" r="AT277">
        <f>IF((COUNTA($M277:$M$361)=0),"---",IF(AND(($M277="r"),(COUNTA($M278:$M$361)&gt;0)),(MAX(AT$44:AT276)+1),IF(OR(($M276="p"),($M276="n"),($M276="g")),"---",AT276)))</f>
        <v>---</v>
      </c>
      <c t="str" s="142" r="AU277">
        <f>IF((COUNTA($M277:$M$361)=0),"---",IF(AND(($M277="p"),(COUNTA($M278:$M$361)&gt;0)),(MAX(AU$44:AU276)+1),IF(OR(($M276="r"),($M276="n"),($M276="g")),"---",AU276)))</f>
        <v>---</v>
      </c>
      <c t="str" s="142" r="AV277">
        <f>IF((COUNTA($M277:$M$361)=0),"---",IF(AND(($M277="n"),(COUNTA($M278:$M$361)&gt;0)),(MAX(AV$44:AV276)+1),IF(OR(($M276="r"),($M276="p"),($M276="g")),"---",AV276)))</f>
        <v>---</v>
      </c>
      <c t="str" s="142" r="AW277">
        <f>IF((COUNTA($M277:$M$361)=0),"---",IF(AND(($M277="g"),(COUNTA($M278:$M$361)&gt;0)),(MAX(AW$44:AW276)+1),IF(OR(($M276="r"),($M276="p"),($M276="n")),"---",AW276)))</f>
        <v>---</v>
      </c>
      <c s="676" r="AX277">
        <f>IF((M277="p"),(1+MAX(AX$44:AX276)),0)</f>
        <v>0</v>
      </c>
      <c s="51" r="AY277"/>
      <c s="761" r="AZ277"/>
      <c s="761" r="BA277"/>
      <c s="125" r="BB277"/>
      <c s="125" r="BC277"/>
      <c s="125" r="BD277"/>
      <c s="125" r="BE277"/>
      <c s="125" r="BF277"/>
      <c s="125" r="BG277"/>
      <c s="125" r="BH277"/>
      <c s="125" r="BI277"/>
    </row>
    <row r="278">
      <c s="125" r="A278"/>
      <c s="125" r="B278"/>
      <c s="125" r="C278"/>
      <c s="125" r="D278"/>
      <c s="125" r="E278"/>
      <c s="125" r="F278"/>
      <c s="125" r="G278"/>
      <c s="125" r="H278"/>
      <c s="125" r="I278"/>
      <c s="822" r="J278"/>
      <c s="429" r="K278"/>
      <c s="458" r="L278"/>
      <c s="104" r="M278"/>
      <c s="458" r="N278"/>
      <c t="str" s="589" r="O278">
        <f>IF((AH$28=2),IF(ISBLANK(N278),O277,N278),IF(ISNUMBER(N278),(MAX(O$44:O277)+N278),O277))</f>
        <v/>
      </c>
      <c s="228" r="P278"/>
      <c s="273" r="Q278">
        <f>IF(ISNUMBER(P278),((Q277+P278)-R277),Q277)</f>
        <v>100</v>
      </c>
      <c s="228" r="R278"/>
      <c s="610" r="S278"/>
      <c s="458" r="T278"/>
      <c s="458" r="U278"/>
      <c s="458" r="V278"/>
      <c s="458" r="W278"/>
      <c s="458" r="X278"/>
      <c s="458" r="Y278"/>
      <c t="str" s="620" r="Z278">
        <f>IF(ISNUMBER(S278),(Q278-S278),NA())</f>
        <v>#N/A:explicit</v>
      </c>
      <c t="str" s="620" r="AA278">
        <f>IF(ISNUMBER(T278),IF((AH$22=1),(Z278+T278),(Q278-T278)),NA())</f>
        <v>#N/A:explicit</v>
      </c>
      <c t="str" s="620" r="AB278">
        <f>IF(ISNUMBER(U278),(Q278-U278),NA())</f>
        <v>#N/A:explicit</v>
      </c>
      <c t="str" s="620" r="AC278">
        <f>IF(ISNUMBER(V278),(Q278-V278),NA())</f>
        <v>#N/A:explicit</v>
      </c>
      <c t="str" s="620" r="AD278">
        <f>IF(ISNUMBER(W278),(Q278-W278),NA())</f>
        <v>#N/A:explicit</v>
      </c>
      <c t="str" s="620" r="AE278">
        <f>IF(ISNUMBER(X278),(Q278-X278),NA())</f>
        <v>#N/A:explicit</v>
      </c>
      <c t="str" s="552" r="AF278">
        <f>IF(ISNUMBER(Z278),Z278,"---")</f>
        <v>---</v>
      </c>
      <c s="142" r="AG278"/>
      <c t="str" s="142" r="AH278">
        <f>IF(ISBLANK(L278),NA(),MIN(AF$44:AF$361))</f>
        <v>#N/A:explicit</v>
      </c>
      <c t="str" s="142" r="AI278">
        <f>IF(ISNA(AA278),Z278,AA278)</f>
        <v>#N/A:explicit</v>
      </c>
      <c s="142" r="AJ278">
        <f>MIN(AF$44:AF$361)</f>
        <v>0</v>
      </c>
      <c s="142" r="AK278"/>
      <c t="str" s="142" r="AL278">
        <f>IF(ISNUMBER(AB278),O278,"---")</f>
        <v>---</v>
      </c>
      <c t="str" s="80" r="AM278">
        <f>IF(ISNUMBER(AB278),AB278,"---")</f>
        <v>---</v>
      </c>
      <c s="80" r="AN278"/>
      <c t="str" s="142" r="AO278">
        <f>IF((M278="r"),Z278,NA())</f>
        <v>#N/A:explicit</v>
      </c>
      <c t="str" s="142" r="AP278">
        <f>IF((M278="p"),Z278,NA())</f>
        <v>#N/A:explicit</v>
      </c>
      <c t="str" s="142" r="AQ278">
        <f>IF((M278="n"),Z278,NA())</f>
        <v>#N/A:explicit</v>
      </c>
      <c t="str" s="142" r="AR278">
        <f>IF((M278="g"),Z278,NA())</f>
        <v>#N/A:explicit</v>
      </c>
      <c s="142" r="AS278"/>
      <c t="str" s="142" r="AT278">
        <f>IF((COUNTA($M278:$M$361)=0),"---",IF(AND(($M278="r"),(COUNTA($M279:$M$361)&gt;0)),(MAX(AT$44:AT277)+1),IF(OR(($M277="p"),($M277="n"),($M277="g")),"---",AT277)))</f>
        <v>---</v>
      </c>
      <c t="str" s="142" r="AU278">
        <f>IF((COUNTA($M278:$M$361)=0),"---",IF(AND(($M278="p"),(COUNTA($M279:$M$361)&gt;0)),(MAX(AU$44:AU277)+1),IF(OR(($M277="r"),($M277="n"),($M277="g")),"---",AU277)))</f>
        <v>---</v>
      </c>
      <c t="str" s="142" r="AV278">
        <f>IF((COUNTA($M278:$M$361)=0),"---",IF(AND(($M278="n"),(COUNTA($M279:$M$361)&gt;0)),(MAX(AV$44:AV277)+1),IF(OR(($M277="r"),($M277="p"),($M277="g")),"---",AV277)))</f>
        <v>---</v>
      </c>
      <c t="str" s="142" r="AW278">
        <f>IF((COUNTA($M278:$M$361)=0),"---",IF(AND(($M278="g"),(COUNTA($M279:$M$361)&gt;0)),(MAX(AW$44:AW277)+1),IF(OR(($M277="r"),($M277="p"),($M277="n")),"---",AW277)))</f>
        <v>---</v>
      </c>
      <c s="676" r="AX278">
        <f>IF((M278="p"),(1+MAX(AX$44:AX277)),0)</f>
        <v>0</v>
      </c>
      <c s="51" r="AY278"/>
      <c s="761" r="AZ278"/>
      <c s="761" r="BA278"/>
      <c s="125" r="BB278"/>
      <c s="125" r="BC278"/>
      <c s="125" r="BD278"/>
      <c s="125" r="BE278"/>
      <c s="125" r="BF278"/>
      <c s="125" r="BG278"/>
      <c s="125" r="BH278"/>
      <c s="125" r="BI278"/>
    </row>
    <row r="279">
      <c s="125" r="A279"/>
      <c s="125" r="B279"/>
      <c s="125" r="C279"/>
      <c s="125" r="D279"/>
      <c s="125" r="E279"/>
      <c s="125" r="F279"/>
      <c s="125" r="G279"/>
      <c s="125" r="H279"/>
      <c s="125" r="I279"/>
      <c s="822" r="J279"/>
      <c s="848" r="K279"/>
      <c s="550" r="L279"/>
      <c s="104" r="M279"/>
      <c s="550" r="N279"/>
      <c t="str" s="589" r="O279">
        <f>IF((AH$28=2),IF(ISBLANK(N279),O278,N279),IF(ISNUMBER(N279),(MAX(O$44:O278)+N279),O278))</f>
        <v/>
      </c>
      <c s="694" r="P279"/>
      <c s="273" r="Q279">
        <f>IF(ISNUMBER(P279),((Q278+P279)-R278),Q278)</f>
        <v>100</v>
      </c>
      <c s="694" r="R279"/>
      <c s="821" r="S279"/>
      <c s="550" r="T279"/>
      <c s="550" r="U279"/>
      <c s="550" r="V279"/>
      <c s="550" r="W279"/>
      <c s="550" r="X279"/>
      <c s="550" r="Y279"/>
      <c t="str" s="470" r="Z279">
        <f>IF(ISNUMBER(S279),(Q279-S279),NA())</f>
        <v>#N/A:explicit</v>
      </c>
      <c t="str" s="470" r="AA279">
        <f>IF(ISNUMBER(T279),IF((AH$22=1),(Z279+T279),(Q279-T279)),NA())</f>
        <v>#N/A:explicit</v>
      </c>
      <c t="str" s="470" r="AB279">
        <f>IF(ISNUMBER(U279),(Q279-U279),NA())</f>
        <v>#N/A:explicit</v>
      </c>
      <c t="str" s="470" r="AC279">
        <f>IF(ISNUMBER(V279),(Q279-V279),NA())</f>
        <v>#N/A:explicit</v>
      </c>
      <c t="str" s="470" r="AD279">
        <f>IF(ISNUMBER(W279),(Q279-W279),NA())</f>
        <v>#N/A:explicit</v>
      </c>
      <c t="str" s="470" r="AE279">
        <f>IF(ISNUMBER(X279),(Q279-X279),NA())</f>
        <v>#N/A:explicit</v>
      </c>
      <c t="str" s="552" r="AF279">
        <f>IF(ISNUMBER(Z279),Z279,"---")</f>
        <v>---</v>
      </c>
      <c s="142" r="AG279"/>
      <c t="str" s="142" r="AH279">
        <f>IF(ISBLANK(L279),NA(),MIN(AF$44:AF$361))</f>
        <v>#N/A:explicit</v>
      </c>
      <c t="str" s="142" r="AI279">
        <f>IF(ISNA(AA279),Z279,AA279)</f>
        <v>#N/A:explicit</v>
      </c>
      <c s="142" r="AJ279">
        <f>MIN(AF$44:AF$361)</f>
        <v>0</v>
      </c>
      <c s="142" r="AK279"/>
      <c t="str" s="142" r="AL279">
        <f>IF(ISNUMBER(AB279),O279,"---")</f>
        <v>---</v>
      </c>
      <c t="str" s="80" r="AM279">
        <f>IF(ISNUMBER(AB279),AB279,"---")</f>
        <v>---</v>
      </c>
      <c s="80" r="AN279"/>
      <c t="str" s="142" r="AO279">
        <f>IF((M279="r"),Z279,NA())</f>
        <v>#N/A:explicit</v>
      </c>
      <c t="str" s="142" r="AP279">
        <f>IF((M279="p"),Z279,NA())</f>
        <v>#N/A:explicit</v>
      </c>
      <c t="str" s="142" r="AQ279">
        <f>IF((M279="n"),Z279,NA())</f>
        <v>#N/A:explicit</v>
      </c>
      <c t="str" s="142" r="AR279">
        <f>IF((M279="g"),Z279,NA())</f>
        <v>#N/A:explicit</v>
      </c>
      <c s="142" r="AS279"/>
      <c t="str" s="142" r="AT279">
        <f>IF((COUNTA($M279:$M$361)=0),"---",IF(AND(($M279="r"),(COUNTA($M280:$M$361)&gt;0)),(MAX(AT$44:AT278)+1),IF(OR(($M278="p"),($M278="n"),($M278="g")),"---",AT278)))</f>
        <v>---</v>
      </c>
      <c t="str" s="142" r="AU279">
        <f>IF((COUNTA($M279:$M$361)=0),"---",IF(AND(($M279="p"),(COUNTA($M280:$M$361)&gt;0)),(MAX(AU$44:AU278)+1),IF(OR(($M278="r"),($M278="n"),($M278="g")),"---",AU278)))</f>
        <v>---</v>
      </c>
      <c t="str" s="142" r="AV279">
        <f>IF((COUNTA($M279:$M$361)=0),"---",IF(AND(($M279="n"),(COUNTA($M280:$M$361)&gt;0)),(MAX(AV$44:AV278)+1),IF(OR(($M278="r"),($M278="p"),($M278="g")),"---",AV278)))</f>
        <v>---</v>
      </c>
      <c t="str" s="142" r="AW279">
        <f>IF((COUNTA($M279:$M$361)=0),"---",IF(AND(($M279="g"),(COUNTA($M280:$M$361)&gt;0)),(MAX(AW$44:AW278)+1),IF(OR(($M278="r"),($M278="p"),($M278="n")),"---",AW278)))</f>
        <v>---</v>
      </c>
      <c s="676" r="AX279">
        <f>IF((M279="p"),(1+MAX(AX$44:AX278)),0)</f>
        <v>0</v>
      </c>
      <c s="51" r="AY279"/>
      <c s="761" r="AZ279"/>
      <c s="761" r="BA279"/>
      <c s="125" r="BB279"/>
      <c s="125" r="BC279"/>
      <c s="125" r="BD279"/>
      <c s="125" r="BE279"/>
      <c s="125" r="BF279"/>
      <c s="125" r="BG279"/>
      <c s="125" r="BH279"/>
      <c s="125" r="BI279"/>
    </row>
    <row r="280">
      <c s="125" r="A280"/>
      <c s="125" r="B280"/>
      <c s="125" r="C280"/>
      <c s="125" r="D280"/>
      <c s="125" r="E280"/>
      <c s="125" r="F280"/>
      <c s="125" r="G280"/>
      <c s="125" r="H280"/>
      <c s="125" r="I280"/>
      <c s="822" r="J280"/>
      <c s="848" r="K280"/>
      <c s="550" r="L280"/>
      <c s="104" r="M280"/>
      <c s="550" r="N280"/>
      <c t="str" s="589" r="O280">
        <f>IF((AH$28=2),IF(ISBLANK(N280),O279,N280),IF(ISNUMBER(N280),(MAX(O$44:O279)+N280),O279))</f>
        <v/>
      </c>
      <c s="694" r="P280"/>
      <c s="273" r="Q280">
        <f>IF(ISNUMBER(P280),((Q279+P280)-R279),Q279)</f>
        <v>100</v>
      </c>
      <c s="694" r="R280"/>
      <c s="821" r="S280"/>
      <c s="550" r="T280"/>
      <c s="550" r="U280"/>
      <c s="550" r="V280"/>
      <c s="550" r="W280"/>
      <c s="550" r="X280"/>
      <c s="550" r="Y280"/>
      <c t="str" s="470" r="Z280">
        <f>IF(ISNUMBER(S280),(Q280-S280),NA())</f>
        <v>#N/A:explicit</v>
      </c>
      <c t="str" s="470" r="AA280">
        <f>IF(ISNUMBER(T280),IF((AH$22=1),(Z280+T280),(Q280-T280)),NA())</f>
        <v>#N/A:explicit</v>
      </c>
      <c t="str" s="470" r="AB280">
        <f>IF(ISNUMBER(U280),(Q280-U280),NA())</f>
        <v>#N/A:explicit</v>
      </c>
      <c t="str" s="470" r="AC280">
        <f>IF(ISNUMBER(V280),(Q280-V280),NA())</f>
        <v>#N/A:explicit</v>
      </c>
      <c t="str" s="470" r="AD280">
        <f>IF(ISNUMBER(W280),(Q280-W280),NA())</f>
        <v>#N/A:explicit</v>
      </c>
      <c t="str" s="470" r="AE280">
        <f>IF(ISNUMBER(X280),(Q280-X280),NA())</f>
        <v>#N/A:explicit</v>
      </c>
      <c t="str" s="552" r="AF280">
        <f>IF(ISNUMBER(Z280),Z280,"---")</f>
        <v>---</v>
      </c>
      <c s="142" r="AG280"/>
      <c t="str" s="142" r="AH280">
        <f>IF(ISBLANK(L280),NA(),MIN(AF$44:AF$361))</f>
        <v>#N/A:explicit</v>
      </c>
      <c t="str" s="142" r="AI280">
        <f>IF(ISNA(AA280),Z280,AA280)</f>
        <v>#N/A:explicit</v>
      </c>
      <c s="142" r="AJ280">
        <f>MIN(AF$44:AF$361)</f>
        <v>0</v>
      </c>
      <c s="142" r="AK280"/>
      <c t="str" s="142" r="AL280">
        <f>IF(ISNUMBER(AB280),O280,"---")</f>
        <v>---</v>
      </c>
      <c t="str" s="80" r="AM280">
        <f>IF(ISNUMBER(AB280),AB280,"---")</f>
        <v>---</v>
      </c>
      <c s="80" r="AN280"/>
      <c t="str" s="142" r="AO280">
        <f>IF((M280="r"),Z280,NA())</f>
        <v>#N/A:explicit</v>
      </c>
      <c t="str" s="142" r="AP280">
        <f>IF((M280="p"),Z280,NA())</f>
        <v>#N/A:explicit</v>
      </c>
      <c t="str" s="142" r="AQ280">
        <f>IF((M280="n"),Z280,NA())</f>
        <v>#N/A:explicit</v>
      </c>
      <c t="str" s="142" r="AR280">
        <f>IF((M280="g"),Z280,NA())</f>
        <v>#N/A:explicit</v>
      </c>
      <c s="142" r="AS280"/>
      <c t="str" s="142" r="AT280">
        <f>IF((COUNTA($M280:$M$361)=0),"---",IF(AND(($M280="r"),(COUNTA($M281:$M$361)&gt;0)),(MAX(AT$44:AT279)+1),IF(OR(($M279="p"),($M279="n"),($M279="g")),"---",AT279)))</f>
        <v>---</v>
      </c>
      <c t="str" s="142" r="AU280">
        <f>IF((COUNTA($M280:$M$361)=0),"---",IF(AND(($M280="p"),(COUNTA($M281:$M$361)&gt;0)),(MAX(AU$44:AU279)+1),IF(OR(($M279="r"),($M279="n"),($M279="g")),"---",AU279)))</f>
        <v>---</v>
      </c>
      <c t="str" s="142" r="AV280">
        <f>IF((COUNTA($M280:$M$361)=0),"---",IF(AND(($M280="n"),(COUNTA($M281:$M$361)&gt;0)),(MAX(AV$44:AV279)+1),IF(OR(($M279="r"),($M279="p"),($M279="g")),"---",AV279)))</f>
        <v>---</v>
      </c>
      <c t="str" s="142" r="AW280">
        <f>IF((COUNTA($M280:$M$361)=0),"---",IF(AND(($M280="g"),(COUNTA($M281:$M$361)&gt;0)),(MAX(AW$44:AW279)+1),IF(OR(($M279="r"),($M279="p"),($M279="n")),"---",AW279)))</f>
        <v>---</v>
      </c>
      <c s="676" r="AX280">
        <f>IF((M280="p"),(1+MAX(AX$44:AX279)),0)</f>
        <v>0</v>
      </c>
      <c s="51" r="AY280"/>
      <c s="761" r="AZ280"/>
      <c s="761" r="BA280"/>
      <c s="125" r="BB280"/>
      <c s="125" r="BC280"/>
      <c s="125" r="BD280"/>
      <c s="125" r="BE280"/>
      <c s="125" r="BF280"/>
      <c s="125" r="BG280"/>
      <c s="125" r="BH280"/>
      <c s="125" r="BI280"/>
    </row>
    <row r="281">
      <c s="125" r="A281"/>
      <c s="125" r="B281"/>
      <c s="125" r="C281"/>
      <c s="125" r="D281"/>
      <c s="125" r="E281"/>
      <c s="125" r="F281"/>
      <c s="125" r="G281"/>
      <c s="125" r="H281"/>
      <c s="125" r="I281"/>
      <c s="822" r="J281"/>
      <c s="848" r="K281"/>
      <c s="550" r="L281"/>
      <c s="104" r="M281"/>
      <c s="550" r="N281"/>
      <c t="str" s="589" r="O281">
        <f>IF((AH$28=2),IF(ISBLANK(N281),O280,N281),IF(ISNUMBER(N281),(MAX(O$44:O280)+N281),O280))</f>
        <v/>
      </c>
      <c s="694" r="P281"/>
      <c s="273" r="Q281">
        <f>IF(ISNUMBER(P281),((Q280+P281)-R280),Q280)</f>
        <v>100</v>
      </c>
      <c s="694" r="R281"/>
      <c s="821" r="S281"/>
      <c s="550" r="T281"/>
      <c s="550" r="U281"/>
      <c s="550" r="V281"/>
      <c s="550" r="W281"/>
      <c s="550" r="X281"/>
      <c s="550" r="Y281"/>
      <c t="str" s="470" r="Z281">
        <f>IF(ISNUMBER(S281),(Q281-S281),NA())</f>
        <v>#N/A:explicit</v>
      </c>
      <c t="str" s="470" r="AA281">
        <f>IF(ISNUMBER(T281),IF((AH$22=1),(Z281+T281),(Q281-T281)),NA())</f>
        <v>#N/A:explicit</v>
      </c>
      <c t="str" s="470" r="AB281">
        <f>IF(ISNUMBER(U281),(Q281-U281),NA())</f>
        <v>#N/A:explicit</v>
      </c>
      <c t="str" s="470" r="AC281">
        <f>IF(ISNUMBER(V281),(Q281-V281),NA())</f>
        <v>#N/A:explicit</v>
      </c>
      <c t="str" s="470" r="AD281">
        <f>IF(ISNUMBER(W281),(Q281-W281),NA())</f>
        <v>#N/A:explicit</v>
      </c>
      <c t="str" s="470" r="AE281">
        <f>IF(ISNUMBER(X281),(Q281-X281),NA())</f>
        <v>#N/A:explicit</v>
      </c>
      <c t="str" s="552" r="AF281">
        <f>IF(ISNUMBER(Z281),Z281,"---")</f>
        <v>---</v>
      </c>
      <c s="142" r="AG281"/>
      <c t="str" s="142" r="AH281">
        <f>IF(ISBLANK(L281),NA(),MIN(AF$44:AF$361))</f>
        <v>#N/A:explicit</v>
      </c>
      <c t="str" s="142" r="AI281">
        <f>IF(ISNA(AA281),Z281,AA281)</f>
        <v>#N/A:explicit</v>
      </c>
      <c s="142" r="AJ281">
        <f>MIN(AF$44:AF$361)</f>
        <v>0</v>
      </c>
      <c s="142" r="AK281"/>
      <c t="str" s="142" r="AL281">
        <f>IF(ISNUMBER(AB281),O281,"---")</f>
        <v>---</v>
      </c>
      <c t="str" s="80" r="AM281">
        <f>IF(ISNUMBER(AB281),AB281,"---")</f>
        <v>---</v>
      </c>
      <c s="80" r="AN281"/>
      <c t="str" s="142" r="AO281">
        <f>IF((M281="r"),Z281,NA())</f>
        <v>#N/A:explicit</v>
      </c>
      <c t="str" s="142" r="AP281">
        <f>IF((M281="p"),Z281,NA())</f>
        <v>#N/A:explicit</v>
      </c>
      <c t="str" s="142" r="AQ281">
        <f>IF((M281="n"),Z281,NA())</f>
        <v>#N/A:explicit</v>
      </c>
      <c t="str" s="142" r="AR281">
        <f>IF((M281="g"),Z281,NA())</f>
        <v>#N/A:explicit</v>
      </c>
      <c s="142" r="AS281"/>
      <c t="str" s="142" r="AT281">
        <f>IF((COUNTA($M281:$M$361)=0),"---",IF(AND(($M281="r"),(COUNTA($M282:$M$361)&gt;0)),(MAX(AT$44:AT280)+1),IF(OR(($M280="p"),($M280="n"),($M280="g")),"---",AT280)))</f>
        <v>---</v>
      </c>
      <c t="str" s="142" r="AU281">
        <f>IF((COUNTA($M281:$M$361)=0),"---",IF(AND(($M281="p"),(COUNTA($M282:$M$361)&gt;0)),(MAX(AU$44:AU280)+1),IF(OR(($M280="r"),($M280="n"),($M280="g")),"---",AU280)))</f>
        <v>---</v>
      </c>
      <c t="str" s="142" r="AV281">
        <f>IF((COUNTA($M281:$M$361)=0),"---",IF(AND(($M281="n"),(COUNTA($M282:$M$361)&gt;0)),(MAX(AV$44:AV280)+1),IF(OR(($M280="r"),($M280="p"),($M280="g")),"---",AV280)))</f>
        <v>---</v>
      </c>
      <c t="str" s="142" r="AW281">
        <f>IF((COUNTA($M281:$M$361)=0),"---",IF(AND(($M281="g"),(COUNTA($M282:$M$361)&gt;0)),(MAX(AW$44:AW280)+1),IF(OR(($M280="r"),($M280="p"),($M280="n")),"---",AW280)))</f>
        <v>---</v>
      </c>
      <c s="676" r="AX281">
        <f>IF((M281="p"),(1+MAX(AX$44:AX280)),0)</f>
        <v>0</v>
      </c>
      <c s="51" r="AY281"/>
      <c s="761" r="AZ281"/>
      <c s="761" r="BA281"/>
      <c s="125" r="BB281"/>
      <c s="125" r="BC281"/>
      <c s="125" r="BD281"/>
      <c s="125" r="BE281"/>
      <c s="125" r="BF281"/>
      <c s="125" r="BG281"/>
      <c s="125" r="BH281"/>
      <c s="125" r="BI281"/>
    </row>
    <row r="282">
      <c s="125" r="A282"/>
      <c s="125" r="B282"/>
      <c s="125" r="C282"/>
      <c s="125" r="D282"/>
      <c s="125" r="E282"/>
      <c s="125" r="F282"/>
      <c s="125" r="G282"/>
      <c s="125" r="H282"/>
      <c s="125" r="I282"/>
      <c s="822" r="J282"/>
      <c s="429" r="K282"/>
      <c s="458" r="L282"/>
      <c s="104" r="M282"/>
      <c s="458" r="N282"/>
      <c t="str" s="589" r="O282">
        <f>IF((AH$28=2),IF(ISBLANK(N282),O281,N282),IF(ISNUMBER(N282),(MAX(O$44:O281)+N282),O281))</f>
        <v/>
      </c>
      <c s="228" r="P282"/>
      <c s="273" r="Q282">
        <f>IF(ISNUMBER(P282),((Q281+P282)-R281),Q281)</f>
        <v>100</v>
      </c>
      <c s="228" r="R282"/>
      <c s="610" r="S282"/>
      <c s="458" r="T282"/>
      <c s="458" r="U282"/>
      <c s="458" r="V282"/>
      <c s="458" r="W282"/>
      <c s="458" r="X282"/>
      <c s="458" r="Y282"/>
      <c t="str" s="620" r="Z282">
        <f>IF(ISNUMBER(S282),(Q282-S282),NA())</f>
        <v>#N/A:explicit</v>
      </c>
      <c t="str" s="620" r="AA282">
        <f>IF(ISNUMBER(T282),IF((AH$22=1),(Z282+T282),(Q282-T282)),NA())</f>
        <v>#N/A:explicit</v>
      </c>
      <c t="str" s="620" r="AB282">
        <f>IF(ISNUMBER(U282),(Q282-U282),NA())</f>
        <v>#N/A:explicit</v>
      </c>
      <c t="str" s="620" r="AC282">
        <f>IF(ISNUMBER(V282),(Q282-V282),NA())</f>
        <v>#N/A:explicit</v>
      </c>
      <c t="str" s="620" r="AD282">
        <f>IF(ISNUMBER(W282),(Q282-W282),NA())</f>
        <v>#N/A:explicit</v>
      </c>
      <c t="str" s="620" r="AE282">
        <f>IF(ISNUMBER(X282),(Q282-X282),NA())</f>
        <v>#N/A:explicit</v>
      </c>
      <c t="str" s="552" r="AF282">
        <f>IF(ISNUMBER(Z282),Z282,"---")</f>
        <v>---</v>
      </c>
      <c s="142" r="AG282"/>
      <c t="str" s="142" r="AH282">
        <f>IF(ISBLANK(L282),NA(),MIN(AF$44:AF$361))</f>
        <v>#N/A:explicit</v>
      </c>
      <c t="str" s="142" r="AI282">
        <f>IF(ISNA(AA282),Z282,AA282)</f>
        <v>#N/A:explicit</v>
      </c>
      <c s="142" r="AJ282">
        <f>MIN(AF$44:AF$361)</f>
        <v>0</v>
      </c>
      <c s="142" r="AK282"/>
      <c t="str" s="142" r="AL282">
        <f>IF(ISNUMBER(AB282),O282,"---")</f>
        <v>---</v>
      </c>
      <c t="str" s="80" r="AM282">
        <f>IF(ISNUMBER(AB282),AB282,"---")</f>
        <v>---</v>
      </c>
      <c s="80" r="AN282"/>
      <c t="str" s="142" r="AO282">
        <f>IF((M282="r"),Z282,NA())</f>
        <v>#N/A:explicit</v>
      </c>
      <c t="str" s="142" r="AP282">
        <f>IF((M282="p"),Z282,NA())</f>
        <v>#N/A:explicit</v>
      </c>
      <c t="str" s="142" r="AQ282">
        <f>IF((M282="n"),Z282,NA())</f>
        <v>#N/A:explicit</v>
      </c>
      <c t="str" s="142" r="AR282">
        <f>IF((M282="g"),Z282,NA())</f>
        <v>#N/A:explicit</v>
      </c>
      <c s="142" r="AS282"/>
      <c t="str" s="142" r="AT282">
        <f>IF((COUNTA($M282:$M$361)=0),"---",IF(AND(($M282="r"),(COUNTA($M283:$M$361)&gt;0)),(MAX(AT$44:AT281)+1),IF(OR(($M281="p"),($M281="n"),($M281="g")),"---",AT281)))</f>
        <v>---</v>
      </c>
      <c t="str" s="142" r="AU282">
        <f>IF((COUNTA($M282:$M$361)=0),"---",IF(AND(($M282="p"),(COUNTA($M283:$M$361)&gt;0)),(MAX(AU$44:AU281)+1),IF(OR(($M281="r"),($M281="n"),($M281="g")),"---",AU281)))</f>
        <v>---</v>
      </c>
      <c t="str" s="142" r="AV282">
        <f>IF((COUNTA($M282:$M$361)=0),"---",IF(AND(($M282="n"),(COUNTA($M283:$M$361)&gt;0)),(MAX(AV$44:AV281)+1),IF(OR(($M281="r"),($M281="p"),($M281="g")),"---",AV281)))</f>
        <v>---</v>
      </c>
      <c t="str" s="142" r="AW282">
        <f>IF((COUNTA($M282:$M$361)=0),"---",IF(AND(($M282="g"),(COUNTA($M283:$M$361)&gt;0)),(MAX(AW$44:AW281)+1),IF(OR(($M281="r"),($M281="p"),($M281="n")),"---",AW281)))</f>
        <v>---</v>
      </c>
      <c s="676" r="AX282">
        <f>IF((M282="p"),(1+MAX(AX$44:AX281)),0)</f>
        <v>0</v>
      </c>
      <c s="51" r="AY282"/>
      <c s="761" r="AZ282"/>
      <c s="761" r="BA282"/>
      <c s="125" r="BB282"/>
      <c s="125" r="BC282"/>
      <c s="125" r="BD282"/>
      <c s="125" r="BE282"/>
      <c s="125" r="BF282"/>
      <c s="125" r="BG282"/>
      <c s="125" r="BH282"/>
      <c s="125" r="BI282"/>
    </row>
    <row r="283">
      <c s="125" r="A283"/>
      <c s="125" r="B283"/>
      <c s="125" r="C283"/>
      <c s="125" r="D283"/>
      <c s="125" r="E283"/>
      <c s="125" r="F283"/>
      <c s="125" r="G283"/>
      <c s="125" r="H283"/>
      <c s="125" r="I283"/>
      <c s="822" r="J283"/>
      <c s="429" r="K283"/>
      <c s="458" r="L283"/>
      <c s="104" r="M283"/>
      <c s="458" r="N283"/>
      <c t="str" s="589" r="O283">
        <f>IF((AH$28=2),IF(ISBLANK(N283),O282,N283),IF(ISNUMBER(N283),(MAX(O$44:O282)+N283),O282))</f>
        <v/>
      </c>
      <c s="228" r="P283"/>
      <c s="273" r="Q283">
        <f>IF(ISNUMBER(P283),((Q282+P283)-R282),Q282)</f>
        <v>100</v>
      </c>
      <c s="228" r="R283"/>
      <c s="610" r="S283"/>
      <c s="458" r="T283"/>
      <c s="458" r="U283"/>
      <c s="458" r="V283"/>
      <c s="458" r="W283"/>
      <c s="458" r="X283"/>
      <c s="458" r="Y283"/>
      <c t="str" s="620" r="Z283">
        <f>IF(ISNUMBER(S283),(Q283-S283),NA())</f>
        <v>#N/A:explicit</v>
      </c>
      <c t="str" s="620" r="AA283">
        <f>IF(ISNUMBER(T283),IF((AH$22=1),(Z283+T283),(Q283-T283)),NA())</f>
        <v>#N/A:explicit</v>
      </c>
      <c t="str" s="620" r="AB283">
        <f>IF(ISNUMBER(U283),(Q283-U283),NA())</f>
        <v>#N/A:explicit</v>
      </c>
      <c t="str" s="620" r="AC283">
        <f>IF(ISNUMBER(V283),(Q283-V283),NA())</f>
        <v>#N/A:explicit</v>
      </c>
      <c t="str" s="620" r="AD283">
        <f>IF(ISNUMBER(W283),(Q283-W283),NA())</f>
        <v>#N/A:explicit</v>
      </c>
      <c t="str" s="620" r="AE283">
        <f>IF(ISNUMBER(X283),(Q283-X283),NA())</f>
        <v>#N/A:explicit</v>
      </c>
      <c t="str" s="552" r="AF283">
        <f>IF(ISNUMBER(Z283),Z283,"---")</f>
        <v>---</v>
      </c>
      <c s="142" r="AG283"/>
      <c t="str" s="142" r="AH283">
        <f>IF(ISBLANK(L283),NA(),MIN(AF$44:AF$361))</f>
        <v>#N/A:explicit</v>
      </c>
      <c t="str" s="142" r="AI283">
        <f>IF(ISNA(AA283),Z283,AA283)</f>
        <v>#N/A:explicit</v>
      </c>
      <c s="142" r="AJ283">
        <f>MIN(AF$44:AF$361)</f>
        <v>0</v>
      </c>
      <c s="142" r="AK283"/>
      <c t="str" s="142" r="AL283">
        <f>IF(ISNUMBER(AB283),O283,"---")</f>
        <v>---</v>
      </c>
      <c t="str" s="80" r="AM283">
        <f>IF(ISNUMBER(AB283),AB283,"---")</f>
        <v>---</v>
      </c>
      <c s="80" r="AN283"/>
      <c t="str" s="142" r="AO283">
        <f>IF((M283="r"),Z283,NA())</f>
        <v>#N/A:explicit</v>
      </c>
      <c t="str" s="142" r="AP283">
        <f>IF((M283="p"),Z283,NA())</f>
        <v>#N/A:explicit</v>
      </c>
      <c t="str" s="142" r="AQ283">
        <f>IF((M283="n"),Z283,NA())</f>
        <v>#N/A:explicit</v>
      </c>
      <c t="str" s="142" r="AR283">
        <f>IF((M283="g"),Z283,NA())</f>
        <v>#N/A:explicit</v>
      </c>
      <c s="142" r="AS283"/>
      <c t="str" s="142" r="AT283">
        <f>IF((COUNTA($M283:$M$361)=0),"---",IF(AND(($M283="r"),(COUNTA($M284:$M$361)&gt;0)),(MAX(AT$44:AT282)+1),IF(OR(($M282="p"),($M282="n"),($M282="g")),"---",AT282)))</f>
        <v>---</v>
      </c>
      <c t="str" s="142" r="AU283">
        <f>IF((COUNTA($M283:$M$361)=0),"---",IF(AND(($M283="p"),(COUNTA($M284:$M$361)&gt;0)),(MAX(AU$44:AU282)+1),IF(OR(($M282="r"),($M282="n"),($M282="g")),"---",AU282)))</f>
        <v>---</v>
      </c>
      <c t="str" s="142" r="AV283">
        <f>IF((COUNTA($M283:$M$361)=0),"---",IF(AND(($M283="n"),(COUNTA($M284:$M$361)&gt;0)),(MAX(AV$44:AV282)+1),IF(OR(($M282="r"),($M282="p"),($M282="g")),"---",AV282)))</f>
        <v>---</v>
      </c>
      <c t="str" s="142" r="AW283">
        <f>IF((COUNTA($M283:$M$361)=0),"---",IF(AND(($M283="g"),(COUNTA($M284:$M$361)&gt;0)),(MAX(AW$44:AW282)+1),IF(OR(($M282="r"),($M282="p"),($M282="n")),"---",AW282)))</f>
        <v>---</v>
      </c>
      <c s="676" r="AX283">
        <f>IF((M283="p"),(1+MAX(AX$44:AX282)),0)</f>
        <v>0</v>
      </c>
      <c s="51" r="AY283"/>
      <c s="761" r="AZ283"/>
      <c s="761" r="BA283"/>
      <c s="125" r="BB283"/>
      <c s="125" r="BC283"/>
      <c s="125" r="BD283"/>
      <c s="125" r="BE283"/>
      <c s="125" r="BF283"/>
      <c s="125" r="BG283"/>
      <c s="125" r="BH283"/>
      <c s="125" r="BI283"/>
    </row>
    <row r="284">
      <c s="125" r="A284"/>
      <c s="125" r="B284"/>
      <c s="125" r="C284"/>
      <c s="125" r="D284"/>
      <c s="125" r="E284"/>
      <c s="125" r="F284"/>
      <c s="125" r="G284"/>
      <c s="125" r="H284"/>
      <c s="125" r="I284"/>
      <c s="822" r="J284"/>
      <c s="429" r="K284"/>
      <c s="458" r="L284"/>
      <c s="104" r="M284"/>
      <c s="458" r="N284"/>
      <c t="str" s="589" r="O284">
        <f>IF((AH$28=2),IF(ISBLANK(N284),O283,N284),IF(ISNUMBER(N284),(MAX(O$44:O283)+N284),O283))</f>
        <v/>
      </c>
      <c s="228" r="P284"/>
      <c s="273" r="Q284">
        <f>IF(ISNUMBER(P284),((Q283+P284)-R283),Q283)</f>
        <v>100</v>
      </c>
      <c s="228" r="R284"/>
      <c s="610" r="S284"/>
      <c s="458" r="T284"/>
      <c s="458" r="U284"/>
      <c s="458" r="V284"/>
      <c s="458" r="W284"/>
      <c s="458" r="X284"/>
      <c s="458" r="Y284"/>
      <c t="str" s="620" r="Z284">
        <f>IF(ISNUMBER(S284),(Q284-S284),NA())</f>
        <v>#N/A:explicit</v>
      </c>
      <c t="str" s="620" r="AA284">
        <f>IF(ISNUMBER(T284),IF((AH$22=1),(Z284+T284),(Q284-T284)),NA())</f>
        <v>#N/A:explicit</v>
      </c>
      <c t="str" s="620" r="AB284">
        <f>IF(ISNUMBER(U284),(Q284-U284),NA())</f>
        <v>#N/A:explicit</v>
      </c>
      <c t="str" s="620" r="AC284">
        <f>IF(ISNUMBER(V284),(Q284-V284),NA())</f>
        <v>#N/A:explicit</v>
      </c>
      <c t="str" s="620" r="AD284">
        <f>IF(ISNUMBER(W284),(Q284-W284),NA())</f>
        <v>#N/A:explicit</v>
      </c>
      <c t="str" s="620" r="AE284">
        <f>IF(ISNUMBER(X284),(Q284-X284),NA())</f>
        <v>#N/A:explicit</v>
      </c>
      <c t="str" s="552" r="AF284">
        <f>IF(ISNUMBER(Z284),Z284,"---")</f>
        <v>---</v>
      </c>
      <c s="142" r="AG284"/>
      <c t="str" s="142" r="AH284">
        <f>IF(ISBLANK(L284),NA(),MIN(AF$44:AF$361))</f>
        <v>#N/A:explicit</v>
      </c>
      <c t="str" s="142" r="AI284">
        <f>IF(ISNA(AA284),Z284,AA284)</f>
        <v>#N/A:explicit</v>
      </c>
      <c s="142" r="AJ284">
        <f>MIN(AF$44:AF$361)</f>
        <v>0</v>
      </c>
      <c s="142" r="AK284"/>
      <c t="str" s="142" r="AL284">
        <f>IF(ISNUMBER(AB284),O284,"---")</f>
        <v>---</v>
      </c>
      <c t="str" s="80" r="AM284">
        <f>IF(ISNUMBER(AB284),AB284,"---")</f>
        <v>---</v>
      </c>
      <c s="80" r="AN284"/>
      <c t="str" s="142" r="AO284">
        <f>IF((M284="r"),Z284,NA())</f>
        <v>#N/A:explicit</v>
      </c>
      <c t="str" s="142" r="AP284">
        <f>IF((M284="p"),Z284,NA())</f>
        <v>#N/A:explicit</v>
      </c>
      <c t="str" s="142" r="AQ284">
        <f>IF((M284="n"),Z284,NA())</f>
        <v>#N/A:explicit</v>
      </c>
      <c t="str" s="142" r="AR284">
        <f>IF((M284="g"),Z284,NA())</f>
        <v>#N/A:explicit</v>
      </c>
      <c s="142" r="AS284"/>
      <c t="str" s="142" r="AT284">
        <f>IF((COUNTA($M284:$M$361)=0),"---",IF(AND(($M284="r"),(COUNTA($M285:$M$361)&gt;0)),(MAX(AT$44:AT283)+1),IF(OR(($M283="p"),($M283="n"),($M283="g")),"---",AT283)))</f>
        <v>---</v>
      </c>
      <c t="str" s="142" r="AU284">
        <f>IF((COUNTA($M284:$M$361)=0),"---",IF(AND(($M284="p"),(COUNTA($M285:$M$361)&gt;0)),(MAX(AU$44:AU283)+1),IF(OR(($M283="r"),($M283="n"),($M283="g")),"---",AU283)))</f>
        <v>---</v>
      </c>
      <c t="str" s="142" r="AV284">
        <f>IF((COUNTA($M284:$M$361)=0),"---",IF(AND(($M284="n"),(COUNTA($M285:$M$361)&gt;0)),(MAX(AV$44:AV283)+1),IF(OR(($M283="r"),($M283="p"),($M283="g")),"---",AV283)))</f>
        <v>---</v>
      </c>
      <c t="str" s="142" r="AW284">
        <f>IF((COUNTA($M284:$M$361)=0),"---",IF(AND(($M284="g"),(COUNTA($M285:$M$361)&gt;0)),(MAX(AW$44:AW283)+1),IF(OR(($M283="r"),($M283="p"),($M283="n")),"---",AW283)))</f>
        <v>---</v>
      </c>
      <c s="676" r="AX284">
        <f>IF((M284="p"),(1+MAX(AX$44:AX283)),0)</f>
        <v>0</v>
      </c>
      <c s="51" r="AY284"/>
      <c s="761" r="AZ284"/>
      <c s="761" r="BA284"/>
      <c s="125" r="BB284"/>
      <c s="125" r="BC284"/>
      <c s="125" r="BD284"/>
      <c s="125" r="BE284"/>
      <c s="125" r="BF284"/>
      <c s="125" r="BG284"/>
      <c s="125" r="BH284"/>
      <c s="125" r="BI284"/>
    </row>
    <row r="285">
      <c s="125" r="A285"/>
      <c s="125" r="B285"/>
      <c s="125" r="C285"/>
      <c s="125" r="D285"/>
      <c s="125" r="E285"/>
      <c s="125" r="F285"/>
      <c s="125" r="G285"/>
      <c s="125" r="H285"/>
      <c s="125" r="I285"/>
      <c s="822" r="J285"/>
      <c s="848" r="K285"/>
      <c s="550" r="L285"/>
      <c s="104" r="M285"/>
      <c s="550" r="N285"/>
      <c t="str" s="589" r="O285">
        <f>IF((AH$28=2),IF(ISBLANK(N285),O284,N285),IF(ISNUMBER(N285),(MAX(O$44:O284)+N285),O284))</f>
        <v/>
      </c>
      <c s="694" r="P285"/>
      <c s="273" r="Q285">
        <f>IF(ISNUMBER(P285),((Q284+P285)-R284),Q284)</f>
        <v>100</v>
      </c>
      <c s="694" r="R285"/>
      <c s="821" r="S285"/>
      <c s="550" r="T285"/>
      <c s="550" r="U285"/>
      <c s="550" r="V285"/>
      <c s="550" r="W285"/>
      <c s="550" r="X285"/>
      <c s="550" r="Y285"/>
      <c t="str" s="470" r="Z285">
        <f>IF(ISNUMBER(S285),(Q285-S285),NA())</f>
        <v>#N/A:explicit</v>
      </c>
      <c t="str" s="470" r="AA285">
        <f>IF(ISNUMBER(T285),IF((AH$22=1),(Z285+T285),(Q285-T285)),NA())</f>
        <v>#N/A:explicit</v>
      </c>
      <c t="str" s="470" r="AB285">
        <f>IF(ISNUMBER(U285),(Q285-U285),NA())</f>
        <v>#N/A:explicit</v>
      </c>
      <c t="str" s="470" r="AC285">
        <f>IF(ISNUMBER(V285),(Q285-V285),NA())</f>
        <v>#N/A:explicit</v>
      </c>
      <c t="str" s="470" r="AD285">
        <f>IF(ISNUMBER(W285),(Q285-W285),NA())</f>
        <v>#N/A:explicit</v>
      </c>
      <c t="str" s="470" r="AE285">
        <f>IF(ISNUMBER(X285),(Q285-X285),NA())</f>
        <v>#N/A:explicit</v>
      </c>
      <c t="str" s="552" r="AF285">
        <f>IF(ISNUMBER(Z285),Z285,"---")</f>
        <v>---</v>
      </c>
      <c s="142" r="AG285"/>
      <c t="str" s="142" r="AH285">
        <f>IF(ISBLANK(L285),NA(),MIN(AF$44:AF$361))</f>
        <v>#N/A:explicit</v>
      </c>
      <c t="str" s="142" r="AI285">
        <f>IF(ISNA(AA285),Z285,AA285)</f>
        <v>#N/A:explicit</v>
      </c>
      <c s="142" r="AJ285">
        <f>MIN(AF$44:AF$361)</f>
        <v>0</v>
      </c>
      <c s="142" r="AK285"/>
      <c t="str" s="142" r="AL285">
        <f>IF(ISNUMBER(AB285),O285,"---")</f>
        <v>---</v>
      </c>
      <c t="str" s="80" r="AM285">
        <f>IF(ISNUMBER(AB285),AB285,"---")</f>
        <v>---</v>
      </c>
      <c s="80" r="AN285"/>
      <c t="str" s="142" r="AO285">
        <f>IF((M285="r"),Z285,NA())</f>
        <v>#N/A:explicit</v>
      </c>
      <c t="str" s="142" r="AP285">
        <f>IF((M285="p"),Z285,NA())</f>
        <v>#N/A:explicit</v>
      </c>
      <c t="str" s="142" r="AQ285">
        <f>IF((M285="n"),Z285,NA())</f>
        <v>#N/A:explicit</v>
      </c>
      <c t="str" s="142" r="AR285">
        <f>IF((M285="g"),Z285,NA())</f>
        <v>#N/A:explicit</v>
      </c>
      <c s="142" r="AS285"/>
      <c t="str" s="142" r="AT285">
        <f>IF((COUNTA($M285:$M$361)=0),"---",IF(AND(($M285="r"),(COUNTA($M286:$M$361)&gt;0)),(MAX(AT$44:AT284)+1),IF(OR(($M284="p"),($M284="n"),($M284="g")),"---",AT284)))</f>
        <v>---</v>
      </c>
      <c t="str" s="142" r="AU285">
        <f>IF((COUNTA($M285:$M$361)=0),"---",IF(AND(($M285="p"),(COUNTA($M286:$M$361)&gt;0)),(MAX(AU$44:AU284)+1),IF(OR(($M284="r"),($M284="n"),($M284="g")),"---",AU284)))</f>
        <v>---</v>
      </c>
      <c t="str" s="142" r="AV285">
        <f>IF((COUNTA($M285:$M$361)=0),"---",IF(AND(($M285="n"),(COUNTA($M286:$M$361)&gt;0)),(MAX(AV$44:AV284)+1),IF(OR(($M284="r"),($M284="p"),($M284="g")),"---",AV284)))</f>
        <v>---</v>
      </c>
      <c t="str" s="142" r="AW285">
        <f>IF((COUNTA($M285:$M$361)=0),"---",IF(AND(($M285="g"),(COUNTA($M286:$M$361)&gt;0)),(MAX(AW$44:AW284)+1),IF(OR(($M284="r"),($M284="p"),($M284="n")),"---",AW284)))</f>
        <v>---</v>
      </c>
      <c s="676" r="AX285">
        <f>IF((M285="p"),(1+MAX(AX$44:AX284)),0)</f>
        <v>0</v>
      </c>
      <c s="51" r="AY285"/>
      <c s="761" r="AZ285"/>
      <c s="761" r="BA285"/>
      <c s="125" r="BB285"/>
      <c s="125" r="BC285"/>
      <c s="125" r="BD285"/>
      <c s="125" r="BE285"/>
      <c s="125" r="BF285"/>
      <c s="125" r="BG285"/>
      <c s="125" r="BH285"/>
      <c s="125" r="BI285"/>
    </row>
    <row r="286">
      <c s="125" r="A286"/>
      <c s="125" r="B286"/>
      <c s="125" r="C286"/>
      <c s="125" r="D286"/>
      <c s="125" r="E286"/>
      <c s="125" r="F286"/>
      <c s="125" r="G286"/>
      <c s="125" r="H286"/>
      <c s="125" r="I286"/>
      <c s="822" r="J286"/>
      <c s="848" r="K286"/>
      <c s="550" r="L286"/>
      <c s="104" r="M286"/>
      <c s="550" r="N286"/>
      <c t="str" s="589" r="O286">
        <f>IF((AH$28=2),IF(ISBLANK(N286),O285,N286),IF(ISNUMBER(N286),(MAX(O$44:O285)+N286),O285))</f>
        <v/>
      </c>
      <c s="694" r="P286"/>
      <c s="273" r="Q286">
        <f>IF(ISNUMBER(P286),((Q285+P286)-R285),Q285)</f>
        <v>100</v>
      </c>
      <c s="694" r="R286"/>
      <c s="821" r="S286"/>
      <c s="550" r="T286"/>
      <c s="550" r="U286"/>
      <c s="550" r="V286"/>
      <c s="550" r="W286"/>
      <c s="550" r="X286"/>
      <c s="550" r="Y286"/>
      <c t="str" s="470" r="Z286">
        <f>IF(ISNUMBER(S286),(Q286-S286),NA())</f>
        <v>#N/A:explicit</v>
      </c>
      <c t="str" s="470" r="AA286">
        <f>IF(ISNUMBER(T286),IF((AH$22=1),(Z286+T286),(Q286-T286)),NA())</f>
        <v>#N/A:explicit</v>
      </c>
      <c t="str" s="470" r="AB286">
        <f>IF(ISNUMBER(U286),(Q286-U286),NA())</f>
        <v>#N/A:explicit</v>
      </c>
      <c t="str" s="470" r="AC286">
        <f>IF(ISNUMBER(V286),(Q286-V286),NA())</f>
        <v>#N/A:explicit</v>
      </c>
      <c t="str" s="470" r="AD286">
        <f>IF(ISNUMBER(W286),(Q286-W286),NA())</f>
        <v>#N/A:explicit</v>
      </c>
      <c t="str" s="470" r="AE286">
        <f>IF(ISNUMBER(X286),(Q286-X286),NA())</f>
        <v>#N/A:explicit</v>
      </c>
      <c t="str" s="552" r="AF286">
        <f>IF(ISNUMBER(Z286),Z286,"---")</f>
        <v>---</v>
      </c>
      <c s="142" r="AG286"/>
      <c t="str" s="142" r="AH286">
        <f>IF(ISBLANK(L286),NA(),MIN(AF$44:AF$361))</f>
        <v>#N/A:explicit</v>
      </c>
      <c t="str" s="142" r="AI286">
        <f>IF(ISNA(AA286),Z286,AA286)</f>
        <v>#N/A:explicit</v>
      </c>
      <c s="142" r="AJ286">
        <f>MIN(AF$44:AF$361)</f>
        <v>0</v>
      </c>
      <c s="142" r="AK286"/>
      <c t="str" s="142" r="AL286">
        <f>IF(ISNUMBER(AB286),O286,"---")</f>
        <v>---</v>
      </c>
      <c t="str" s="80" r="AM286">
        <f>IF(ISNUMBER(AB286),AB286,"---")</f>
        <v>---</v>
      </c>
      <c s="80" r="AN286"/>
      <c t="str" s="142" r="AO286">
        <f>IF((M286="r"),Z286,NA())</f>
        <v>#N/A:explicit</v>
      </c>
      <c t="str" s="142" r="AP286">
        <f>IF((M286="p"),Z286,NA())</f>
        <v>#N/A:explicit</v>
      </c>
      <c t="str" s="142" r="AQ286">
        <f>IF((M286="n"),Z286,NA())</f>
        <v>#N/A:explicit</v>
      </c>
      <c t="str" s="142" r="AR286">
        <f>IF((M286="g"),Z286,NA())</f>
        <v>#N/A:explicit</v>
      </c>
      <c s="142" r="AS286"/>
      <c t="str" s="142" r="AT286">
        <f>IF((COUNTA($M286:$M$361)=0),"---",IF(AND(($M286="r"),(COUNTA($M287:$M$361)&gt;0)),(MAX(AT$44:AT285)+1),IF(OR(($M285="p"),($M285="n"),($M285="g")),"---",AT285)))</f>
        <v>---</v>
      </c>
      <c t="str" s="142" r="AU286">
        <f>IF((COUNTA($M286:$M$361)=0),"---",IF(AND(($M286="p"),(COUNTA($M287:$M$361)&gt;0)),(MAX(AU$44:AU285)+1),IF(OR(($M285="r"),($M285="n"),($M285="g")),"---",AU285)))</f>
        <v>---</v>
      </c>
      <c t="str" s="142" r="AV286">
        <f>IF((COUNTA($M286:$M$361)=0),"---",IF(AND(($M286="n"),(COUNTA($M287:$M$361)&gt;0)),(MAX(AV$44:AV285)+1),IF(OR(($M285="r"),($M285="p"),($M285="g")),"---",AV285)))</f>
        <v>---</v>
      </c>
      <c t="str" s="142" r="AW286">
        <f>IF((COUNTA($M286:$M$361)=0),"---",IF(AND(($M286="g"),(COUNTA($M287:$M$361)&gt;0)),(MAX(AW$44:AW285)+1),IF(OR(($M285="r"),($M285="p"),($M285="n")),"---",AW285)))</f>
        <v>---</v>
      </c>
      <c s="676" r="AX286">
        <f>IF((M286="p"),(1+MAX(AX$44:AX285)),0)</f>
        <v>0</v>
      </c>
      <c s="51" r="AY286"/>
      <c s="761" r="AZ286"/>
      <c s="761" r="BA286"/>
      <c s="125" r="BB286"/>
      <c s="125" r="BC286"/>
      <c s="125" r="BD286"/>
      <c s="125" r="BE286"/>
      <c s="125" r="BF286"/>
      <c s="125" r="BG286"/>
      <c s="125" r="BH286"/>
      <c s="125" r="BI286"/>
    </row>
    <row r="287">
      <c s="125" r="A287"/>
      <c s="125" r="B287"/>
      <c s="125" r="C287"/>
      <c s="125" r="D287"/>
      <c s="125" r="E287"/>
      <c s="125" r="F287"/>
      <c s="125" r="G287"/>
      <c s="125" r="H287"/>
      <c s="125" r="I287"/>
      <c s="822" r="J287"/>
      <c s="848" r="K287"/>
      <c s="550" r="L287"/>
      <c s="104" r="M287"/>
      <c s="550" r="N287"/>
      <c t="str" s="589" r="O287">
        <f>IF((AH$28=2),IF(ISBLANK(N287),O286,N287),IF(ISNUMBER(N287),(MAX(O$44:O286)+N287),O286))</f>
        <v/>
      </c>
      <c s="694" r="P287"/>
      <c s="273" r="Q287">
        <f>IF(ISNUMBER(P287),((Q286+P287)-R286),Q286)</f>
        <v>100</v>
      </c>
      <c s="694" r="R287"/>
      <c s="821" r="S287"/>
      <c s="550" r="T287"/>
      <c s="550" r="U287"/>
      <c s="550" r="V287"/>
      <c s="550" r="W287"/>
      <c s="550" r="X287"/>
      <c s="550" r="Y287"/>
      <c t="str" s="470" r="Z287">
        <f>IF(ISNUMBER(S287),(Q287-S287),NA())</f>
        <v>#N/A:explicit</v>
      </c>
      <c t="str" s="470" r="AA287">
        <f>IF(ISNUMBER(T287),IF((AH$22=1),(Z287+T287),(Q287-T287)),NA())</f>
        <v>#N/A:explicit</v>
      </c>
      <c t="str" s="470" r="AB287">
        <f>IF(ISNUMBER(U287),(Q287-U287),NA())</f>
        <v>#N/A:explicit</v>
      </c>
      <c t="str" s="470" r="AC287">
        <f>IF(ISNUMBER(V287),(Q287-V287),NA())</f>
        <v>#N/A:explicit</v>
      </c>
      <c t="str" s="470" r="AD287">
        <f>IF(ISNUMBER(W287),(Q287-W287),NA())</f>
        <v>#N/A:explicit</v>
      </c>
      <c t="str" s="470" r="AE287">
        <f>IF(ISNUMBER(X287),(Q287-X287),NA())</f>
        <v>#N/A:explicit</v>
      </c>
      <c t="str" s="552" r="AF287">
        <f>IF(ISNUMBER(Z287),Z287,"---")</f>
        <v>---</v>
      </c>
      <c s="142" r="AG287"/>
      <c t="str" s="142" r="AH287">
        <f>IF(ISBLANK(L287),NA(),MIN(AF$44:AF$361))</f>
        <v>#N/A:explicit</v>
      </c>
      <c t="str" s="142" r="AI287">
        <f>IF(ISNA(AA287),Z287,AA287)</f>
        <v>#N/A:explicit</v>
      </c>
      <c s="142" r="AJ287">
        <f>MIN(AF$44:AF$361)</f>
        <v>0</v>
      </c>
      <c s="142" r="AK287"/>
      <c t="str" s="142" r="AL287">
        <f>IF(ISNUMBER(AB287),O287,"---")</f>
        <v>---</v>
      </c>
      <c t="str" s="80" r="AM287">
        <f>IF(ISNUMBER(AB287),AB287,"---")</f>
        <v>---</v>
      </c>
      <c s="80" r="AN287"/>
      <c t="str" s="142" r="AO287">
        <f>IF((M287="r"),Z287,NA())</f>
        <v>#N/A:explicit</v>
      </c>
      <c t="str" s="142" r="AP287">
        <f>IF((M287="p"),Z287,NA())</f>
        <v>#N/A:explicit</v>
      </c>
      <c t="str" s="142" r="AQ287">
        <f>IF((M287="n"),Z287,NA())</f>
        <v>#N/A:explicit</v>
      </c>
      <c t="str" s="142" r="AR287">
        <f>IF((M287="g"),Z287,NA())</f>
        <v>#N/A:explicit</v>
      </c>
      <c s="142" r="AS287"/>
      <c t="str" s="142" r="AT287">
        <f>IF((COUNTA($M287:$M$361)=0),"---",IF(AND(($M287="r"),(COUNTA($M288:$M$361)&gt;0)),(MAX(AT$44:AT286)+1),IF(OR(($M286="p"),($M286="n"),($M286="g")),"---",AT286)))</f>
        <v>---</v>
      </c>
      <c t="str" s="142" r="AU287">
        <f>IF((COUNTA($M287:$M$361)=0),"---",IF(AND(($M287="p"),(COUNTA($M288:$M$361)&gt;0)),(MAX(AU$44:AU286)+1),IF(OR(($M286="r"),($M286="n"),($M286="g")),"---",AU286)))</f>
        <v>---</v>
      </c>
      <c t="str" s="142" r="AV287">
        <f>IF((COUNTA($M287:$M$361)=0),"---",IF(AND(($M287="n"),(COUNTA($M288:$M$361)&gt;0)),(MAX(AV$44:AV286)+1),IF(OR(($M286="r"),($M286="p"),($M286="g")),"---",AV286)))</f>
        <v>---</v>
      </c>
      <c t="str" s="142" r="AW287">
        <f>IF((COUNTA($M287:$M$361)=0),"---",IF(AND(($M287="g"),(COUNTA($M288:$M$361)&gt;0)),(MAX(AW$44:AW286)+1),IF(OR(($M286="r"),($M286="p"),($M286="n")),"---",AW286)))</f>
        <v>---</v>
      </c>
      <c s="676" r="AX287">
        <f>IF((M287="p"),(1+MAX(AX$44:AX286)),0)</f>
        <v>0</v>
      </c>
      <c s="51" r="AY287"/>
      <c s="761" r="AZ287"/>
      <c s="761" r="BA287"/>
      <c s="125" r="BB287"/>
      <c s="125" r="BC287"/>
      <c s="125" r="BD287"/>
      <c s="125" r="BE287"/>
      <c s="125" r="BF287"/>
      <c s="125" r="BG287"/>
      <c s="125" r="BH287"/>
      <c s="125" r="BI287"/>
    </row>
    <row r="288">
      <c s="125" r="A288"/>
      <c s="125" r="B288"/>
      <c s="125" r="C288"/>
      <c s="125" r="D288"/>
      <c s="125" r="E288"/>
      <c s="125" r="F288"/>
      <c s="125" r="G288"/>
      <c s="125" r="H288"/>
      <c s="125" r="I288"/>
      <c s="822" r="J288"/>
      <c s="429" r="K288"/>
      <c s="458" r="L288"/>
      <c s="104" r="M288"/>
      <c s="458" r="N288"/>
      <c t="str" s="589" r="O288">
        <f>IF((AH$28=2),IF(ISBLANK(N288),O287,N288),IF(ISNUMBER(N288),(MAX(O$44:O287)+N288),O287))</f>
        <v/>
      </c>
      <c s="228" r="P288"/>
      <c s="273" r="Q288">
        <f>IF(ISNUMBER(P288),((Q287+P288)-R287),Q287)</f>
        <v>100</v>
      </c>
      <c s="228" r="R288"/>
      <c s="610" r="S288"/>
      <c s="458" r="T288"/>
      <c s="458" r="U288"/>
      <c s="458" r="V288"/>
      <c s="458" r="W288"/>
      <c s="458" r="X288"/>
      <c s="458" r="Y288"/>
      <c t="str" s="620" r="Z288">
        <f>IF(ISNUMBER(S288),(Q288-S288),NA())</f>
        <v>#N/A:explicit</v>
      </c>
      <c t="str" s="620" r="AA288">
        <f>IF(ISNUMBER(T288),IF((AH$22=1),(Z288+T288),(Q288-T288)),NA())</f>
        <v>#N/A:explicit</v>
      </c>
      <c t="str" s="620" r="AB288">
        <f>IF(ISNUMBER(U288),(Q288-U288),NA())</f>
        <v>#N/A:explicit</v>
      </c>
      <c t="str" s="620" r="AC288">
        <f>IF(ISNUMBER(V288),(Q288-V288),NA())</f>
        <v>#N/A:explicit</v>
      </c>
      <c t="str" s="620" r="AD288">
        <f>IF(ISNUMBER(W288),(Q288-W288),NA())</f>
        <v>#N/A:explicit</v>
      </c>
      <c t="str" s="620" r="AE288">
        <f>IF(ISNUMBER(X288),(Q288-X288),NA())</f>
        <v>#N/A:explicit</v>
      </c>
      <c t="str" s="552" r="AF288">
        <f>IF(ISNUMBER(Z288),Z288,"---")</f>
        <v>---</v>
      </c>
      <c s="142" r="AG288"/>
      <c t="str" s="142" r="AH288">
        <f>IF(ISBLANK(L288),NA(),MIN(AF$44:AF$361))</f>
        <v>#N/A:explicit</v>
      </c>
      <c t="str" s="142" r="AI288">
        <f>IF(ISNA(AA288),Z288,AA288)</f>
        <v>#N/A:explicit</v>
      </c>
      <c s="142" r="AJ288">
        <f>MIN(AF$44:AF$361)</f>
        <v>0</v>
      </c>
      <c s="142" r="AK288"/>
      <c t="str" s="142" r="AL288">
        <f>IF(ISNUMBER(AB288),O288,"---")</f>
        <v>---</v>
      </c>
      <c t="str" s="80" r="AM288">
        <f>IF(ISNUMBER(AB288),AB288,"---")</f>
        <v>---</v>
      </c>
      <c s="80" r="AN288"/>
      <c t="str" s="142" r="AO288">
        <f>IF((M288="r"),Z288,NA())</f>
        <v>#N/A:explicit</v>
      </c>
      <c t="str" s="142" r="AP288">
        <f>IF((M288="p"),Z288,NA())</f>
        <v>#N/A:explicit</v>
      </c>
      <c t="str" s="142" r="AQ288">
        <f>IF((M288="n"),Z288,NA())</f>
        <v>#N/A:explicit</v>
      </c>
      <c t="str" s="142" r="AR288">
        <f>IF((M288="g"),Z288,NA())</f>
        <v>#N/A:explicit</v>
      </c>
      <c s="142" r="AS288"/>
      <c t="str" s="142" r="AT288">
        <f>IF((COUNTA($M288:$M$361)=0),"---",IF(AND(($M288="r"),(COUNTA($M289:$M$361)&gt;0)),(MAX(AT$44:AT287)+1),IF(OR(($M287="p"),($M287="n"),($M287="g")),"---",AT287)))</f>
        <v>---</v>
      </c>
      <c t="str" s="142" r="AU288">
        <f>IF((COUNTA($M288:$M$361)=0),"---",IF(AND(($M288="p"),(COUNTA($M289:$M$361)&gt;0)),(MAX(AU$44:AU287)+1),IF(OR(($M287="r"),($M287="n"),($M287="g")),"---",AU287)))</f>
        <v>---</v>
      </c>
      <c t="str" s="142" r="AV288">
        <f>IF((COUNTA($M288:$M$361)=0),"---",IF(AND(($M288="n"),(COUNTA($M289:$M$361)&gt;0)),(MAX(AV$44:AV287)+1),IF(OR(($M287="r"),($M287="p"),($M287="g")),"---",AV287)))</f>
        <v>---</v>
      </c>
      <c t="str" s="142" r="AW288">
        <f>IF((COUNTA($M288:$M$361)=0),"---",IF(AND(($M288="g"),(COUNTA($M289:$M$361)&gt;0)),(MAX(AW$44:AW287)+1),IF(OR(($M287="r"),($M287="p"),($M287="n")),"---",AW287)))</f>
        <v>---</v>
      </c>
      <c s="676" r="AX288">
        <f>IF((M288="p"),(1+MAX(AX$44:AX287)),0)</f>
        <v>0</v>
      </c>
      <c s="51" r="AY288"/>
      <c s="761" r="AZ288"/>
      <c s="761" r="BA288"/>
      <c s="125" r="BB288"/>
      <c s="125" r="BC288"/>
      <c s="125" r="BD288"/>
      <c s="125" r="BE288"/>
      <c s="125" r="BF288"/>
      <c s="125" r="BG288"/>
      <c s="125" r="BH288"/>
      <c s="125" r="BI288"/>
    </row>
    <row r="289">
      <c s="125" r="A289"/>
      <c s="125" r="B289"/>
      <c s="125" r="C289"/>
      <c s="125" r="D289"/>
      <c s="125" r="E289"/>
      <c s="125" r="F289"/>
      <c s="125" r="G289"/>
      <c s="125" r="H289"/>
      <c s="125" r="I289"/>
      <c s="822" r="J289"/>
      <c s="429" r="K289"/>
      <c s="458" r="L289"/>
      <c s="104" r="M289"/>
      <c s="458" r="N289"/>
      <c t="str" s="589" r="O289">
        <f>IF((AH$28=2),IF(ISBLANK(N289),O288,N289),IF(ISNUMBER(N289),(MAX(O$44:O288)+N289),O288))</f>
        <v/>
      </c>
      <c s="228" r="P289"/>
      <c s="273" r="Q289">
        <f>IF(ISNUMBER(P289),((Q288+P289)-R288),Q288)</f>
        <v>100</v>
      </c>
      <c s="228" r="R289"/>
      <c s="610" r="S289"/>
      <c s="458" r="T289"/>
      <c s="458" r="U289"/>
      <c s="458" r="V289"/>
      <c s="458" r="W289"/>
      <c s="458" r="X289"/>
      <c s="458" r="Y289"/>
      <c t="str" s="620" r="Z289">
        <f>IF(ISNUMBER(S289),(Q289-S289),NA())</f>
        <v>#N/A:explicit</v>
      </c>
      <c t="str" s="620" r="AA289">
        <f>IF(ISNUMBER(T289),IF((AH$22=1),(Z289+T289),(Q289-T289)),NA())</f>
        <v>#N/A:explicit</v>
      </c>
      <c t="str" s="620" r="AB289">
        <f>IF(ISNUMBER(U289),(Q289-U289),NA())</f>
        <v>#N/A:explicit</v>
      </c>
      <c t="str" s="620" r="AC289">
        <f>IF(ISNUMBER(V289),(Q289-V289),NA())</f>
        <v>#N/A:explicit</v>
      </c>
      <c t="str" s="620" r="AD289">
        <f>IF(ISNUMBER(W289),(Q289-W289),NA())</f>
        <v>#N/A:explicit</v>
      </c>
      <c t="str" s="620" r="AE289">
        <f>IF(ISNUMBER(X289),(Q289-X289),NA())</f>
        <v>#N/A:explicit</v>
      </c>
      <c t="str" s="552" r="AF289">
        <f>IF(ISNUMBER(Z289),Z289,"---")</f>
        <v>---</v>
      </c>
      <c s="142" r="AG289"/>
      <c t="str" s="142" r="AH289">
        <f>IF(ISBLANK(L289),NA(),MIN(AF$44:AF$361))</f>
        <v>#N/A:explicit</v>
      </c>
      <c t="str" s="142" r="AI289">
        <f>IF(ISNA(AA289),Z289,AA289)</f>
        <v>#N/A:explicit</v>
      </c>
      <c s="142" r="AJ289">
        <f>MIN(AF$44:AF$361)</f>
        <v>0</v>
      </c>
      <c s="142" r="AK289"/>
      <c t="str" s="142" r="AL289">
        <f>IF(ISNUMBER(AB289),O289,"---")</f>
        <v>---</v>
      </c>
      <c t="str" s="80" r="AM289">
        <f>IF(ISNUMBER(AB289),AB289,"---")</f>
        <v>---</v>
      </c>
      <c s="80" r="AN289"/>
      <c t="str" s="142" r="AO289">
        <f>IF((M289="r"),Z289,NA())</f>
        <v>#N/A:explicit</v>
      </c>
      <c t="str" s="142" r="AP289">
        <f>IF((M289="p"),Z289,NA())</f>
        <v>#N/A:explicit</v>
      </c>
      <c t="str" s="142" r="AQ289">
        <f>IF((M289="n"),Z289,NA())</f>
        <v>#N/A:explicit</v>
      </c>
      <c t="str" s="142" r="AR289">
        <f>IF((M289="g"),Z289,NA())</f>
        <v>#N/A:explicit</v>
      </c>
      <c s="142" r="AS289"/>
      <c t="str" s="142" r="AT289">
        <f>IF((COUNTA($M289:$M$361)=0),"---",IF(AND(($M289="r"),(COUNTA($M290:$M$361)&gt;0)),(MAX(AT$44:AT288)+1),IF(OR(($M288="p"),($M288="n"),($M288="g")),"---",AT288)))</f>
        <v>---</v>
      </c>
      <c t="str" s="142" r="AU289">
        <f>IF((COUNTA($M289:$M$361)=0),"---",IF(AND(($M289="p"),(COUNTA($M290:$M$361)&gt;0)),(MAX(AU$44:AU288)+1),IF(OR(($M288="r"),($M288="n"),($M288="g")),"---",AU288)))</f>
        <v>---</v>
      </c>
      <c t="str" s="142" r="AV289">
        <f>IF((COUNTA($M289:$M$361)=0),"---",IF(AND(($M289="n"),(COUNTA($M290:$M$361)&gt;0)),(MAX(AV$44:AV288)+1),IF(OR(($M288="r"),($M288="p"),($M288="g")),"---",AV288)))</f>
        <v>---</v>
      </c>
      <c t="str" s="142" r="AW289">
        <f>IF((COUNTA($M289:$M$361)=0),"---",IF(AND(($M289="g"),(COUNTA($M290:$M$361)&gt;0)),(MAX(AW$44:AW288)+1),IF(OR(($M288="r"),($M288="p"),($M288="n")),"---",AW288)))</f>
        <v>---</v>
      </c>
      <c s="676" r="AX289">
        <f>IF((M289="p"),(1+MAX(AX$44:AX288)),0)</f>
        <v>0</v>
      </c>
      <c s="51" r="AY289"/>
      <c s="761" r="AZ289"/>
      <c s="761" r="BA289"/>
      <c s="125" r="BB289"/>
      <c s="125" r="BC289"/>
      <c s="125" r="BD289"/>
      <c s="125" r="BE289"/>
      <c s="125" r="BF289"/>
      <c s="125" r="BG289"/>
      <c s="125" r="BH289"/>
      <c s="125" r="BI289"/>
    </row>
    <row r="290">
      <c s="125" r="A290"/>
      <c s="125" r="B290"/>
      <c s="125" r="C290"/>
      <c s="125" r="D290"/>
      <c s="125" r="E290"/>
      <c s="125" r="F290"/>
      <c s="125" r="G290"/>
      <c s="125" r="H290"/>
      <c s="125" r="I290"/>
      <c s="822" r="J290"/>
      <c s="429" r="K290"/>
      <c s="458" r="L290"/>
      <c s="104" r="M290"/>
      <c s="458" r="N290"/>
      <c t="str" s="589" r="O290">
        <f>IF((AH$28=2),IF(ISBLANK(N290),O289,N290),IF(ISNUMBER(N290),(MAX(O$44:O289)+N290),O289))</f>
        <v/>
      </c>
      <c s="228" r="P290"/>
      <c s="273" r="Q290">
        <f>IF(ISNUMBER(P290),((Q289+P290)-R289),Q289)</f>
        <v>100</v>
      </c>
      <c s="228" r="R290"/>
      <c s="610" r="S290"/>
      <c s="458" r="T290"/>
      <c s="458" r="U290"/>
      <c s="458" r="V290"/>
      <c s="458" r="W290"/>
      <c s="458" r="X290"/>
      <c s="458" r="Y290"/>
      <c t="str" s="620" r="Z290">
        <f>IF(ISNUMBER(S290),(Q290-S290),NA())</f>
        <v>#N/A:explicit</v>
      </c>
      <c t="str" s="620" r="AA290">
        <f>IF(ISNUMBER(T290),IF((AH$22=1),(Z290+T290),(Q290-T290)),NA())</f>
        <v>#N/A:explicit</v>
      </c>
      <c t="str" s="620" r="AB290">
        <f>IF(ISNUMBER(U290),(Q290-U290),NA())</f>
        <v>#N/A:explicit</v>
      </c>
      <c t="str" s="620" r="AC290">
        <f>IF(ISNUMBER(V290),(Q290-V290),NA())</f>
        <v>#N/A:explicit</v>
      </c>
      <c t="str" s="620" r="AD290">
        <f>IF(ISNUMBER(W290),(Q290-W290),NA())</f>
        <v>#N/A:explicit</v>
      </c>
      <c t="str" s="620" r="AE290">
        <f>IF(ISNUMBER(X290),(Q290-X290),NA())</f>
        <v>#N/A:explicit</v>
      </c>
      <c t="str" s="552" r="AF290">
        <f>IF(ISNUMBER(Z290),Z290,"---")</f>
        <v>---</v>
      </c>
      <c s="142" r="AG290"/>
      <c t="str" s="142" r="AH290">
        <f>IF(ISBLANK(L290),NA(),MIN(AF$44:AF$361))</f>
        <v>#N/A:explicit</v>
      </c>
      <c t="str" s="142" r="AI290">
        <f>IF(ISNA(AA290),Z290,AA290)</f>
        <v>#N/A:explicit</v>
      </c>
      <c s="142" r="AJ290">
        <f>MIN(AF$44:AF$361)</f>
        <v>0</v>
      </c>
      <c s="142" r="AK290"/>
      <c t="str" s="142" r="AL290">
        <f>IF(ISNUMBER(AB290),O290,"---")</f>
        <v>---</v>
      </c>
      <c t="str" s="80" r="AM290">
        <f>IF(ISNUMBER(AB290),AB290,"---")</f>
        <v>---</v>
      </c>
      <c s="80" r="AN290"/>
      <c t="str" s="142" r="AO290">
        <f>IF((M290="r"),Z290,NA())</f>
        <v>#N/A:explicit</v>
      </c>
      <c t="str" s="142" r="AP290">
        <f>IF((M290="p"),Z290,NA())</f>
        <v>#N/A:explicit</v>
      </c>
      <c t="str" s="142" r="AQ290">
        <f>IF((M290="n"),Z290,NA())</f>
        <v>#N/A:explicit</v>
      </c>
      <c t="str" s="142" r="AR290">
        <f>IF((M290="g"),Z290,NA())</f>
        <v>#N/A:explicit</v>
      </c>
      <c s="142" r="AS290"/>
      <c t="str" s="142" r="AT290">
        <f>IF((COUNTA($M290:$M$361)=0),"---",IF(AND(($M290="r"),(COUNTA($M291:$M$361)&gt;0)),(MAX(AT$44:AT289)+1),IF(OR(($M289="p"),($M289="n"),($M289="g")),"---",AT289)))</f>
        <v>---</v>
      </c>
      <c t="str" s="142" r="AU290">
        <f>IF((COUNTA($M290:$M$361)=0),"---",IF(AND(($M290="p"),(COUNTA($M291:$M$361)&gt;0)),(MAX(AU$44:AU289)+1),IF(OR(($M289="r"),($M289="n"),($M289="g")),"---",AU289)))</f>
        <v>---</v>
      </c>
      <c t="str" s="142" r="AV290">
        <f>IF((COUNTA($M290:$M$361)=0),"---",IF(AND(($M290="n"),(COUNTA($M291:$M$361)&gt;0)),(MAX(AV$44:AV289)+1),IF(OR(($M289="r"),($M289="p"),($M289="g")),"---",AV289)))</f>
        <v>---</v>
      </c>
      <c t="str" s="142" r="AW290">
        <f>IF((COUNTA($M290:$M$361)=0),"---",IF(AND(($M290="g"),(COUNTA($M291:$M$361)&gt;0)),(MAX(AW$44:AW289)+1),IF(OR(($M289="r"),($M289="p"),($M289="n")),"---",AW289)))</f>
        <v>---</v>
      </c>
      <c s="676" r="AX290">
        <f>IF((M290="p"),(1+MAX(AX$44:AX289)),0)</f>
        <v>0</v>
      </c>
      <c s="51" r="AY290"/>
      <c s="761" r="AZ290"/>
      <c s="761" r="BA290"/>
      <c s="125" r="BB290"/>
      <c s="125" r="BC290"/>
      <c s="125" r="BD290"/>
      <c s="125" r="BE290"/>
      <c s="125" r="BF290"/>
      <c s="125" r="BG290"/>
      <c s="125" r="BH290"/>
      <c s="125" r="BI290"/>
    </row>
    <row r="291">
      <c s="125" r="A291"/>
      <c s="125" r="B291"/>
      <c s="125" r="C291"/>
      <c s="125" r="D291"/>
      <c s="125" r="E291"/>
      <c s="125" r="F291"/>
      <c s="125" r="G291"/>
      <c s="125" r="H291"/>
      <c s="125" r="I291"/>
      <c s="822" r="J291"/>
      <c s="848" r="K291"/>
      <c s="550" r="L291"/>
      <c s="104" r="M291"/>
      <c s="550" r="N291"/>
      <c t="str" s="589" r="O291">
        <f>IF((AH$28=2),IF(ISBLANK(N291),O290,N291),IF(ISNUMBER(N291),(MAX(O$44:O290)+N291),O290))</f>
        <v/>
      </c>
      <c s="694" r="P291"/>
      <c s="273" r="Q291">
        <f>IF(ISNUMBER(P291),((Q290+P291)-R290),Q290)</f>
        <v>100</v>
      </c>
      <c s="694" r="R291"/>
      <c s="821" r="S291"/>
      <c s="550" r="T291"/>
      <c s="550" r="U291"/>
      <c s="550" r="V291"/>
      <c s="550" r="W291"/>
      <c s="550" r="X291"/>
      <c s="550" r="Y291"/>
      <c t="str" s="470" r="Z291">
        <f>IF(ISNUMBER(S291),(Q291-S291),NA())</f>
        <v>#N/A:explicit</v>
      </c>
      <c t="str" s="470" r="AA291">
        <f>IF(ISNUMBER(T291),IF((AH$22=1),(Z291+T291),(Q291-T291)),NA())</f>
        <v>#N/A:explicit</v>
      </c>
      <c t="str" s="470" r="AB291">
        <f>IF(ISNUMBER(U291),(Q291-U291),NA())</f>
        <v>#N/A:explicit</v>
      </c>
      <c t="str" s="470" r="AC291">
        <f>IF(ISNUMBER(V291),(Q291-V291),NA())</f>
        <v>#N/A:explicit</v>
      </c>
      <c t="str" s="470" r="AD291">
        <f>IF(ISNUMBER(W291),(Q291-W291),NA())</f>
        <v>#N/A:explicit</v>
      </c>
      <c t="str" s="470" r="AE291">
        <f>IF(ISNUMBER(X291),(Q291-X291),NA())</f>
        <v>#N/A:explicit</v>
      </c>
      <c t="str" s="552" r="AF291">
        <f>IF(ISNUMBER(Z291),Z291,"---")</f>
        <v>---</v>
      </c>
      <c s="142" r="AG291"/>
      <c t="str" s="142" r="AH291">
        <f>IF(ISBLANK(L291),NA(),MIN(AF$44:AF$361))</f>
        <v>#N/A:explicit</v>
      </c>
      <c t="str" s="142" r="AI291">
        <f>IF(ISNA(AA291),Z291,AA291)</f>
        <v>#N/A:explicit</v>
      </c>
      <c s="142" r="AJ291">
        <f>MIN(AF$44:AF$361)</f>
        <v>0</v>
      </c>
      <c s="142" r="AK291"/>
      <c t="str" s="142" r="AL291">
        <f>IF(ISNUMBER(AB291),O291,"---")</f>
        <v>---</v>
      </c>
      <c t="str" s="80" r="AM291">
        <f>IF(ISNUMBER(AB291),AB291,"---")</f>
        <v>---</v>
      </c>
      <c s="80" r="AN291"/>
      <c t="str" s="142" r="AO291">
        <f>IF((M291="r"),Z291,NA())</f>
        <v>#N/A:explicit</v>
      </c>
      <c t="str" s="142" r="AP291">
        <f>IF((M291="p"),Z291,NA())</f>
        <v>#N/A:explicit</v>
      </c>
      <c t="str" s="142" r="AQ291">
        <f>IF((M291="n"),Z291,NA())</f>
        <v>#N/A:explicit</v>
      </c>
      <c t="str" s="142" r="AR291">
        <f>IF((M291="g"),Z291,NA())</f>
        <v>#N/A:explicit</v>
      </c>
      <c s="142" r="AS291"/>
      <c t="str" s="142" r="AT291">
        <f>IF((COUNTA($M291:$M$361)=0),"---",IF(AND(($M291="r"),(COUNTA($M292:$M$361)&gt;0)),(MAX(AT$44:AT290)+1),IF(OR(($M290="p"),($M290="n"),($M290="g")),"---",AT290)))</f>
        <v>---</v>
      </c>
      <c t="str" s="142" r="AU291">
        <f>IF((COUNTA($M291:$M$361)=0),"---",IF(AND(($M291="p"),(COUNTA($M292:$M$361)&gt;0)),(MAX(AU$44:AU290)+1),IF(OR(($M290="r"),($M290="n"),($M290="g")),"---",AU290)))</f>
        <v>---</v>
      </c>
      <c t="str" s="142" r="AV291">
        <f>IF((COUNTA($M291:$M$361)=0),"---",IF(AND(($M291="n"),(COUNTA($M292:$M$361)&gt;0)),(MAX(AV$44:AV290)+1),IF(OR(($M290="r"),($M290="p"),($M290="g")),"---",AV290)))</f>
        <v>---</v>
      </c>
      <c t="str" s="142" r="AW291">
        <f>IF((COUNTA($M291:$M$361)=0),"---",IF(AND(($M291="g"),(COUNTA($M292:$M$361)&gt;0)),(MAX(AW$44:AW290)+1),IF(OR(($M290="r"),($M290="p"),($M290="n")),"---",AW290)))</f>
        <v>---</v>
      </c>
      <c s="676" r="AX291">
        <f>IF((M291="p"),(1+MAX(AX$44:AX290)),0)</f>
        <v>0</v>
      </c>
      <c s="51" r="AY291"/>
      <c s="761" r="AZ291"/>
      <c s="761" r="BA291"/>
      <c s="125" r="BB291"/>
      <c s="125" r="BC291"/>
      <c s="125" r="BD291"/>
      <c s="125" r="BE291"/>
      <c s="125" r="BF291"/>
      <c s="125" r="BG291"/>
      <c s="125" r="BH291"/>
      <c s="125" r="BI291"/>
    </row>
    <row r="292">
      <c s="125" r="A292"/>
      <c s="125" r="B292"/>
      <c s="125" r="C292"/>
      <c s="125" r="D292"/>
      <c s="125" r="E292"/>
      <c s="125" r="F292"/>
      <c s="125" r="G292"/>
      <c s="125" r="H292"/>
      <c s="125" r="I292"/>
      <c s="822" r="J292"/>
      <c s="848" r="K292"/>
      <c s="550" r="L292"/>
      <c s="104" r="M292"/>
      <c s="550" r="N292"/>
      <c t="str" s="589" r="O292">
        <f>IF((AH$28=2),IF(ISBLANK(N292),O291,N292),IF(ISNUMBER(N292),(MAX(O$44:O291)+N292),O291))</f>
        <v/>
      </c>
      <c s="694" r="P292"/>
      <c s="273" r="Q292">
        <f>IF(ISNUMBER(P292),((Q291+P292)-R291),Q291)</f>
        <v>100</v>
      </c>
      <c s="694" r="R292"/>
      <c s="821" r="S292"/>
      <c s="550" r="T292"/>
      <c s="550" r="U292"/>
      <c s="550" r="V292"/>
      <c s="550" r="W292"/>
      <c s="550" r="X292"/>
      <c s="550" r="Y292"/>
      <c t="str" s="470" r="Z292">
        <f>IF(ISNUMBER(S292),(Q292-S292),NA())</f>
        <v>#N/A:explicit</v>
      </c>
      <c t="str" s="470" r="AA292">
        <f>IF(ISNUMBER(T292),IF((AH$22=1),(Z292+T292),(Q292-T292)),NA())</f>
        <v>#N/A:explicit</v>
      </c>
      <c t="str" s="470" r="AB292">
        <f>IF(ISNUMBER(U292),(Q292-U292),NA())</f>
        <v>#N/A:explicit</v>
      </c>
      <c t="str" s="470" r="AC292">
        <f>IF(ISNUMBER(V292),(Q292-V292),NA())</f>
        <v>#N/A:explicit</v>
      </c>
      <c t="str" s="470" r="AD292">
        <f>IF(ISNUMBER(W292),(Q292-W292),NA())</f>
        <v>#N/A:explicit</v>
      </c>
      <c t="str" s="470" r="AE292">
        <f>IF(ISNUMBER(X292),(Q292-X292),NA())</f>
        <v>#N/A:explicit</v>
      </c>
      <c t="str" s="552" r="AF292">
        <f>IF(ISNUMBER(Z292),Z292,"---")</f>
        <v>---</v>
      </c>
      <c s="142" r="AG292"/>
      <c t="str" s="142" r="AH292">
        <f>IF(ISBLANK(L292),NA(),MIN(AF$44:AF$361))</f>
        <v>#N/A:explicit</v>
      </c>
      <c t="str" s="142" r="AI292">
        <f>IF(ISNA(AA292),Z292,AA292)</f>
        <v>#N/A:explicit</v>
      </c>
      <c s="142" r="AJ292">
        <f>MIN(AF$44:AF$361)</f>
        <v>0</v>
      </c>
      <c s="142" r="AK292"/>
      <c t="str" s="142" r="AL292">
        <f>IF(ISNUMBER(AB292),O292,"---")</f>
        <v>---</v>
      </c>
      <c t="str" s="80" r="AM292">
        <f>IF(ISNUMBER(AB292),AB292,"---")</f>
        <v>---</v>
      </c>
      <c s="80" r="AN292"/>
      <c t="str" s="142" r="AO292">
        <f>IF((M292="r"),Z292,NA())</f>
        <v>#N/A:explicit</v>
      </c>
      <c t="str" s="142" r="AP292">
        <f>IF((M292="p"),Z292,NA())</f>
        <v>#N/A:explicit</v>
      </c>
      <c t="str" s="142" r="AQ292">
        <f>IF((M292="n"),Z292,NA())</f>
        <v>#N/A:explicit</v>
      </c>
      <c t="str" s="142" r="AR292">
        <f>IF((M292="g"),Z292,NA())</f>
        <v>#N/A:explicit</v>
      </c>
      <c s="142" r="AS292"/>
      <c t="str" s="142" r="AT292">
        <f>IF((COUNTA($M292:$M$361)=0),"---",IF(AND(($M292="r"),(COUNTA($M293:$M$361)&gt;0)),(MAX(AT$44:AT291)+1),IF(OR(($M291="p"),($M291="n"),($M291="g")),"---",AT291)))</f>
        <v>---</v>
      </c>
      <c t="str" s="142" r="AU292">
        <f>IF((COUNTA($M292:$M$361)=0),"---",IF(AND(($M292="p"),(COUNTA($M293:$M$361)&gt;0)),(MAX(AU$44:AU291)+1),IF(OR(($M291="r"),($M291="n"),($M291="g")),"---",AU291)))</f>
        <v>---</v>
      </c>
      <c t="str" s="142" r="AV292">
        <f>IF((COUNTA($M292:$M$361)=0),"---",IF(AND(($M292="n"),(COUNTA($M293:$M$361)&gt;0)),(MAX(AV$44:AV291)+1),IF(OR(($M291="r"),($M291="p"),($M291="g")),"---",AV291)))</f>
        <v>---</v>
      </c>
      <c t="str" s="142" r="AW292">
        <f>IF((COUNTA($M292:$M$361)=0),"---",IF(AND(($M292="g"),(COUNTA($M293:$M$361)&gt;0)),(MAX(AW$44:AW291)+1),IF(OR(($M291="r"),($M291="p"),($M291="n")),"---",AW291)))</f>
        <v>---</v>
      </c>
      <c s="676" r="AX292">
        <f>IF((M292="p"),(1+MAX(AX$44:AX291)),0)</f>
        <v>0</v>
      </c>
      <c s="51" r="AY292"/>
      <c s="761" r="AZ292"/>
      <c s="761" r="BA292"/>
      <c s="125" r="BB292"/>
      <c s="125" r="BC292"/>
      <c s="125" r="BD292"/>
      <c s="125" r="BE292"/>
      <c s="125" r="BF292"/>
      <c s="125" r="BG292"/>
      <c s="125" r="BH292"/>
      <c s="125" r="BI292"/>
    </row>
    <row r="293">
      <c s="125" r="A293"/>
      <c s="125" r="B293"/>
      <c s="125" r="C293"/>
      <c s="125" r="D293"/>
      <c s="125" r="E293"/>
      <c s="125" r="F293"/>
      <c s="125" r="G293"/>
      <c s="125" r="H293"/>
      <c s="125" r="I293"/>
      <c s="822" r="J293"/>
      <c s="848" r="K293"/>
      <c s="550" r="L293"/>
      <c s="104" r="M293"/>
      <c s="550" r="N293"/>
      <c t="str" s="589" r="O293">
        <f>IF((AH$28=2),IF(ISBLANK(N293),O292,N293),IF(ISNUMBER(N293),(MAX(O$44:O292)+N293),O292))</f>
        <v/>
      </c>
      <c s="694" r="P293"/>
      <c s="273" r="Q293">
        <f>IF(ISNUMBER(P293),((Q292+P293)-R292),Q292)</f>
        <v>100</v>
      </c>
      <c s="694" r="R293"/>
      <c s="821" r="S293"/>
      <c s="550" r="T293"/>
      <c s="550" r="U293"/>
      <c s="550" r="V293"/>
      <c s="550" r="W293"/>
      <c s="550" r="X293"/>
      <c s="550" r="Y293"/>
      <c t="str" s="470" r="Z293">
        <f>IF(ISNUMBER(S293),(Q293-S293),NA())</f>
        <v>#N/A:explicit</v>
      </c>
      <c t="str" s="470" r="AA293">
        <f>IF(ISNUMBER(T293),IF((AH$22=1),(Z293+T293),(Q293-T293)),NA())</f>
        <v>#N/A:explicit</v>
      </c>
      <c t="str" s="470" r="AB293">
        <f>IF(ISNUMBER(U293),(Q293-U293),NA())</f>
        <v>#N/A:explicit</v>
      </c>
      <c t="str" s="470" r="AC293">
        <f>IF(ISNUMBER(V293),(Q293-V293),NA())</f>
        <v>#N/A:explicit</v>
      </c>
      <c t="str" s="470" r="AD293">
        <f>IF(ISNUMBER(W293),(Q293-W293),NA())</f>
        <v>#N/A:explicit</v>
      </c>
      <c t="str" s="470" r="AE293">
        <f>IF(ISNUMBER(X293),(Q293-X293),NA())</f>
        <v>#N/A:explicit</v>
      </c>
      <c t="str" s="552" r="AF293">
        <f>IF(ISNUMBER(Z293),Z293,"---")</f>
        <v>---</v>
      </c>
      <c s="142" r="AG293"/>
      <c t="str" s="142" r="AH293">
        <f>IF(ISBLANK(L293),NA(),MIN(AF$44:AF$361))</f>
        <v>#N/A:explicit</v>
      </c>
      <c t="str" s="142" r="AI293">
        <f>IF(ISNA(AA293),Z293,AA293)</f>
        <v>#N/A:explicit</v>
      </c>
      <c s="142" r="AJ293">
        <f>MIN(AF$44:AF$361)</f>
        <v>0</v>
      </c>
      <c s="142" r="AK293"/>
      <c t="str" s="142" r="AL293">
        <f>IF(ISNUMBER(AB293),O293,"---")</f>
        <v>---</v>
      </c>
      <c t="str" s="80" r="AM293">
        <f>IF(ISNUMBER(AB293),AB293,"---")</f>
        <v>---</v>
      </c>
      <c s="80" r="AN293"/>
      <c t="str" s="142" r="AO293">
        <f>IF((M293="r"),Z293,NA())</f>
        <v>#N/A:explicit</v>
      </c>
      <c t="str" s="142" r="AP293">
        <f>IF((M293="p"),Z293,NA())</f>
        <v>#N/A:explicit</v>
      </c>
      <c t="str" s="142" r="AQ293">
        <f>IF((M293="n"),Z293,NA())</f>
        <v>#N/A:explicit</v>
      </c>
      <c t="str" s="142" r="AR293">
        <f>IF((M293="g"),Z293,NA())</f>
        <v>#N/A:explicit</v>
      </c>
      <c s="142" r="AS293"/>
      <c t="str" s="142" r="AT293">
        <f>IF((COUNTA($M293:$M$361)=0),"---",IF(AND(($M293="r"),(COUNTA($M294:$M$361)&gt;0)),(MAX(AT$44:AT292)+1),IF(OR(($M292="p"),($M292="n"),($M292="g")),"---",AT292)))</f>
        <v>---</v>
      </c>
      <c t="str" s="142" r="AU293">
        <f>IF((COUNTA($M293:$M$361)=0),"---",IF(AND(($M293="p"),(COUNTA($M294:$M$361)&gt;0)),(MAX(AU$44:AU292)+1),IF(OR(($M292="r"),($M292="n"),($M292="g")),"---",AU292)))</f>
        <v>---</v>
      </c>
      <c t="str" s="142" r="AV293">
        <f>IF((COUNTA($M293:$M$361)=0),"---",IF(AND(($M293="n"),(COUNTA($M294:$M$361)&gt;0)),(MAX(AV$44:AV292)+1),IF(OR(($M292="r"),($M292="p"),($M292="g")),"---",AV292)))</f>
        <v>---</v>
      </c>
      <c t="str" s="142" r="AW293">
        <f>IF((COUNTA($M293:$M$361)=0),"---",IF(AND(($M293="g"),(COUNTA($M294:$M$361)&gt;0)),(MAX(AW$44:AW292)+1),IF(OR(($M292="r"),($M292="p"),($M292="n")),"---",AW292)))</f>
        <v>---</v>
      </c>
      <c s="676" r="AX293">
        <f>IF((M293="p"),(1+MAX(AX$44:AX292)),0)</f>
        <v>0</v>
      </c>
      <c s="51" r="AY293"/>
      <c s="761" r="AZ293"/>
      <c s="761" r="BA293"/>
      <c s="125" r="BB293"/>
      <c s="125" r="BC293"/>
      <c s="125" r="BD293"/>
      <c s="125" r="BE293"/>
      <c s="125" r="BF293"/>
      <c s="125" r="BG293"/>
      <c s="125" r="BH293"/>
      <c s="125" r="BI293"/>
    </row>
    <row r="294">
      <c s="125" r="A294"/>
      <c s="125" r="B294"/>
      <c s="125" r="C294"/>
      <c s="125" r="D294"/>
      <c s="125" r="E294"/>
      <c s="125" r="F294"/>
      <c s="125" r="G294"/>
      <c s="125" r="H294"/>
      <c s="125" r="I294"/>
      <c s="822" r="J294"/>
      <c s="429" r="K294"/>
      <c s="458" r="L294"/>
      <c s="104" r="M294"/>
      <c s="458" r="N294"/>
      <c t="str" s="589" r="O294">
        <f>IF((AH$28=2),IF(ISBLANK(N294),O293,N294),IF(ISNUMBER(N294),(MAX(O$44:O293)+N294),O293))</f>
        <v/>
      </c>
      <c s="228" r="P294"/>
      <c s="273" r="Q294">
        <f>IF(ISNUMBER(P294),((Q293+P294)-R293),Q293)</f>
        <v>100</v>
      </c>
      <c s="228" r="R294"/>
      <c s="610" r="S294"/>
      <c s="458" r="T294"/>
      <c s="458" r="U294"/>
      <c s="458" r="V294"/>
      <c s="458" r="W294"/>
      <c s="458" r="X294"/>
      <c s="458" r="Y294"/>
      <c t="str" s="620" r="Z294">
        <f>IF(ISNUMBER(S294),(Q294-S294),NA())</f>
        <v>#N/A:explicit</v>
      </c>
      <c t="str" s="620" r="AA294">
        <f>IF(ISNUMBER(T294),IF((AH$22=1),(Z294+T294),(Q294-T294)),NA())</f>
        <v>#N/A:explicit</v>
      </c>
      <c t="str" s="620" r="AB294">
        <f>IF(ISNUMBER(U294),(Q294-U294),NA())</f>
        <v>#N/A:explicit</v>
      </c>
      <c t="str" s="620" r="AC294">
        <f>IF(ISNUMBER(V294),(Q294-V294),NA())</f>
        <v>#N/A:explicit</v>
      </c>
      <c t="str" s="620" r="AD294">
        <f>IF(ISNUMBER(W294),(Q294-W294),NA())</f>
        <v>#N/A:explicit</v>
      </c>
      <c t="str" s="620" r="AE294">
        <f>IF(ISNUMBER(X294),(Q294-X294),NA())</f>
        <v>#N/A:explicit</v>
      </c>
      <c t="str" s="552" r="AF294">
        <f>IF(ISNUMBER(Z294),Z294,"---")</f>
        <v>---</v>
      </c>
      <c s="142" r="AG294"/>
      <c t="str" s="142" r="AH294">
        <f>IF(ISBLANK(L294),NA(),MIN(AF$44:AF$361))</f>
        <v>#N/A:explicit</v>
      </c>
      <c t="str" s="142" r="AI294">
        <f>IF(ISNA(AA294),Z294,AA294)</f>
        <v>#N/A:explicit</v>
      </c>
      <c s="142" r="AJ294">
        <f>MIN(AF$44:AF$361)</f>
        <v>0</v>
      </c>
      <c s="142" r="AK294"/>
      <c t="str" s="142" r="AL294">
        <f>IF(ISNUMBER(AB294),O294,"---")</f>
        <v>---</v>
      </c>
      <c t="str" s="80" r="AM294">
        <f>IF(ISNUMBER(AB294),AB294,"---")</f>
        <v>---</v>
      </c>
      <c s="80" r="AN294"/>
      <c t="str" s="142" r="AO294">
        <f>IF((M294="r"),Z294,NA())</f>
        <v>#N/A:explicit</v>
      </c>
      <c t="str" s="142" r="AP294">
        <f>IF((M294="p"),Z294,NA())</f>
        <v>#N/A:explicit</v>
      </c>
      <c t="str" s="142" r="AQ294">
        <f>IF((M294="n"),Z294,NA())</f>
        <v>#N/A:explicit</v>
      </c>
      <c t="str" s="142" r="AR294">
        <f>IF((M294="g"),Z294,NA())</f>
        <v>#N/A:explicit</v>
      </c>
      <c s="142" r="AS294"/>
      <c t="str" s="142" r="AT294">
        <f>IF((COUNTA($M294:$M$361)=0),"---",IF(AND(($M294="r"),(COUNTA($M295:$M$361)&gt;0)),(MAX(AT$44:AT293)+1),IF(OR(($M293="p"),($M293="n"),($M293="g")),"---",AT293)))</f>
        <v>---</v>
      </c>
      <c t="str" s="142" r="AU294">
        <f>IF((COUNTA($M294:$M$361)=0),"---",IF(AND(($M294="p"),(COUNTA($M295:$M$361)&gt;0)),(MAX(AU$44:AU293)+1),IF(OR(($M293="r"),($M293="n"),($M293="g")),"---",AU293)))</f>
        <v>---</v>
      </c>
      <c t="str" s="142" r="AV294">
        <f>IF((COUNTA($M294:$M$361)=0),"---",IF(AND(($M294="n"),(COUNTA($M295:$M$361)&gt;0)),(MAX(AV$44:AV293)+1),IF(OR(($M293="r"),($M293="p"),($M293="g")),"---",AV293)))</f>
        <v>---</v>
      </c>
      <c t="str" s="142" r="AW294">
        <f>IF((COUNTA($M294:$M$361)=0),"---",IF(AND(($M294="g"),(COUNTA($M295:$M$361)&gt;0)),(MAX(AW$44:AW293)+1),IF(OR(($M293="r"),($M293="p"),($M293="n")),"---",AW293)))</f>
        <v>---</v>
      </c>
      <c s="676" r="AX294">
        <f>IF((M294="p"),(1+MAX(AX$44:AX293)),0)</f>
        <v>0</v>
      </c>
      <c s="51" r="AY294"/>
      <c s="761" r="AZ294"/>
      <c s="761" r="BA294"/>
      <c s="125" r="BB294"/>
      <c s="125" r="BC294"/>
      <c s="125" r="BD294"/>
      <c s="125" r="BE294"/>
      <c s="125" r="BF294"/>
      <c s="125" r="BG294"/>
      <c s="125" r="BH294"/>
      <c s="125" r="BI294"/>
    </row>
    <row r="295">
      <c s="125" r="A295"/>
      <c s="125" r="B295"/>
      <c s="125" r="C295"/>
      <c s="125" r="D295"/>
      <c s="125" r="E295"/>
      <c s="125" r="F295"/>
      <c s="125" r="G295"/>
      <c s="125" r="H295"/>
      <c s="125" r="I295"/>
      <c s="822" r="J295"/>
      <c s="429" r="K295"/>
      <c s="458" r="L295"/>
      <c s="104" r="M295"/>
      <c s="458" r="N295"/>
      <c t="str" s="589" r="O295">
        <f>IF((AH$28=2),IF(ISBLANK(N295),O294,N295),IF(ISNUMBER(N295),(MAX(O$44:O294)+N295),O294))</f>
        <v/>
      </c>
      <c s="228" r="P295"/>
      <c s="273" r="Q295">
        <f>IF(ISNUMBER(P295),((Q294+P295)-R294),Q294)</f>
        <v>100</v>
      </c>
      <c s="228" r="R295"/>
      <c s="610" r="S295"/>
      <c s="458" r="T295"/>
      <c s="458" r="U295"/>
      <c s="458" r="V295"/>
      <c s="458" r="W295"/>
      <c s="458" r="X295"/>
      <c s="458" r="Y295"/>
      <c t="str" s="620" r="Z295">
        <f>IF(ISNUMBER(S295),(Q295-S295),NA())</f>
        <v>#N/A:explicit</v>
      </c>
      <c t="str" s="620" r="AA295">
        <f>IF(ISNUMBER(T295),IF((AH$22=1),(Z295+T295),(Q295-T295)),NA())</f>
        <v>#N/A:explicit</v>
      </c>
      <c t="str" s="620" r="AB295">
        <f>IF(ISNUMBER(U295),(Q295-U295),NA())</f>
        <v>#N/A:explicit</v>
      </c>
      <c t="str" s="620" r="AC295">
        <f>IF(ISNUMBER(V295),(Q295-V295),NA())</f>
        <v>#N/A:explicit</v>
      </c>
      <c t="str" s="620" r="AD295">
        <f>IF(ISNUMBER(W295),(Q295-W295),NA())</f>
        <v>#N/A:explicit</v>
      </c>
      <c t="str" s="620" r="AE295">
        <f>IF(ISNUMBER(X295),(Q295-X295),NA())</f>
        <v>#N/A:explicit</v>
      </c>
      <c t="str" s="552" r="AF295">
        <f>IF(ISNUMBER(Z295),Z295,"---")</f>
        <v>---</v>
      </c>
      <c s="142" r="AG295"/>
      <c t="str" s="142" r="AH295">
        <f>IF(ISBLANK(L295),NA(),MIN(AF$44:AF$361))</f>
        <v>#N/A:explicit</v>
      </c>
      <c t="str" s="142" r="AI295">
        <f>IF(ISNA(AA295),Z295,AA295)</f>
        <v>#N/A:explicit</v>
      </c>
      <c s="142" r="AJ295">
        <f>MIN(AF$44:AF$361)</f>
        <v>0</v>
      </c>
      <c s="142" r="AK295"/>
      <c t="str" s="142" r="AL295">
        <f>IF(ISNUMBER(AB295),O295,"---")</f>
        <v>---</v>
      </c>
      <c t="str" s="80" r="AM295">
        <f>IF(ISNUMBER(AB295),AB295,"---")</f>
        <v>---</v>
      </c>
      <c s="80" r="AN295"/>
      <c t="str" s="142" r="AO295">
        <f>IF((M295="r"),Z295,NA())</f>
        <v>#N/A:explicit</v>
      </c>
      <c t="str" s="142" r="AP295">
        <f>IF((M295="p"),Z295,NA())</f>
        <v>#N/A:explicit</v>
      </c>
      <c t="str" s="142" r="AQ295">
        <f>IF((M295="n"),Z295,NA())</f>
        <v>#N/A:explicit</v>
      </c>
      <c t="str" s="142" r="AR295">
        <f>IF((M295="g"),Z295,NA())</f>
        <v>#N/A:explicit</v>
      </c>
      <c s="142" r="AS295"/>
      <c t="str" s="142" r="AT295">
        <f>IF((COUNTA($M295:$M$361)=0),"---",IF(AND(($M295="r"),(COUNTA($M296:$M$361)&gt;0)),(MAX(AT$44:AT294)+1),IF(OR(($M294="p"),($M294="n"),($M294="g")),"---",AT294)))</f>
        <v>---</v>
      </c>
      <c t="str" s="142" r="AU295">
        <f>IF((COUNTA($M295:$M$361)=0),"---",IF(AND(($M295="p"),(COUNTA($M296:$M$361)&gt;0)),(MAX(AU$44:AU294)+1),IF(OR(($M294="r"),($M294="n"),($M294="g")),"---",AU294)))</f>
        <v>---</v>
      </c>
      <c t="str" s="142" r="AV295">
        <f>IF((COUNTA($M295:$M$361)=0),"---",IF(AND(($M295="n"),(COUNTA($M296:$M$361)&gt;0)),(MAX(AV$44:AV294)+1),IF(OR(($M294="r"),($M294="p"),($M294="g")),"---",AV294)))</f>
        <v>---</v>
      </c>
      <c t="str" s="142" r="AW295">
        <f>IF((COUNTA($M295:$M$361)=0),"---",IF(AND(($M295="g"),(COUNTA($M296:$M$361)&gt;0)),(MAX(AW$44:AW294)+1),IF(OR(($M294="r"),($M294="p"),($M294="n")),"---",AW294)))</f>
        <v>---</v>
      </c>
      <c s="676" r="AX295">
        <f>IF((M295="p"),(1+MAX(AX$44:AX294)),0)</f>
        <v>0</v>
      </c>
      <c s="51" r="AY295"/>
      <c s="761" r="AZ295"/>
      <c s="761" r="BA295"/>
      <c s="125" r="BB295"/>
      <c s="125" r="BC295"/>
      <c s="125" r="BD295"/>
      <c s="125" r="BE295"/>
      <c s="125" r="BF295"/>
      <c s="125" r="BG295"/>
      <c s="125" r="BH295"/>
      <c s="125" r="BI295"/>
    </row>
    <row r="296">
      <c s="125" r="A296"/>
      <c s="125" r="B296"/>
      <c s="125" r="C296"/>
      <c s="125" r="D296"/>
      <c s="125" r="E296"/>
      <c s="125" r="F296"/>
      <c s="125" r="G296"/>
      <c s="125" r="H296"/>
      <c s="125" r="I296"/>
      <c s="822" r="J296"/>
      <c s="429" r="K296"/>
      <c s="458" r="L296"/>
      <c s="104" r="M296"/>
      <c s="458" r="N296"/>
      <c t="str" s="589" r="O296">
        <f>IF((AH$28=2),IF(ISBLANK(N296),O295,N296),IF(ISNUMBER(N296),(MAX(O$44:O295)+N296),O295))</f>
        <v/>
      </c>
      <c s="228" r="P296"/>
      <c s="273" r="Q296">
        <f>IF(ISNUMBER(P296),((Q295+P296)-R295),Q295)</f>
        <v>100</v>
      </c>
      <c s="228" r="R296"/>
      <c s="610" r="S296"/>
      <c s="458" r="T296"/>
      <c s="458" r="U296"/>
      <c s="458" r="V296"/>
      <c s="458" r="W296"/>
      <c s="458" r="X296"/>
      <c s="458" r="Y296"/>
      <c t="str" s="620" r="Z296">
        <f>IF(ISNUMBER(S296),(Q296-S296),NA())</f>
        <v>#N/A:explicit</v>
      </c>
      <c t="str" s="620" r="AA296">
        <f>IF(ISNUMBER(T296),IF((AH$22=1),(Z296+T296),(Q296-T296)),NA())</f>
        <v>#N/A:explicit</v>
      </c>
      <c t="str" s="620" r="AB296">
        <f>IF(ISNUMBER(U296),(Q296-U296),NA())</f>
        <v>#N/A:explicit</v>
      </c>
      <c t="str" s="620" r="AC296">
        <f>IF(ISNUMBER(V296),(Q296-V296),NA())</f>
        <v>#N/A:explicit</v>
      </c>
      <c t="str" s="620" r="AD296">
        <f>IF(ISNUMBER(W296),(Q296-W296),NA())</f>
        <v>#N/A:explicit</v>
      </c>
      <c t="str" s="620" r="AE296">
        <f>IF(ISNUMBER(X296),(Q296-X296),NA())</f>
        <v>#N/A:explicit</v>
      </c>
      <c t="str" s="552" r="AF296">
        <f>IF(ISNUMBER(Z296),Z296,"---")</f>
        <v>---</v>
      </c>
      <c s="142" r="AG296"/>
      <c t="str" s="142" r="AH296">
        <f>IF(ISBLANK(L296),NA(),MIN(AF$44:AF$361))</f>
        <v>#N/A:explicit</v>
      </c>
      <c t="str" s="142" r="AI296">
        <f>IF(ISNA(AA296),Z296,AA296)</f>
        <v>#N/A:explicit</v>
      </c>
      <c s="142" r="AJ296">
        <f>MIN(AF$44:AF$361)</f>
        <v>0</v>
      </c>
      <c s="142" r="AK296"/>
      <c t="str" s="142" r="AL296">
        <f>IF(ISNUMBER(AB296),O296,"---")</f>
        <v>---</v>
      </c>
      <c t="str" s="80" r="AM296">
        <f>IF(ISNUMBER(AB296),AB296,"---")</f>
        <v>---</v>
      </c>
      <c s="80" r="AN296"/>
      <c t="str" s="142" r="AO296">
        <f>IF((M296="r"),Z296,NA())</f>
        <v>#N/A:explicit</v>
      </c>
      <c t="str" s="142" r="AP296">
        <f>IF((M296="p"),Z296,NA())</f>
        <v>#N/A:explicit</v>
      </c>
      <c t="str" s="142" r="AQ296">
        <f>IF((M296="n"),Z296,NA())</f>
        <v>#N/A:explicit</v>
      </c>
      <c t="str" s="142" r="AR296">
        <f>IF((M296="g"),Z296,NA())</f>
        <v>#N/A:explicit</v>
      </c>
      <c s="142" r="AS296"/>
      <c t="str" s="142" r="AT296">
        <f>IF((COUNTA($M296:$M$361)=0),"---",IF(AND(($M296="r"),(COUNTA($M297:$M$361)&gt;0)),(MAX(AT$44:AT295)+1),IF(OR(($M295="p"),($M295="n"),($M295="g")),"---",AT295)))</f>
        <v>---</v>
      </c>
      <c t="str" s="142" r="AU296">
        <f>IF((COUNTA($M296:$M$361)=0),"---",IF(AND(($M296="p"),(COUNTA($M297:$M$361)&gt;0)),(MAX(AU$44:AU295)+1),IF(OR(($M295="r"),($M295="n"),($M295="g")),"---",AU295)))</f>
        <v>---</v>
      </c>
      <c t="str" s="142" r="AV296">
        <f>IF((COUNTA($M296:$M$361)=0),"---",IF(AND(($M296="n"),(COUNTA($M297:$M$361)&gt;0)),(MAX(AV$44:AV295)+1),IF(OR(($M295="r"),($M295="p"),($M295="g")),"---",AV295)))</f>
        <v>---</v>
      </c>
      <c t="str" s="142" r="AW296">
        <f>IF((COUNTA($M296:$M$361)=0),"---",IF(AND(($M296="g"),(COUNTA($M297:$M$361)&gt;0)),(MAX(AW$44:AW295)+1),IF(OR(($M295="r"),($M295="p"),($M295="n")),"---",AW295)))</f>
        <v>---</v>
      </c>
      <c s="676" r="AX296">
        <f>IF((M296="p"),(1+MAX(AX$44:AX295)),0)</f>
        <v>0</v>
      </c>
      <c s="51" r="AY296"/>
      <c s="761" r="AZ296"/>
      <c s="761" r="BA296"/>
      <c s="125" r="BB296"/>
      <c s="125" r="BC296"/>
      <c s="125" r="BD296"/>
      <c s="125" r="BE296"/>
      <c s="125" r="BF296"/>
      <c s="125" r="BG296"/>
      <c s="125" r="BH296"/>
      <c s="125" r="BI296"/>
    </row>
    <row r="297">
      <c s="125" r="A297"/>
      <c s="125" r="B297"/>
      <c s="125" r="C297"/>
      <c s="125" r="D297"/>
      <c s="125" r="E297"/>
      <c s="125" r="F297"/>
      <c s="125" r="G297"/>
      <c s="125" r="H297"/>
      <c s="125" r="I297"/>
      <c s="822" r="J297"/>
      <c s="848" r="K297"/>
      <c s="550" r="L297"/>
      <c s="104" r="M297"/>
      <c s="550" r="N297"/>
      <c t="str" s="589" r="O297">
        <f>IF((AH$28=2),IF(ISBLANK(N297),O296,N297),IF(ISNUMBER(N297),(MAX(O$44:O296)+N297),O296))</f>
        <v/>
      </c>
      <c s="694" r="P297"/>
      <c s="273" r="Q297">
        <f>IF(ISNUMBER(P297),((Q296+P297)-R296),Q296)</f>
        <v>100</v>
      </c>
      <c s="694" r="R297"/>
      <c s="821" r="S297"/>
      <c s="550" r="T297"/>
      <c s="550" r="U297"/>
      <c s="550" r="V297"/>
      <c s="550" r="W297"/>
      <c s="550" r="X297"/>
      <c s="550" r="Y297"/>
      <c t="str" s="470" r="Z297">
        <f>IF(ISNUMBER(S297),(Q297-S297),NA())</f>
        <v>#N/A:explicit</v>
      </c>
      <c t="str" s="470" r="AA297">
        <f>IF(ISNUMBER(T297),IF((AH$22=1),(Z297+T297),(Q297-T297)),NA())</f>
        <v>#N/A:explicit</v>
      </c>
      <c t="str" s="470" r="AB297">
        <f>IF(ISNUMBER(U297),(Q297-U297),NA())</f>
        <v>#N/A:explicit</v>
      </c>
      <c t="str" s="470" r="AC297">
        <f>IF(ISNUMBER(V297),(Q297-V297),NA())</f>
        <v>#N/A:explicit</v>
      </c>
      <c t="str" s="470" r="AD297">
        <f>IF(ISNUMBER(W297),(Q297-W297),NA())</f>
        <v>#N/A:explicit</v>
      </c>
      <c t="str" s="470" r="AE297">
        <f>IF(ISNUMBER(X297),(Q297-X297),NA())</f>
        <v>#N/A:explicit</v>
      </c>
      <c t="str" s="552" r="AF297">
        <f>IF(ISNUMBER(Z297),Z297,"---")</f>
        <v>---</v>
      </c>
      <c s="142" r="AG297"/>
      <c t="str" s="142" r="AH297">
        <f>IF(ISBLANK(L297),NA(),MIN(AF$44:AF$361))</f>
        <v>#N/A:explicit</v>
      </c>
      <c t="str" s="142" r="AI297">
        <f>IF(ISNA(AA297),Z297,AA297)</f>
        <v>#N/A:explicit</v>
      </c>
      <c s="142" r="AJ297">
        <f>MIN(AF$44:AF$361)</f>
        <v>0</v>
      </c>
      <c s="142" r="AK297"/>
      <c t="str" s="142" r="AL297">
        <f>IF(ISNUMBER(AB297),O297,"---")</f>
        <v>---</v>
      </c>
      <c t="str" s="80" r="AM297">
        <f>IF(ISNUMBER(AB297),AB297,"---")</f>
        <v>---</v>
      </c>
      <c s="80" r="AN297"/>
      <c t="str" s="142" r="AO297">
        <f>IF((M297="r"),Z297,NA())</f>
        <v>#N/A:explicit</v>
      </c>
      <c t="str" s="142" r="AP297">
        <f>IF((M297="p"),Z297,NA())</f>
        <v>#N/A:explicit</v>
      </c>
      <c t="str" s="142" r="AQ297">
        <f>IF((M297="n"),Z297,NA())</f>
        <v>#N/A:explicit</v>
      </c>
      <c t="str" s="142" r="AR297">
        <f>IF((M297="g"),Z297,NA())</f>
        <v>#N/A:explicit</v>
      </c>
      <c s="142" r="AS297"/>
      <c t="str" s="142" r="AT297">
        <f>IF((COUNTA($M297:$M$361)=0),"---",IF(AND(($M297="r"),(COUNTA($M298:$M$361)&gt;0)),(MAX(AT$44:AT296)+1),IF(OR(($M296="p"),($M296="n"),($M296="g")),"---",AT296)))</f>
        <v>---</v>
      </c>
      <c t="str" s="142" r="AU297">
        <f>IF((COUNTA($M297:$M$361)=0),"---",IF(AND(($M297="p"),(COUNTA($M298:$M$361)&gt;0)),(MAX(AU$44:AU296)+1),IF(OR(($M296="r"),($M296="n"),($M296="g")),"---",AU296)))</f>
        <v>---</v>
      </c>
      <c t="str" s="142" r="AV297">
        <f>IF((COUNTA($M297:$M$361)=0),"---",IF(AND(($M297="n"),(COUNTA($M298:$M$361)&gt;0)),(MAX(AV$44:AV296)+1),IF(OR(($M296="r"),($M296="p"),($M296="g")),"---",AV296)))</f>
        <v>---</v>
      </c>
      <c t="str" s="142" r="AW297">
        <f>IF((COUNTA($M297:$M$361)=0),"---",IF(AND(($M297="g"),(COUNTA($M298:$M$361)&gt;0)),(MAX(AW$44:AW296)+1),IF(OR(($M296="r"),($M296="p"),($M296="n")),"---",AW296)))</f>
        <v>---</v>
      </c>
      <c s="676" r="AX297">
        <f>IF((M297="p"),(1+MAX(AX$44:AX296)),0)</f>
        <v>0</v>
      </c>
      <c s="51" r="AY297"/>
      <c s="761" r="AZ297"/>
      <c s="761" r="BA297"/>
      <c s="125" r="BB297"/>
      <c s="125" r="BC297"/>
      <c s="125" r="BD297"/>
      <c s="125" r="BE297"/>
      <c s="125" r="BF297"/>
      <c s="125" r="BG297"/>
      <c s="125" r="BH297"/>
      <c s="125" r="BI297"/>
    </row>
    <row r="298">
      <c s="125" r="A298"/>
      <c s="125" r="B298"/>
      <c s="125" r="C298"/>
      <c s="125" r="D298"/>
      <c s="125" r="E298"/>
      <c s="125" r="F298"/>
      <c s="125" r="G298"/>
      <c s="125" r="H298"/>
      <c s="125" r="I298"/>
      <c s="822" r="J298"/>
      <c s="848" r="K298"/>
      <c s="550" r="L298"/>
      <c s="104" r="M298"/>
      <c s="550" r="N298"/>
      <c t="str" s="589" r="O298">
        <f>IF((AH$28=2),IF(ISBLANK(N298),O297,N298),IF(ISNUMBER(N298),(MAX(O$44:O297)+N298),O297))</f>
        <v/>
      </c>
      <c s="694" r="P298"/>
      <c s="273" r="Q298">
        <f>IF(ISNUMBER(P298),((Q297+P298)-R297),Q297)</f>
        <v>100</v>
      </c>
      <c s="694" r="R298"/>
      <c s="821" r="S298"/>
      <c s="550" r="T298"/>
      <c s="550" r="U298"/>
      <c s="550" r="V298"/>
      <c s="550" r="W298"/>
      <c s="550" r="X298"/>
      <c s="550" r="Y298"/>
      <c t="str" s="470" r="Z298">
        <f>IF(ISNUMBER(S298),(Q298-S298),NA())</f>
        <v>#N/A:explicit</v>
      </c>
      <c t="str" s="470" r="AA298">
        <f>IF(ISNUMBER(T298),IF((AH$22=1),(Z298+T298),(Q298-T298)),NA())</f>
        <v>#N/A:explicit</v>
      </c>
      <c t="str" s="470" r="AB298">
        <f>IF(ISNUMBER(U298),(Q298-U298),NA())</f>
        <v>#N/A:explicit</v>
      </c>
      <c t="str" s="470" r="AC298">
        <f>IF(ISNUMBER(V298),(Q298-V298),NA())</f>
        <v>#N/A:explicit</v>
      </c>
      <c t="str" s="470" r="AD298">
        <f>IF(ISNUMBER(W298),(Q298-W298),NA())</f>
        <v>#N/A:explicit</v>
      </c>
      <c t="str" s="470" r="AE298">
        <f>IF(ISNUMBER(X298),(Q298-X298),NA())</f>
        <v>#N/A:explicit</v>
      </c>
      <c t="str" s="552" r="AF298">
        <f>IF(ISNUMBER(Z298),Z298,"---")</f>
        <v>---</v>
      </c>
      <c s="142" r="AG298"/>
      <c t="str" s="142" r="AH298">
        <f>IF(ISBLANK(L298),NA(),MIN(AF$44:AF$361))</f>
        <v>#N/A:explicit</v>
      </c>
      <c t="str" s="142" r="AI298">
        <f>IF(ISNA(AA298),Z298,AA298)</f>
        <v>#N/A:explicit</v>
      </c>
      <c s="142" r="AJ298">
        <f>MIN(AF$44:AF$361)</f>
        <v>0</v>
      </c>
      <c s="142" r="AK298"/>
      <c t="str" s="142" r="AL298">
        <f>IF(ISNUMBER(AB298),O298,"---")</f>
        <v>---</v>
      </c>
      <c t="str" s="80" r="AM298">
        <f>IF(ISNUMBER(AB298),AB298,"---")</f>
        <v>---</v>
      </c>
      <c s="80" r="AN298"/>
      <c t="str" s="142" r="AO298">
        <f>IF((M298="r"),Z298,NA())</f>
        <v>#N/A:explicit</v>
      </c>
      <c t="str" s="142" r="AP298">
        <f>IF((M298="p"),Z298,NA())</f>
        <v>#N/A:explicit</v>
      </c>
      <c t="str" s="142" r="AQ298">
        <f>IF((M298="n"),Z298,NA())</f>
        <v>#N/A:explicit</v>
      </c>
      <c t="str" s="142" r="AR298">
        <f>IF((M298="g"),Z298,NA())</f>
        <v>#N/A:explicit</v>
      </c>
      <c s="142" r="AS298"/>
      <c t="str" s="142" r="AT298">
        <f>IF((COUNTA($M298:$M$361)=0),"---",IF(AND(($M298="r"),(COUNTA($M299:$M$361)&gt;0)),(MAX(AT$44:AT297)+1),IF(OR(($M297="p"),($M297="n"),($M297="g")),"---",AT297)))</f>
        <v>---</v>
      </c>
      <c t="str" s="142" r="AU298">
        <f>IF((COUNTA($M298:$M$361)=0),"---",IF(AND(($M298="p"),(COUNTA($M299:$M$361)&gt;0)),(MAX(AU$44:AU297)+1),IF(OR(($M297="r"),($M297="n"),($M297="g")),"---",AU297)))</f>
        <v>---</v>
      </c>
      <c t="str" s="142" r="AV298">
        <f>IF((COUNTA($M298:$M$361)=0),"---",IF(AND(($M298="n"),(COUNTA($M299:$M$361)&gt;0)),(MAX(AV$44:AV297)+1),IF(OR(($M297="r"),($M297="p"),($M297="g")),"---",AV297)))</f>
        <v>---</v>
      </c>
      <c t="str" s="142" r="AW298">
        <f>IF((COUNTA($M298:$M$361)=0),"---",IF(AND(($M298="g"),(COUNTA($M299:$M$361)&gt;0)),(MAX(AW$44:AW297)+1),IF(OR(($M297="r"),($M297="p"),($M297="n")),"---",AW297)))</f>
        <v>---</v>
      </c>
      <c s="676" r="AX298">
        <f>IF((M298="p"),(1+MAX(AX$44:AX297)),0)</f>
        <v>0</v>
      </c>
      <c s="51" r="AY298"/>
      <c s="761" r="AZ298"/>
      <c s="761" r="BA298"/>
      <c s="125" r="BB298"/>
      <c s="125" r="BC298"/>
      <c s="125" r="BD298"/>
      <c s="125" r="BE298"/>
      <c s="125" r="BF298"/>
      <c s="125" r="BG298"/>
      <c s="125" r="BH298"/>
      <c s="125" r="BI298"/>
    </row>
    <row r="299">
      <c s="125" r="A299"/>
      <c s="125" r="B299"/>
      <c s="125" r="C299"/>
      <c s="125" r="D299"/>
      <c s="125" r="E299"/>
      <c s="125" r="F299"/>
      <c s="125" r="G299"/>
      <c s="125" r="H299"/>
      <c s="125" r="I299"/>
      <c s="822" r="J299"/>
      <c s="848" r="K299"/>
      <c s="550" r="L299"/>
      <c s="104" r="M299"/>
      <c s="550" r="N299"/>
      <c t="str" s="589" r="O299">
        <f>IF((AH$28=2),IF(ISBLANK(N299),O298,N299),IF(ISNUMBER(N299),(MAX(O$44:O298)+N299),O298))</f>
        <v/>
      </c>
      <c s="694" r="P299"/>
      <c s="273" r="Q299">
        <f>IF(ISNUMBER(P299),((Q298+P299)-R298),Q298)</f>
        <v>100</v>
      </c>
      <c s="694" r="R299"/>
      <c s="821" r="S299"/>
      <c s="550" r="T299"/>
      <c s="550" r="U299"/>
      <c s="550" r="V299"/>
      <c s="550" r="W299"/>
      <c s="550" r="X299"/>
      <c s="550" r="Y299"/>
      <c t="str" s="470" r="Z299">
        <f>IF(ISNUMBER(S299),(Q299-S299),NA())</f>
        <v>#N/A:explicit</v>
      </c>
      <c t="str" s="470" r="AA299">
        <f>IF(ISNUMBER(T299),IF((AH$22=1),(Z299+T299),(Q299-T299)),NA())</f>
        <v>#N/A:explicit</v>
      </c>
      <c t="str" s="470" r="AB299">
        <f>IF(ISNUMBER(U299),(Q299-U299),NA())</f>
        <v>#N/A:explicit</v>
      </c>
      <c t="str" s="470" r="AC299">
        <f>IF(ISNUMBER(V299),(Q299-V299),NA())</f>
        <v>#N/A:explicit</v>
      </c>
      <c t="str" s="470" r="AD299">
        <f>IF(ISNUMBER(W299),(Q299-W299),NA())</f>
        <v>#N/A:explicit</v>
      </c>
      <c t="str" s="470" r="AE299">
        <f>IF(ISNUMBER(X299),(Q299-X299),NA())</f>
        <v>#N/A:explicit</v>
      </c>
      <c t="str" s="552" r="AF299">
        <f>IF(ISNUMBER(Z299),Z299,"---")</f>
        <v>---</v>
      </c>
      <c s="142" r="AG299"/>
      <c t="str" s="142" r="AH299">
        <f>IF(ISBLANK(L299),NA(),MIN(AF$44:AF$361))</f>
        <v>#N/A:explicit</v>
      </c>
      <c t="str" s="142" r="AI299">
        <f>IF(ISNA(AA299),Z299,AA299)</f>
        <v>#N/A:explicit</v>
      </c>
      <c s="142" r="AJ299">
        <f>MIN(AF$44:AF$361)</f>
        <v>0</v>
      </c>
      <c s="142" r="AK299"/>
      <c t="str" s="142" r="AL299">
        <f>IF(ISNUMBER(AB299),O299,"---")</f>
        <v>---</v>
      </c>
      <c t="str" s="80" r="AM299">
        <f>IF(ISNUMBER(AB299),AB299,"---")</f>
        <v>---</v>
      </c>
      <c s="80" r="AN299"/>
      <c t="str" s="142" r="AO299">
        <f>IF((M299="r"),Z299,NA())</f>
        <v>#N/A:explicit</v>
      </c>
      <c t="str" s="142" r="AP299">
        <f>IF((M299="p"),Z299,NA())</f>
        <v>#N/A:explicit</v>
      </c>
      <c t="str" s="142" r="AQ299">
        <f>IF((M299="n"),Z299,NA())</f>
        <v>#N/A:explicit</v>
      </c>
      <c t="str" s="142" r="AR299">
        <f>IF((M299="g"),Z299,NA())</f>
        <v>#N/A:explicit</v>
      </c>
      <c s="142" r="AS299"/>
      <c t="str" s="142" r="AT299">
        <f>IF((COUNTA($M299:$M$361)=0),"---",IF(AND(($M299="r"),(COUNTA($M300:$M$361)&gt;0)),(MAX(AT$44:AT298)+1),IF(OR(($M298="p"),($M298="n"),($M298="g")),"---",AT298)))</f>
        <v>---</v>
      </c>
      <c t="str" s="142" r="AU299">
        <f>IF((COUNTA($M299:$M$361)=0),"---",IF(AND(($M299="p"),(COUNTA($M300:$M$361)&gt;0)),(MAX(AU$44:AU298)+1),IF(OR(($M298="r"),($M298="n"),($M298="g")),"---",AU298)))</f>
        <v>---</v>
      </c>
      <c t="str" s="142" r="AV299">
        <f>IF((COUNTA($M299:$M$361)=0),"---",IF(AND(($M299="n"),(COUNTA($M300:$M$361)&gt;0)),(MAX(AV$44:AV298)+1),IF(OR(($M298="r"),($M298="p"),($M298="g")),"---",AV298)))</f>
        <v>---</v>
      </c>
      <c t="str" s="142" r="AW299">
        <f>IF((COUNTA($M299:$M$361)=0),"---",IF(AND(($M299="g"),(COUNTA($M300:$M$361)&gt;0)),(MAX(AW$44:AW298)+1),IF(OR(($M298="r"),($M298="p"),($M298="n")),"---",AW298)))</f>
        <v>---</v>
      </c>
      <c s="676" r="AX299">
        <f>IF((M299="p"),(1+MAX(AX$44:AX298)),0)</f>
        <v>0</v>
      </c>
      <c s="51" r="AY299"/>
      <c s="761" r="AZ299"/>
      <c s="761" r="BA299"/>
      <c s="125" r="BB299"/>
      <c s="125" r="BC299"/>
      <c s="125" r="BD299"/>
      <c s="125" r="BE299"/>
      <c s="125" r="BF299"/>
      <c s="125" r="BG299"/>
      <c s="125" r="BH299"/>
      <c s="125" r="BI299"/>
    </row>
    <row r="300">
      <c s="125" r="A300"/>
      <c s="125" r="B300"/>
      <c s="125" r="C300"/>
      <c s="125" r="D300"/>
      <c s="125" r="E300"/>
      <c s="125" r="F300"/>
      <c s="125" r="G300"/>
      <c s="125" r="H300"/>
      <c s="125" r="I300"/>
      <c s="822" r="J300"/>
      <c s="429" r="K300"/>
      <c s="458" r="L300"/>
      <c s="104" r="M300"/>
      <c s="458" r="N300"/>
      <c t="str" s="589" r="O300">
        <f>IF((AH$28=2),IF(ISBLANK(N300),O299,N300),IF(ISNUMBER(N300),(MAX(O$44:O299)+N300),O299))</f>
        <v/>
      </c>
      <c s="228" r="P300"/>
      <c s="273" r="Q300">
        <f>IF(ISNUMBER(P300),((Q299+P300)-R299),Q299)</f>
        <v>100</v>
      </c>
      <c s="228" r="R300"/>
      <c s="610" r="S300"/>
      <c s="458" r="T300"/>
      <c s="458" r="U300"/>
      <c s="458" r="V300"/>
      <c s="458" r="W300"/>
      <c s="458" r="X300"/>
      <c s="458" r="Y300"/>
      <c t="str" s="620" r="Z300">
        <f>IF(ISNUMBER(S300),(Q300-S300),NA())</f>
        <v>#N/A:explicit</v>
      </c>
      <c t="str" s="620" r="AA300">
        <f>IF(ISNUMBER(T300),IF((AH$22=1),(Z300+T300),(Q300-T300)),NA())</f>
        <v>#N/A:explicit</v>
      </c>
      <c t="str" s="620" r="AB300">
        <f>IF(ISNUMBER(U300),(Q300-U300),NA())</f>
        <v>#N/A:explicit</v>
      </c>
      <c t="str" s="620" r="AC300">
        <f>IF(ISNUMBER(V300),(Q300-V300),NA())</f>
        <v>#N/A:explicit</v>
      </c>
      <c t="str" s="620" r="AD300">
        <f>IF(ISNUMBER(W300),(Q300-W300),NA())</f>
        <v>#N/A:explicit</v>
      </c>
      <c t="str" s="620" r="AE300">
        <f>IF(ISNUMBER(X300),(Q300-X300),NA())</f>
        <v>#N/A:explicit</v>
      </c>
      <c t="str" s="552" r="AF300">
        <f>IF(ISNUMBER(Z300),Z300,"---")</f>
        <v>---</v>
      </c>
      <c s="142" r="AG300"/>
      <c t="str" s="142" r="AH300">
        <f>IF(ISBLANK(L300),NA(),MIN(AF$44:AF$361))</f>
        <v>#N/A:explicit</v>
      </c>
      <c t="str" s="142" r="AI300">
        <f>IF(ISNA(AA300),Z300,AA300)</f>
        <v>#N/A:explicit</v>
      </c>
      <c s="142" r="AJ300">
        <f>MIN(AF$44:AF$361)</f>
        <v>0</v>
      </c>
      <c s="142" r="AK300"/>
      <c t="str" s="142" r="AL300">
        <f>IF(ISNUMBER(AB300),O300,"---")</f>
        <v>---</v>
      </c>
      <c t="str" s="80" r="AM300">
        <f>IF(ISNUMBER(AB300),AB300,"---")</f>
        <v>---</v>
      </c>
      <c s="80" r="AN300"/>
      <c t="str" s="142" r="AO300">
        <f>IF((M300="r"),Z300,NA())</f>
        <v>#N/A:explicit</v>
      </c>
      <c t="str" s="142" r="AP300">
        <f>IF((M300="p"),Z300,NA())</f>
        <v>#N/A:explicit</v>
      </c>
      <c t="str" s="142" r="AQ300">
        <f>IF((M300="n"),Z300,NA())</f>
        <v>#N/A:explicit</v>
      </c>
      <c t="str" s="142" r="AR300">
        <f>IF((M300="g"),Z300,NA())</f>
        <v>#N/A:explicit</v>
      </c>
      <c s="142" r="AS300"/>
      <c t="str" s="142" r="AT300">
        <f>IF((COUNTA($M300:$M$361)=0),"---",IF(AND(($M300="r"),(COUNTA($M301:$M$361)&gt;0)),(MAX(AT$44:AT299)+1),IF(OR(($M299="p"),($M299="n"),($M299="g")),"---",AT299)))</f>
        <v>---</v>
      </c>
      <c t="str" s="142" r="AU300">
        <f>IF((COUNTA($M300:$M$361)=0),"---",IF(AND(($M300="p"),(COUNTA($M301:$M$361)&gt;0)),(MAX(AU$44:AU299)+1),IF(OR(($M299="r"),($M299="n"),($M299="g")),"---",AU299)))</f>
        <v>---</v>
      </c>
      <c t="str" s="142" r="AV300">
        <f>IF((COUNTA($M300:$M$361)=0),"---",IF(AND(($M300="n"),(COUNTA($M301:$M$361)&gt;0)),(MAX(AV$44:AV299)+1),IF(OR(($M299="r"),($M299="p"),($M299="g")),"---",AV299)))</f>
        <v>---</v>
      </c>
      <c t="str" s="142" r="AW300">
        <f>IF((COUNTA($M300:$M$361)=0),"---",IF(AND(($M300="g"),(COUNTA($M301:$M$361)&gt;0)),(MAX(AW$44:AW299)+1),IF(OR(($M299="r"),($M299="p"),($M299="n")),"---",AW299)))</f>
        <v>---</v>
      </c>
      <c s="676" r="AX300">
        <f>IF((M300="p"),(1+MAX(AX$44:AX299)),0)</f>
        <v>0</v>
      </c>
      <c s="51" r="AY300"/>
      <c s="761" r="AZ300"/>
      <c s="761" r="BA300"/>
      <c s="125" r="BB300"/>
      <c s="125" r="BC300"/>
      <c s="125" r="BD300"/>
      <c s="125" r="BE300"/>
      <c s="125" r="BF300"/>
      <c s="125" r="BG300"/>
      <c s="125" r="BH300"/>
      <c s="125" r="BI300"/>
    </row>
    <row r="301">
      <c s="125" r="A301"/>
      <c s="125" r="B301"/>
      <c s="125" r="C301"/>
      <c s="125" r="D301"/>
      <c s="125" r="E301"/>
      <c s="125" r="F301"/>
      <c s="125" r="G301"/>
      <c s="125" r="H301"/>
      <c s="125" r="I301"/>
      <c s="822" r="J301"/>
      <c s="429" r="K301"/>
      <c s="458" r="L301"/>
      <c s="104" r="M301"/>
      <c s="458" r="N301"/>
      <c t="str" s="589" r="O301">
        <f>IF((AH$28=2),IF(ISBLANK(N301),O300,N301),IF(ISNUMBER(N301),(MAX(O$44:O300)+N301),O300))</f>
        <v/>
      </c>
      <c s="228" r="P301"/>
      <c s="273" r="Q301">
        <f>IF(ISNUMBER(P301),((Q300+P301)-R300),Q300)</f>
        <v>100</v>
      </c>
      <c s="228" r="R301"/>
      <c s="610" r="S301"/>
      <c s="458" r="T301"/>
      <c s="458" r="U301"/>
      <c s="458" r="V301"/>
      <c s="458" r="W301"/>
      <c s="458" r="X301"/>
      <c s="458" r="Y301"/>
      <c t="str" s="620" r="Z301">
        <f>IF(ISNUMBER(S301),(Q301-S301),NA())</f>
        <v>#N/A:explicit</v>
      </c>
      <c t="str" s="620" r="AA301">
        <f>IF(ISNUMBER(T301),IF((AH$22=1),(Z301+T301),(Q301-T301)),NA())</f>
        <v>#N/A:explicit</v>
      </c>
      <c t="str" s="620" r="AB301">
        <f>IF(ISNUMBER(U301),(Q301-U301),NA())</f>
        <v>#N/A:explicit</v>
      </c>
      <c t="str" s="620" r="AC301">
        <f>IF(ISNUMBER(V301),(Q301-V301),NA())</f>
        <v>#N/A:explicit</v>
      </c>
      <c t="str" s="620" r="AD301">
        <f>IF(ISNUMBER(W301),(Q301-W301),NA())</f>
        <v>#N/A:explicit</v>
      </c>
      <c t="str" s="620" r="AE301">
        <f>IF(ISNUMBER(X301),(Q301-X301),NA())</f>
        <v>#N/A:explicit</v>
      </c>
      <c t="str" s="552" r="AF301">
        <f>IF(ISNUMBER(Z301),Z301,"---")</f>
        <v>---</v>
      </c>
      <c s="142" r="AG301"/>
      <c t="str" s="142" r="AH301">
        <f>IF(ISBLANK(L301),NA(),MIN(AF$44:AF$361))</f>
        <v>#N/A:explicit</v>
      </c>
      <c t="str" s="142" r="AI301">
        <f>IF(ISNA(AA301),Z301,AA301)</f>
        <v>#N/A:explicit</v>
      </c>
      <c s="142" r="AJ301">
        <f>MIN(AF$44:AF$361)</f>
        <v>0</v>
      </c>
      <c s="142" r="AK301"/>
      <c t="str" s="142" r="AL301">
        <f>IF(ISNUMBER(AB301),O301,"---")</f>
        <v>---</v>
      </c>
      <c t="str" s="80" r="AM301">
        <f>IF(ISNUMBER(AB301),AB301,"---")</f>
        <v>---</v>
      </c>
      <c s="80" r="AN301"/>
      <c t="str" s="142" r="AO301">
        <f>IF((M301="r"),Z301,NA())</f>
        <v>#N/A:explicit</v>
      </c>
      <c t="str" s="142" r="AP301">
        <f>IF((M301="p"),Z301,NA())</f>
        <v>#N/A:explicit</v>
      </c>
      <c t="str" s="142" r="AQ301">
        <f>IF((M301="n"),Z301,NA())</f>
        <v>#N/A:explicit</v>
      </c>
      <c t="str" s="142" r="AR301">
        <f>IF((M301="g"),Z301,NA())</f>
        <v>#N/A:explicit</v>
      </c>
      <c s="142" r="AS301"/>
      <c t="str" s="142" r="AT301">
        <f>IF((COUNTA($M301:$M$361)=0),"---",IF(AND(($M301="r"),(COUNTA($M302:$M$361)&gt;0)),(MAX(AT$44:AT300)+1),IF(OR(($M300="p"),($M300="n"),($M300="g")),"---",AT300)))</f>
        <v>---</v>
      </c>
      <c t="str" s="142" r="AU301">
        <f>IF((COUNTA($M301:$M$361)=0),"---",IF(AND(($M301="p"),(COUNTA($M302:$M$361)&gt;0)),(MAX(AU$44:AU300)+1),IF(OR(($M300="r"),($M300="n"),($M300="g")),"---",AU300)))</f>
        <v>---</v>
      </c>
      <c t="str" s="142" r="AV301">
        <f>IF((COUNTA($M301:$M$361)=0),"---",IF(AND(($M301="n"),(COUNTA($M302:$M$361)&gt;0)),(MAX(AV$44:AV300)+1),IF(OR(($M300="r"),($M300="p"),($M300="g")),"---",AV300)))</f>
        <v>---</v>
      </c>
      <c t="str" s="142" r="AW301">
        <f>IF((COUNTA($M301:$M$361)=0),"---",IF(AND(($M301="g"),(COUNTA($M302:$M$361)&gt;0)),(MAX(AW$44:AW300)+1),IF(OR(($M300="r"),($M300="p"),($M300="n")),"---",AW300)))</f>
        <v>---</v>
      </c>
      <c s="676" r="AX301">
        <f>IF((M301="p"),(1+MAX(AX$44:AX300)),0)</f>
        <v>0</v>
      </c>
      <c s="51" r="AY301"/>
      <c s="761" r="AZ301"/>
      <c s="761" r="BA301"/>
      <c s="125" r="BB301"/>
      <c s="125" r="BC301"/>
      <c s="125" r="BD301"/>
      <c s="125" r="BE301"/>
      <c s="125" r="BF301"/>
      <c s="125" r="BG301"/>
      <c s="125" r="BH301"/>
      <c s="125" r="BI301"/>
    </row>
    <row r="302">
      <c s="125" r="A302"/>
      <c s="125" r="B302"/>
      <c s="125" r="C302"/>
      <c s="125" r="D302"/>
      <c s="125" r="E302"/>
      <c s="125" r="F302"/>
      <c s="125" r="G302"/>
      <c s="125" r="H302"/>
      <c s="125" r="I302"/>
      <c s="822" r="J302"/>
      <c s="429" r="K302"/>
      <c s="458" r="L302"/>
      <c s="104" r="M302"/>
      <c s="458" r="N302"/>
      <c t="str" s="589" r="O302">
        <f>IF((AH$28=2),IF(ISBLANK(N302),O301,N302),IF(ISNUMBER(N302),(MAX(O$44:O301)+N302),O301))</f>
        <v/>
      </c>
      <c s="228" r="P302"/>
      <c s="273" r="Q302">
        <f>IF(ISNUMBER(P302),((Q301+P302)-R301),Q301)</f>
        <v>100</v>
      </c>
      <c s="228" r="R302"/>
      <c s="610" r="S302"/>
      <c s="458" r="T302"/>
      <c s="458" r="U302"/>
      <c s="458" r="V302"/>
      <c s="458" r="W302"/>
      <c s="458" r="X302"/>
      <c s="458" r="Y302"/>
      <c t="str" s="620" r="Z302">
        <f>IF(ISNUMBER(S302),(Q302-S302),NA())</f>
        <v>#N/A:explicit</v>
      </c>
      <c t="str" s="620" r="AA302">
        <f>IF(ISNUMBER(T302),IF((AH$22=1),(Z302+T302),(Q302-T302)),NA())</f>
        <v>#N/A:explicit</v>
      </c>
      <c t="str" s="620" r="AB302">
        <f>IF(ISNUMBER(U302),(Q302-U302),NA())</f>
        <v>#N/A:explicit</v>
      </c>
      <c t="str" s="620" r="AC302">
        <f>IF(ISNUMBER(V302),(Q302-V302),NA())</f>
        <v>#N/A:explicit</v>
      </c>
      <c t="str" s="620" r="AD302">
        <f>IF(ISNUMBER(W302),(Q302-W302),NA())</f>
        <v>#N/A:explicit</v>
      </c>
      <c t="str" s="620" r="AE302">
        <f>IF(ISNUMBER(X302),(Q302-X302),NA())</f>
        <v>#N/A:explicit</v>
      </c>
      <c t="str" s="552" r="AF302">
        <f>IF(ISNUMBER(Z302),Z302,"---")</f>
        <v>---</v>
      </c>
      <c s="142" r="AG302"/>
      <c t="str" s="142" r="AH302">
        <f>IF(ISBLANK(L302),NA(),MIN(AF$44:AF$361))</f>
        <v>#N/A:explicit</v>
      </c>
      <c t="str" s="142" r="AI302">
        <f>IF(ISNA(AA302),Z302,AA302)</f>
        <v>#N/A:explicit</v>
      </c>
      <c s="142" r="AJ302">
        <f>MIN(AF$44:AF$361)</f>
        <v>0</v>
      </c>
      <c s="142" r="AK302"/>
      <c t="str" s="142" r="AL302">
        <f>IF(ISNUMBER(AB302),O302,"---")</f>
        <v>---</v>
      </c>
      <c t="str" s="80" r="AM302">
        <f>IF(ISNUMBER(AB302),AB302,"---")</f>
        <v>---</v>
      </c>
      <c s="80" r="AN302"/>
      <c t="str" s="142" r="AO302">
        <f>IF((M302="r"),Z302,NA())</f>
        <v>#N/A:explicit</v>
      </c>
      <c t="str" s="142" r="AP302">
        <f>IF((M302="p"),Z302,NA())</f>
        <v>#N/A:explicit</v>
      </c>
      <c t="str" s="142" r="AQ302">
        <f>IF((M302="n"),Z302,NA())</f>
        <v>#N/A:explicit</v>
      </c>
      <c t="str" s="142" r="AR302">
        <f>IF((M302="g"),Z302,NA())</f>
        <v>#N/A:explicit</v>
      </c>
      <c s="142" r="AS302"/>
      <c t="str" s="142" r="AT302">
        <f>IF((COUNTA($M302:$M$361)=0),"---",IF(AND(($M302="r"),(COUNTA($M303:$M$361)&gt;0)),(MAX(AT$44:AT301)+1),IF(OR(($M301="p"),($M301="n"),($M301="g")),"---",AT301)))</f>
        <v>---</v>
      </c>
      <c t="str" s="142" r="AU302">
        <f>IF((COUNTA($M302:$M$361)=0),"---",IF(AND(($M302="p"),(COUNTA($M303:$M$361)&gt;0)),(MAX(AU$44:AU301)+1),IF(OR(($M301="r"),($M301="n"),($M301="g")),"---",AU301)))</f>
        <v>---</v>
      </c>
      <c t="str" s="142" r="AV302">
        <f>IF((COUNTA($M302:$M$361)=0),"---",IF(AND(($M302="n"),(COUNTA($M303:$M$361)&gt;0)),(MAX(AV$44:AV301)+1),IF(OR(($M301="r"),($M301="p"),($M301="g")),"---",AV301)))</f>
        <v>---</v>
      </c>
      <c t="str" s="142" r="AW302">
        <f>IF((COUNTA($M302:$M$361)=0),"---",IF(AND(($M302="g"),(COUNTA($M303:$M$361)&gt;0)),(MAX(AW$44:AW301)+1),IF(OR(($M301="r"),($M301="p"),($M301="n")),"---",AW301)))</f>
        <v>---</v>
      </c>
      <c s="676" r="AX302">
        <f>IF((M302="p"),(1+MAX(AX$44:AX301)),0)</f>
        <v>0</v>
      </c>
      <c s="51" r="AY302"/>
      <c s="761" r="AZ302"/>
      <c s="761" r="BA302"/>
      <c s="125" r="BB302"/>
      <c s="125" r="BC302"/>
      <c s="125" r="BD302"/>
      <c s="125" r="BE302"/>
      <c s="125" r="BF302"/>
      <c s="125" r="BG302"/>
      <c s="125" r="BH302"/>
      <c s="125" r="BI302"/>
    </row>
    <row r="303">
      <c s="125" r="A303"/>
      <c s="125" r="B303"/>
      <c s="125" r="C303"/>
      <c s="125" r="D303"/>
      <c s="125" r="E303"/>
      <c s="125" r="F303"/>
      <c s="125" r="G303"/>
      <c s="125" r="H303"/>
      <c s="125" r="I303"/>
      <c s="822" r="J303"/>
      <c s="848" r="K303"/>
      <c s="550" r="L303"/>
      <c s="104" r="M303"/>
      <c s="550" r="N303"/>
      <c t="str" s="589" r="O303">
        <f>IF((AH$28=2),IF(ISBLANK(N303),O302,N303),IF(ISNUMBER(N303),(MAX(O$44:O302)+N303),O302))</f>
        <v/>
      </c>
      <c s="694" r="P303"/>
      <c s="273" r="Q303">
        <f>IF(ISNUMBER(P303),((Q302+P303)-R302),Q302)</f>
        <v>100</v>
      </c>
      <c s="694" r="R303"/>
      <c s="821" r="S303"/>
      <c s="550" r="T303"/>
      <c s="550" r="U303"/>
      <c s="550" r="V303"/>
      <c s="550" r="W303"/>
      <c s="550" r="X303"/>
      <c s="550" r="Y303"/>
      <c t="str" s="470" r="Z303">
        <f>IF(ISNUMBER(S303),(Q303-S303),NA())</f>
        <v>#N/A:explicit</v>
      </c>
      <c t="str" s="470" r="AA303">
        <f>IF(ISNUMBER(T303),IF((AH$22=1),(Z303+T303),(Q303-T303)),NA())</f>
        <v>#N/A:explicit</v>
      </c>
      <c t="str" s="470" r="AB303">
        <f>IF(ISNUMBER(U303),(Q303-U303),NA())</f>
        <v>#N/A:explicit</v>
      </c>
      <c t="str" s="470" r="AC303">
        <f>IF(ISNUMBER(V303),(Q303-V303),NA())</f>
        <v>#N/A:explicit</v>
      </c>
      <c t="str" s="470" r="AD303">
        <f>IF(ISNUMBER(W303),(Q303-W303),NA())</f>
        <v>#N/A:explicit</v>
      </c>
      <c t="str" s="470" r="AE303">
        <f>IF(ISNUMBER(X303),(Q303-X303),NA())</f>
        <v>#N/A:explicit</v>
      </c>
      <c t="str" s="552" r="AF303">
        <f>IF(ISNUMBER(Z303),Z303,"---")</f>
        <v>---</v>
      </c>
      <c s="142" r="AG303"/>
      <c t="str" s="142" r="AH303">
        <f>IF(ISBLANK(L303),NA(),MIN(AF$44:AF$361))</f>
        <v>#N/A:explicit</v>
      </c>
      <c t="str" s="142" r="AI303">
        <f>IF(ISNA(AA303),Z303,AA303)</f>
        <v>#N/A:explicit</v>
      </c>
      <c s="142" r="AJ303">
        <f>MIN(AF$44:AF$361)</f>
        <v>0</v>
      </c>
      <c s="142" r="AK303"/>
      <c t="str" s="142" r="AL303">
        <f>IF(ISNUMBER(AB303),O303,"---")</f>
        <v>---</v>
      </c>
      <c t="str" s="80" r="AM303">
        <f>IF(ISNUMBER(AB303),AB303,"---")</f>
        <v>---</v>
      </c>
      <c s="80" r="AN303"/>
      <c t="str" s="142" r="AO303">
        <f>IF((M303="r"),Z303,NA())</f>
        <v>#N/A:explicit</v>
      </c>
      <c t="str" s="142" r="AP303">
        <f>IF((M303="p"),Z303,NA())</f>
        <v>#N/A:explicit</v>
      </c>
      <c t="str" s="142" r="AQ303">
        <f>IF((M303="n"),Z303,NA())</f>
        <v>#N/A:explicit</v>
      </c>
      <c t="str" s="142" r="AR303">
        <f>IF((M303="g"),Z303,NA())</f>
        <v>#N/A:explicit</v>
      </c>
      <c s="142" r="AS303"/>
      <c t="str" s="142" r="AT303">
        <f>IF((COUNTA($M303:$M$361)=0),"---",IF(AND(($M303="r"),(COUNTA($M304:$M$361)&gt;0)),(MAX(AT$44:AT302)+1),IF(OR(($M302="p"),($M302="n"),($M302="g")),"---",AT302)))</f>
        <v>---</v>
      </c>
      <c t="str" s="142" r="AU303">
        <f>IF((COUNTA($M303:$M$361)=0),"---",IF(AND(($M303="p"),(COUNTA($M304:$M$361)&gt;0)),(MAX(AU$44:AU302)+1),IF(OR(($M302="r"),($M302="n"),($M302="g")),"---",AU302)))</f>
        <v>---</v>
      </c>
      <c t="str" s="142" r="AV303">
        <f>IF((COUNTA($M303:$M$361)=0),"---",IF(AND(($M303="n"),(COUNTA($M304:$M$361)&gt;0)),(MAX(AV$44:AV302)+1),IF(OR(($M302="r"),($M302="p"),($M302="g")),"---",AV302)))</f>
        <v>---</v>
      </c>
      <c t="str" s="142" r="AW303">
        <f>IF((COUNTA($M303:$M$361)=0),"---",IF(AND(($M303="g"),(COUNTA($M304:$M$361)&gt;0)),(MAX(AW$44:AW302)+1),IF(OR(($M302="r"),($M302="p"),($M302="n")),"---",AW302)))</f>
        <v>---</v>
      </c>
      <c s="676" r="AX303">
        <f>IF((M303="p"),(1+MAX(AX$44:AX302)),0)</f>
        <v>0</v>
      </c>
      <c s="51" r="AY303"/>
      <c s="761" r="AZ303"/>
      <c s="761" r="BA303"/>
      <c s="125" r="BB303"/>
      <c s="125" r="BC303"/>
      <c s="125" r="BD303"/>
      <c s="125" r="BE303"/>
      <c s="125" r="BF303"/>
      <c s="125" r="BG303"/>
      <c s="125" r="BH303"/>
      <c s="125" r="BI303"/>
    </row>
    <row r="304">
      <c s="125" r="A304"/>
      <c s="125" r="B304"/>
      <c s="125" r="C304"/>
      <c s="125" r="D304"/>
      <c s="125" r="E304"/>
      <c s="125" r="F304"/>
      <c s="125" r="G304"/>
      <c s="125" r="H304"/>
      <c s="125" r="I304"/>
      <c s="822" r="J304"/>
      <c s="848" r="K304"/>
      <c s="550" r="L304"/>
      <c s="104" r="M304"/>
      <c s="550" r="N304"/>
      <c t="str" s="589" r="O304">
        <f>IF((AH$28=2),IF(ISBLANK(N304),O303,N304),IF(ISNUMBER(N304),(MAX(O$44:O303)+N304),O303))</f>
        <v/>
      </c>
      <c s="694" r="P304"/>
      <c s="273" r="Q304">
        <f>IF(ISNUMBER(P304),((Q303+P304)-R303),Q303)</f>
        <v>100</v>
      </c>
      <c s="694" r="R304"/>
      <c s="821" r="S304"/>
      <c s="550" r="T304"/>
      <c s="550" r="U304"/>
      <c s="550" r="V304"/>
      <c s="550" r="W304"/>
      <c s="550" r="X304"/>
      <c s="550" r="Y304"/>
      <c t="str" s="470" r="Z304">
        <f>IF(ISNUMBER(S304),(Q304-S304),NA())</f>
        <v>#N/A:explicit</v>
      </c>
      <c t="str" s="470" r="AA304">
        <f>IF(ISNUMBER(T304),IF((AH$22=1),(Z304+T304),(Q304-T304)),NA())</f>
        <v>#N/A:explicit</v>
      </c>
      <c t="str" s="470" r="AB304">
        <f>IF(ISNUMBER(U304),(Q304-U304),NA())</f>
        <v>#N/A:explicit</v>
      </c>
      <c t="str" s="470" r="AC304">
        <f>IF(ISNUMBER(V304),(Q304-V304),NA())</f>
        <v>#N/A:explicit</v>
      </c>
      <c t="str" s="470" r="AD304">
        <f>IF(ISNUMBER(W304),(Q304-W304),NA())</f>
        <v>#N/A:explicit</v>
      </c>
      <c t="str" s="470" r="AE304">
        <f>IF(ISNUMBER(X304),(Q304-X304),NA())</f>
        <v>#N/A:explicit</v>
      </c>
      <c t="str" s="552" r="AF304">
        <f>IF(ISNUMBER(Z304),Z304,"---")</f>
        <v>---</v>
      </c>
      <c s="142" r="AG304"/>
      <c t="str" s="142" r="AH304">
        <f>IF(ISBLANK(L304),NA(),MIN(AF$44:AF$361))</f>
        <v>#N/A:explicit</v>
      </c>
      <c t="str" s="142" r="AI304">
        <f>IF(ISNA(AA304),Z304,AA304)</f>
        <v>#N/A:explicit</v>
      </c>
      <c s="142" r="AJ304">
        <f>MIN(AF$44:AF$361)</f>
        <v>0</v>
      </c>
      <c s="142" r="AK304"/>
      <c t="str" s="142" r="AL304">
        <f>IF(ISNUMBER(AB304),O304,"---")</f>
        <v>---</v>
      </c>
      <c t="str" s="80" r="AM304">
        <f>IF(ISNUMBER(AB304),AB304,"---")</f>
        <v>---</v>
      </c>
      <c s="80" r="AN304"/>
      <c t="str" s="142" r="AO304">
        <f>IF((M304="r"),Z304,NA())</f>
        <v>#N/A:explicit</v>
      </c>
      <c t="str" s="142" r="AP304">
        <f>IF((M304="p"),Z304,NA())</f>
        <v>#N/A:explicit</v>
      </c>
      <c t="str" s="142" r="AQ304">
        <f>IF((M304="n"),Z304,NA())</f>
        <v>#N/A:explicit</v>
      </c>
      <c t="str" s="142" r="AR304">
        <f>IF((M304="g"),Z304,NA())</f>
        <v>#N/A:explicit</v>
      </c>
      <c s="142" r="AS304"/>
      <c t="str" s="142" r="AT304">
        <f>IF((COUNTA($M304:$M$361)=0),"---",IF(AND(($M304="r"),(COUNTA($M305:$M$361)&gt;0)),(MAX(AT$44:AT303)+1),IF(OR(($M303="p"),($M303="n"),($M303="g")),"---",AT303)))</f>
        <v>---</v>
      </c>
      <c t="str" s="142" r="AU304">
        <f>IF((COUNTA($M304:$M$361)=0),"---",IF(AND(($M304="p"),(COUNTA($M305:$M$361)&gt;0)),(MAX(AU$44:AU303)+1),IF(OR(($M303="r"),($M303="n"),($M303="g")),"---",AU303)))</f>
        <v>---</v>
      </c>
      <c t="str" s="142" r="AV304">
        <f>IF((COUNTA($M304:$M$361)=0),"---",IF(AND(($M304="n"),(COUNTA($M305:$M$361)&gt;0)),(MAX(AV$44:AV303)+1),IF(OR(($M303="r"),($M303="p"),($M303="g")),"---",AV303)))</f>
        <v>---</v>
      </c>
      <c t="str" s="142" r="AW304">
        <f>IF((COUNTA($M304:$M$361)=0),"---",IF(AND(($M304="g"),(COUNTA($M305:$M$361)&gt;0)),(MAX(AW$44:AW303)+1),IF(OR(($M303="r"),($M303="p"),($M303="n")),"---",AW303)))</f>
        <v>---</v>
      </c>
      <c s="676" r="AX304">
        <f>IF((M304="p"),(1+MAX(AX$44:AX303)),0)</f>
        <v>0</v>
      </c>
      <c s="51" r="AY304"/>
      <c s="761" r="AZ304"/>
      <c s="761" r="BA304"/>
      <c s="125" r="BB304"/>
      <c s="125" r="BC304"/>
      <c s="125" r="BD304"/>
      <c s="125" r="BE304"/>
      <c s="125" r="BF304"/>
      <c s="125" r="BG304"/>
      <c s="125" r="BH304"/>
      <c s="125" r="BI304"/>
    </row>
    <row r="305">
      <c s="125" r="A305"/>
      <c s="125" r="B305"/>
      <c s="125" r="C305"/>
      <c s="125" r="D305"/>
      <c s="125" r="E305"/>
      <c s="125" r="F305"/>
      <c s="125" r="G305"/>
      <c s="125" r="H305"/>
      <c s="125" r="I305"/>
      <c s="822" r="J305"/>
      <c s="848" r="K305"/>
      <c s="550" r="L305"/>
      <c s="104" r="M305"/>
      <c s="550" r="N305"/>
      <c t="str" s="589" r="O305">
        <f>IF((AH$28=2),IF(ISBLANK(N305),O304,N305),IF(ISNUMBER(N305),(MAX(O$44:O304)+N305),O304))</f>
        <v/>
      </c>
      <c s="694" r="P305"/>
      <c s="273" r="Q305">
        <f>IF(ISNUMBER(P305),((Q304+P305)-R304),Q304)</f>
        <v>100</v>
      </c>
      <c s="694" r="R305"/>
      <c s="821" r="S305"/>
      <c s="550" r="T305"/>
      <c s="550" r="U305"/>
      <c s="550" r="V305"/>
      <c s="550" r="W305"/>
      <c s="550" r="X305"/>
      <c s="550" r="Y305"/>
      <c t="str" s="470" r="Z305">
        <f>IF(ISNUMBER(S305),(Q305-S305),NA())</f>
        <v>#N/A:explicit</v>
      </c>
      <c t="str" s="470" r="AA305">
        <f>IF(ISNUMBER(T305),IF((AH$22=1),(Z305+T305),(Q305-T305)),NA())</f>
        <v>#N/A:explicit</v>
      </c>
      <c t="str" s="470" r="AB305">
        <f>IF(ISNUMBER(U305),(Q305-U305),NA())</f>
        <v>#N/A:explicit</v>
      </c>
      <c t="str" s="470" r="AC305">
        <f>IF(ISNUMBER(V305),(Q305-V305),NA())</f>
        <v>#N/A:explicit</v>
      </c>
      <c t="str" s="470" r="AD305">
        <f>IF(ISNUMBER(W305),(Q305-W305),NA())</f>
        <v>#N/A:explicit</v>
      </c>
      <c t="str" s="470" r="AE305">
        <f>IF(ISNUMBER(X305),(Q305-X305),NA())</f>
        <v>#N/A:explicit</v>
      </c>
      <c t="str" s="552" r="AF305">
        <f>IF(ISNUMBER(Z305),Z305,"---")</f>
        <v>---</v>
      </c>
      <c s="142" r="AG305"/>
      <c t="str" s="142" r="AH305">
        <f>IF(ISBLANK(L305),NA(),MIN(AF$44:AF$361))</f>
        <v>#N/A:explicit</v>
      </c>
      <c t="str" s="142" r="AI305">
        <f>IF(ISNA(AA305),Z305,AA305)</f>
        <v>#N/A:explicit</v>
      </c>
      <c s="142" r="AJ305">
        <f>MIN(AF$44:AF$361)</f>
        <v>0</v>
      </c>
      <c s="142" r="AK305"/>
      <c t="str" s="142" r="AL305">
        <f>IF(ISNUMBER(AB305),O305,"---")</f>
        <v>---</v>
      </c>
      <c t="str" s="80" r="AM305">
        <f>IF(ISNUMBER(AB305),AB305,"---")</f>
        <v>---</v>
      </c>
      <c s="80" r="AN305"/>
      <c t="str" s="142" r="AO305">
        <f>IF((M305="r"),Z305,NA())</f>
        <v>#N/A:explicit</v>
      </c>
      <c t="str" s="142" r="AP305">
        <f>IF((M305="p"),Z305,NA())</f>
        <v>#N/A:explicit</v>
      </c>
      <c t="str" s="142" r="AQ305">
        <f>IF((M305="n"),Z305,NA())</f>
        <v>#N/A:explicit</v>
      </c>
      <c t="str" s="142" r="AR305">
        <f>IF((M305="g"),Z305,NA())</f>
        <v>#N/A:explicit</v>
      </c>
      <c s="142" r="AS305"/>
      <c t="str" s="142" r="AT305">
        <f>IF((COUNTA($M305:$M$361)=0),"---",IF(AND(($M305="r"),(COUNTA($M306:$M$361)&gt;0)),(MAX(AT$44:AT304)+1),IF(OR(($M304="p"),($M304="n"),($M304="g")),"---",AT304)))</f>
        <v>---</v>
      </c>
      <c t="str" s="142" r="AU305">
        <f>IF((COUNTA($M305:$M$361)=0),"---",IF(AND(($M305="p"),(COUNTA($M306:$M$361)&gt;0)),(MAX(AU$44:AU304)+1),IF(OR(($M304="r"),($M304="n"),($M304="g")),"---",AU304)))</f>
        <v>---</v>
      </c>
      <c t="str" s="142" r="AV305">
        <f>IF((COUNTA($M305:$M$361)=0),"---",IF(AND(($M305="n"),(COUNTA($M306:$M$361)&gt;0)),(MAX(AV$44:AV304)+1),IF(OR(($M304="r"),($M304="p"),($M304="g")),"---",AV304)))</f>
        <v>---</v>
      </c>
      <c t="str" s="142" r="AW305">
        <f>IF((COUNTA($M305:$M$361)=0),"---",IF(AND(($M305="g"),(COUNTA($M306:$M$361)&gt;0)),(MAX(AW$44:AW304)+1),IF(OR(($M304="r"),($M304="p"),($M304="n")),"---",AW304)))</f>
        <v>---</v>
      </c>
      <c s="676" r="AX305">
        <f>IF((M305="p"),(1+MAX(AX$44:AX304)),0)</f>
        <v>0</v>
      </c>
      <c s="51" r="AY305"/>
      <c s="761" r="AZ305"/>
      <c s="761" r="BA305"/>
      <c s="125" r="BB305"/>
      <c s="125" r="BC305"/>
      <c s="125" r="BD305"/>
      <c s="125" r="BE305"/>
      <c s="125" r="BF305"/>
      <c s="125" r="BG305"/>
      <c s="125" r="BH305"/>
      <c s="125" r="BI305"/>
    </row>
    <row r="306">
      <c s="125" r="A306"/>
      <c s="125" r="B306"/>
      <c s="125" r="C306"/>
      <c s="125" r="D306"/>
      <c s="125" r="E306"/>
      <c s="125" r="F306"/>
      <c s="125" r="G306"/>
      <c s="125" r="H306"/>
      <c s="125" r="I306"/>
      <c s="822" r="J306"/>
      <c s="429" r="K306"/>
      <c s="458" r="L306"/>
      <c s="104" r="M306"/>
      <c s="458" r="N306"/>
      <c t="str" s="589" r="O306">
        <f>IF((AH$28=2),IF(ISBLANK(N306),O305,N306),IF(ISNUMBER(N306),(MAX(O$44:O305)+N306),O305))</f>
        <v/>
      </c>
      <c s="228" r="P306"/>
      <c s="273" r="Q306">
        <f>IF(ISNUMBER(P306),((Q305+P306)-R305),Q305)</f>
        <v>100</v>
      </c>
      <c s="228" r="R306"/>
      <c s="610" r="S306"/>
      <c s="458" r="T306"/>
      <c s="458" r="U306"/>
      <c s="458" r="V306"/>
      <c s="458" r="W306"/>
      <c s="458" r="X306"/>
      <c s="458" r="Y306"/>
      <c t="str" s="620" r="Z306">
        <f>IF(ISNUMBER(S306),(Q306-S306),NA())</f>
        <v>#N/A:explicit</v>
      </c>
      <c t="str" s="620" r="AA306">
        <f>IF(ISNUMBER(T306),IF((AH$22=1),(Z306+T306),(Q306-T306)),NA())</f>
        <v>#N/A:explicit</v>
      </c>
      <c t="str" s="620" r="AB306">
        <f>IF(ISNUMBER(U306),(Q306-U306),NA())</f>
        <v>#N/A:explicit</v>
      </c>
      <c t="str" s="620" r="AC306">
        <f>IF(ISNUMBER(V306),(Q306-V306),NA())</f>
        <v>#N/A:explicit</v>
      </c>
      <c t="str" s="620" r="AD306">
        <f>IF(ISNUMBER(W306),(Q306-W306),NA())</f>
        <v>#N/A:explicit</v>
      </c>
      <c t="str" s="620" r="AE306">
        <f>IF(ISNUMBER(X306),(Q306-X306),NA())</f>
        <v>#N/A:explicit</v>
      </c>
      <c t="str" s="552" r="AF306">
        <f>IF(ISNUMBER(Z306),Z306,"---")</f>
        <v>---</v>
      </c>
      <c s="142" r="AG306"/>
      <c t="str" s="142" r="AH306">
        <f>IF(ISBLANK(L306),NA(),MIN(AF$44:AF$361))</f>
        <v>#N/A:explicit</v>
      </c>
      <c t="str" s="142" r="AI306">
        <f>IF(ISNA(AA306),Z306,AA306)</f>
        <v>#N/A:explicit</v>
      </c>
      <c s="142" r="AJ306">
        <f>MIN(AF$44:AF$361)</f>
        <v>0</v>
      </c>
      <c s="142" r="AK306"/>
      <c t="str" s="142" r="AL306">
        <f>IF(ISNUMBER(AB306),O306,"---")</f>
        <v>---</v>
      </c>
      <c t="str" s="80" r="AM306">
        <f>IF(ISNUMBER(AB306),AB306,"---")</f>
        <v>---</v>
      </c>
      <c s="80" r="AN306"/>
      <c t="str" s="142" r="AO306">
        <f>IF((M306="r"),Z306,NA())</f>
        <v>#N/A:explicit</v>
      </c>
      <c t="str" s="142" r="AP306">
        <f>IF((M306="p"),Z306,NA())</f>
        <v>#N/A:explicit</v>
      </c>
      <c t="str" s="142" r="AQ306">
        <f>IF((M306="n"),Z306,NA())</f>
        <v>#N/A:explicit</v>
      </c>
      <c t="str" s="142" r="AR306">
        <f>IF((M306="g"),Z306,NA())</f>
        <v>#N/A:explicit</v>
      </c>
      <c s="142" r="AS306"/>
      <c t="str" s="142" r="AT306">
        <f>IF((COUNTA($M306:$M$361)=0),"---",IF(AND(($M306="r"),(COUNTA($M307:$M$361)&gt;0)),(MAX(AT$44:AT305)+1),IF(OR(($M305="p"),($M305="n"),($M305="g")),"---",AT305)))</f>
        <v>---</v>
      </c>
      <c t="str" s="142" r="AU306">
        <f>IF((COUNTA($M306:$M$361)=0),"---",IF(AND(($M306="p"),(COUNTA($M307:$M$361)&gt;0)),(MAX(AU$44:AU305)+1),IF(OR(($M305="r"),($M305="n"),($M305="g")),"---",AU305)))</f>
        <v>---</v>
      </c>
      <c t="str" s="142" r="AV306">
        <f>IF((COUNTA($M306:$M$361)=0),"---",IF(AND(($M306="n"),(COUNTA($M307:$M$361)&gt;0)),(MAX(AV$44:AV305)+1),IF(OR(($M305="r"),($M305="p"),($M305="g")),"---",AV305)))</f>
        <v>---</v>
      </c>
      <c t="str" s="142" r="AW306">
        <f>IF((COUNTA($M306:$M$361)=0),"---",IF(AND(($M306="g"),(COUNTA($M307:$M$361)&gt;0)),(MAX(AW$44:AW305)+1),IF(OR(($M305="r"),($M305="p"),($M305="n")),"---",AW305)))</f>
        <v>---</v>
      </c>
      <c s="676" r="AX306">
        <f>IF((M306="p"),(1+MAX(AX$44:AX305)),0)</f>
        <v>0</v>
      </c>
      <c s="51" r="AY306"/>
      <c s="761" r="AZ306"/>
      <c s="761" r="BA306"/>
      <c s="125" r="BB306"/>
      <c s="125" r="BC306"/>
      <c s="125" r="BD306"/>
      <c s="125" r="BE306"/>
      <c s="125" r="BF306"/>
      <c s="125" r="BG306"/>
      <c s="125" r="BH306"/>
      <c s="125" r="BI306"/>
    </row>
    <row r="307">
      <c s="125" r="A307"/>
      <c s="125" r="B307"/>
      <c s="125" r="C307"/>
      <c s="125" r="D307"/>
      <c s="125" r="E307"/>
      <c s="125" r="F307"/>
      <c s="125" r="G307"/>
      <c s="125" r="H307"/>
      <c s="125" r="I307"/>
      <c s="822" r="J307"/>
      <c s="429" r="K307"/>
      <c s="458" r="L307"/>
      <c s="104" r="M307"/>
      <c s="458" r="N307"/>
      <c t="str" s="589" r="O307">
        <f>IF((AH$28=2),IF(ISBLANK(N307),O306,N307),IF(ISNUMBER(N307),(MAX(O$44:O306)+N307),O306))</f>
        <v/>
      </c>
      <c s="228" r="P307"/>
      <c s="273" r="Q307">
        <f>IF(ISNUMBER(P307),((Q306+P307)-R306),Q306)</f>
        <v>100</v>
      </c>
      <c s="228" r="R307"/>
      <c s="610" r="S307"/>
      <c s="458" r="T307"/>
      <c s="458" r="U307"/>
      <c s="458" r="V307"/>
      <c s="458" r="W307"/>
      <c s="458" r="X307"/>
      <c s="458" r="Y307"/>
      <c t="str" s="620" r="Z307">
        <f>IF(ISNUMBER(S307),(Q307-S307),NA())</f>
        <v>#N/A:explicit</v>
      </c>
      <c t="str" s="620" r="AA307">
        <f>IF(ISNUMBER(T307),IF((AH$22=1),(Z307+T307),(Q307-T307)),NA())</f>
        <v>#N/A:explicit</v>
      </c>
      <c t="str" s="620" r="AB307">
        <f>IF(ISNUMBER(U307),(Q307-U307),NA())</f>
        <v>#N/A:explicit</v>
      </c>
      <c t="str" s="620" r="AC307">
        <f>IF(ISNUMBER(V307),(Q307-V307),NA())</f>
        <v>#N/A:explicit</v>
      </c>
      <c t="str" s="620" r="AD307">
        <f>IF(ISNUMBER(W307),(Q307-W307),NA())</f>
        <v>#N/A:explicit</v>
      </c>
      <c t="str" s="620" r="AE307">
        <f>IF(ISNUMBER(X307),(Q307-X307),NA())</f>
        <v>#N/A:explicit</v>
      </c>
      <c t="str" s="552" r="AF307">
        <f>IF(ISNUMBER(Z307),Z307,"---")</f>
        <v>---</v>
      </c>
      <c s="142" r="AG307"/>
      <c t="str" s="142" r="AH307">
        <f>IF(ISBLANK(L307),NA(),MIN(AF$44:AF$361))</f>
        <v>#N/A:explicit</v>
      </c>
      <c t="str" s="142" r="AI307">
        <f>IF(ISNA(AA307),Z307,AA307)</f>
        <v>#N/A:explicit</v>
      </c>
      <c s="142" r="AJ307">
        <f>MIN(AF$44:AF$361)</f>
        <v>0</v>
      </c>
      <c s="142" r="AK307"/>
      <c t="str" s="142" r="AL307">
        <f>IF(ISNUMBER(AB307),O307,"---")</f>
        <v>---</v>
      </c>
      <c t="str" s="80" r="AM307">
        <f>IF(ISNUMBER(AB307),AB307,"---")</f>
        <v>---</v>
      </c>
      <c s="80" r="AN307"/>
      <c t="str" s="142" r="AO307">
        <f>IF((M307="r"),Z307,NA())</f>
        <v>#N/A:explicit</v>
      </c>
      <c t="str" s="142" r="AP307">
        <f>IF((M307="p"),Z307,NA())</f>
        <v>#N/A:explicit</v>
      </c>
      <c t="str" s="142" r="AQ307">
        <f>IF((M307="n"),Z307,NA())</f>
        <v>#N/A:explicit</v>
      </c>
      <c t="str" s="142" r="AR307">
        <f>IF((M307="g"),Z307,NA())</f>
        <v>#N/A:explicit</v>
      </c>
      <c s="142" r="AS307"/>
      <c t="str" s="142" r="AT307">
        <f>IF((COUNTA($M307:$M$361)=0),"---",IF(AND(($M307="r"),(COUNTA($M308:$M$361)&gt;0)),(MAX(AT$44:AT306)+1),IF(OR(($M306="p"),($M306="n"),($M306="g")),"---",AT306)))</f>
        <v>---</v>
      </c>
      <c t="str" s="142" r="AU307">
        <f>IF((COUNTA($M307:$M$361)=0),"---",IF(AND(($M307="p"),(COUNTA($M308:$M$361)&gt;0)),(MAX(AU$44:AU306)+1),IF(OR(($M306="r"),($M306="n"),($M306="g")),"---",AU306)))</f>
        <v>---</v>
      </c>
      <c t="str" s="142" r="AV307">
        <f>IF((COUNTA($M307:$M$361)=0),"---",IF(AND(($M307="n"),(COUNTA($M308:$M$361)&gt;0)),(MAX(AV$44:AV306)+1),IF(OR(($M306="r"),($M306="p"),($M306="g")),"---",AV306)))</f>
        <v>---</v>
      </c>
      <c t="str" s="142" r="AW307">
        <f>IF((COUNTA($M307:$M$361)=0),"---",IF(AND(($M307="g"),(COUNTA($M308:$M$361)&gt;0)),(MAX(AW$44:AW306)+1),IF(OR(($M306="r"),($M306="p"),($M306="n")),"---",AW306)))</f>
        <v>---</v>
      </c>
      <c s="676" r="AX307">
        <f>IF((M307="p"),(1+MAX(AX$44:AX306)),0)</f>
        <v>0</v>
      </c>
      <c s="51" r="AY307"/>
      <c s="761" r="AZ307"/>
      <c s="761" r="BA307"/>
      <c s="125" r="BB307"/>
      <c s="125" r="BC307"/>
      <c s="125" r="BD307"/>
      <c s="125" r="BE307"/>
      <c s="125" r="BF307"/>
      <c s="125" r="BG307"/>
      <c s="125" r="BH307"/>
      <c s="125" r="BI307"/>
    </row>
    <row r="308">
      <c s="125" r="A308"/>
      <c s="125" r="B308"/>
      <c s="125" r="C308"/>
      <c s="125" r="D308"/>
      <c s="125" r="E308"/>
      <c s="125" r="F308"/>
      <c s="125" r="G308"/>
      <c s="125" r="H308"/>
      <c s="125" r="I308"/>
      <c s="822" r="J308"/>
      <c s="429" r="K308"/>
      <c s="458" r="L308"/>
      <c s="104" r="M308"/>
      <c s="458" r="N308"/>
      <c t="str" s="589" r="O308">
        <f>IF((AH$28=2),IF(ISBLANK(N308),O307,N308),IF(ISNUMBER(N308),(MAX(O$44:O307)+N308),O307))</f>
        <v/>
      </c>
      <c s="228" r="P308"/>
      <c s="273" r="Q308">
        <f>IF(ISNUMBER(P308),((Q307+P308)-R307),Q307)</f>
        <v>100</v>
      </c>
      <c s="228" r="R308"/>
      <c s="610" r="S308"/>
      <c s="458" r="T308"/>
      <c s="458" r="U308"/>
      <c s="458" r="V308"/>
      <c s="458" r="W308"/>
      <c s="458" r="X308"/>
      <c s="458" r="Y308"/>
      <c t="str" s="620" r="Z308">
        <f>IF(ISNUMBER(S308),(Q308-S308),NA())</f>
        <v>#N/A:explicit</v>
      </c>
      <c t="str" s="620" r="AA308">
        <f>IF(ISNUMBER(T308),IF((AH$22=1),(Z308+T308),(Q308-T308)),NA())</f>
        <v>#N/A:explicit</v>
      </c>
      <c t="str" s="620" r="AB308">
        <f>IF(ISNUMBER(U308),(Q308-U308),NA())</f>
        <v>#N/A:explicit</v>
      </c>
      <c t="str" s="620" r="AC308">
        <f>IF(ISNUMBER(V308),(Q308-V308),NA())</f>
        <v>#N/A:explicit</v>
      </c>
      <c t="str" s="620" r="AD308">
        <f>IF(ISNUMBER(W308),(Q308-W308),NA())</f>
        <v>#N/A:explicit</v>
      </c>
      <c t="str" s="620" r="AE308">
        <f>IF(ISNUMBER(X308),(Q308-X308),NA())</f>
        <v>#N/A:explicit</v>
      </c>
      <c t="str" s="552" r="AF308">
        <f>IF(ISNUMBER(Z308),Z308,"---")</f>
        <v>---</v>
      </c>
      <c s="142" r="AG308"/>
      <c t="str" s="142" r="AH308">
        <f>IF(ISBLANK(L308),NA(),MIN(AF$44:AF$361))</f>
        <v>#N/A:explicit</v>
      </c>
      <c t="str" s="142" r="AI308">
        <f>IF(ISNA(AA308),Z308,AA308)</f>
        <v>#N/A:explicit</v>
      </c>
      <c s="142" r="AJ308">
        <f>MIN(AF$44:AF$361)</f>
        <v>0</v>
      </c>
      <c s="142" r="AK308"/>
      <c t="str" s="142" r="AL308">
        <f>IF(ISNUMBER(AB308),O308,"---")</f>
        <v>---</v>
      </c>
      <c t="str" s="80" r="AM308">
        <f>IF(ISNUMBER(AB308),AB308,"---")</f>
        <v>---</v>
      </c>
      <c s="80" r="AN308"/>
      <c t="str" s="142" r="AO308">
        <f>IF((M308="r"),Z308,NA())</f>
        <v>#N/A:explicit</v>
      </c>
      <c t="str" s="142" r="AP308">
        <f>IF((M308="p"),Z308,NA())</f>
        <v>#N/A:explicit</v>
      </c>
      <c t="str" s="142" r="AQ308">
        <f>IF((M308="n"),Z308,NA())</f>
        <v>#N/A:explicit</v>
      </c>
      <c t="str" s="142" r="AR308">
        <f>IF((M308="g"),Z308,NA())</f>
        <v>#N/A:explicit</v>
      </c>
      <c s="142" r="AS308"/>
      <c t="str" s="142" r="AT308">
        <f>IF((COUNTA($M308:$M$361)=0),"---",IF(AND(($M308="r"),(COUNTA($M309:$M$361)&gt;0)),(MAX(AT$44:AT307)+1),IF(OR(($M307="p"),($M307="n"),($M307="g")),"---",AT307)))</f>
        <v>---</v>
      </c>
      <c t="str" s="142" r="AU308">
        <f>IF((COUNTA($M308:$M$361)=0),"---",IF(AND(($M308="p"),(COUNTA($M309:$M$361)&gt;0)),(MAX(AU$44:AU307)+1),IF(OR(($M307="r"),($M307="n"),($M307="g")),"---",AU307)))</f>
        <v>---</v>
      </c>
      <c t="str" s="142" r="AV308">
        <f>IF((COUNTA($M308:$M$361)=0),"---",IF(AND(($M308="n"),(COUNTA($M309:$M$361)&gt;0)),(MAX(AV$44:AV307)+1),IF(OR(($M307="r"),($M307="p"),($M307="g")),"---",AV307)))</f>
        <v>---</v>
      </c>
      <c t="str" s="142" r="AW308">
        <f>IF((COUNTA($M308:$M$361)=0),"---",IF(AND(($M308="g"),(COUNTA($M309:$M$361)&gt;0)),(MAX(AW$44:AW307)+1),IF(OR(($M307="r"),($M307="p"),($M307="n")),"---",AW307)))</f>
        <v>---</v>
      </c>
      <c s="676" r="AX308">
        <f>IF((M308="p"),(1+MAX(AX$44:AX307)),0)</f>
        <v>0</v>
      </c>
      <c s="51" r="AY308"/>
      <c s="761" r="AZ308"/>
      <c s="761" r="BA308"/>
      <c s="125" r="BB308"/>
      <c s="125" r="BC308"/>
      <c s="125" r="BD308"/>
      <c s="125" r="BE308"/>
      <c s="125" r="BF308"/>
      <c s="125" r="BG308"/>
      <c s="125" r="BH308"/>
      <c s="125" r="BI308"/>
    </row>
    <row r="309">
      <c s="125" r="A309"/>
      <c s="125" r="B309"/>
      <c s="125" r="C309"/>
      <c s="125" r="D309"/>
      <c s="125" r="E309"/>
      <c s="125" r="F309"/>
      <c s="125" r="G309"/>
      <c s="125" r="H309"/>
      <c s="125" r="I309"/>
      <c s="822" r="J309"/>
      <c s="848" r="K309"/>
      <c s="550" r="L309"/>
      <c s="104" r="M309"/>
      <c s="550" r="N309"/>
      <c t="str" s="589" r="O309">
        <f>IF((AH$28=2),IF(ISBLANK(N309),O308,N309),IF(ISNUMBER(N309),(MAX(O$44:O308)+N309),O308))</f>
        <v/>
      </c>
      <c s="694" r="P309"/>
      <c s="273" r="Q309">
        <f>IF(ISNUMBER(P309),((Q308+P309)-R308),Q308)</f>
        <v>100</v>
      </c>
      <c s="694" r="R309"/>
      <c s="821" r="S309"/>
      <c s="550" r="T309"/>
      <c s="550" r="U309"/>
      <c s="550" r="V309"/>
      <c s="550" r="W309"/>
      <c s="550" r="X309"/>
      <c s="550" r="Y309"/>
      <c t="str" s="470" r="Z309">
        <f>IF(ISNUMBER(S309),(Q309-S309),NA())</f>
        <v>#N/A:explicit</v>
      </c>
      <c t="str" s="470" r="AA309">
        <f>IF(ISNUMBER(T309),IF((AH$22=1),(Z309+T309),(Q309-T309)),NA())</f>
        <v>#N/A:explicit</v>
      </c>
      <c t="str" s="470" r="AB309">
        <f>IF(ISNUMBER(U309),(Q309-U309),NA())</f>
        <v>#N/A:explicit</v>
      </c>
      <c t="str" s="470" r="AC309">
        <f>IF(ISNUMBER(V309),(Q309-V309),NA())</f>
        <v>#N/A:explicit</v>
      </c>
      <c t="str" s="470" r="AD309">
        <f>IF(ISNUMBER(W309),(Q309-W309),NA())</f>
        <v>#N/A:explicit</v>
      </c>
      <c t="str" s="470" r="AE309">
        <f>IF(ISNUMBER(X309),(Q309-X309),NA())</f>
        <v>#N/A:explicit</v>
      </c>
      <c t="str" s="552" r="AF309">
        <f>IF(ISNUMBER(Z309),Z309,"---")</f>
        <v>---</v>
      </c>
      <c s="142" r="AG309"/>
      <c t="str" s="142" r="AH309">
        <f>IF(ISBLANK(L309),NA(),MIN(AF$44:AF$361))</f>
        <v>#N/A:explicit</v>
      </c>
      <c t="str" s="142" r="AI309">
        <f>IF(ISNA(AA309),Z309,AA309)</f>
        <v>#N/A:explicit</v>
      </c>
      <c s="142" r="AJ309">
        <f>MIN(AF$44:AF$361)</f>
        <v>0</v>
      </c>
      <c s="142" r="AK309"/>
      <c t="str" s="142" r="AL309">
        <f>IF(ISNUMBER(AB309),O309,"---")</f>
        <v>---</v>
      </c>
      <c t="str" s="80" r="AM309">
        <f>IF(ISNUMBER(AB309),AB309,"---")</f>
        <v>---</v>
      </c>
      <c s="80" r="AN309"/>
      <c t="str" s="142" r="AO309">
        <f>IF((M309="r"),Z309,NA())</f>
        <v>#N/A:explicit</v>
      </c>
      <c t="str" s="142" r="AP309">
        <f>IF((M309="p"),Z309,NA())</f>
        <v>#N/A:explicit</v>
      </c>
      <c t="str" s="142" r="AQ309">
        <f>IF((M309="n"),Z309,NA())</f>
        <v>#N/A:explicit</v>
      </c>
      <c t="str" s="142" r="AR309">
        <f>IF((M309="g"),Z309,NA())</f>
        <v>#N/A:explicit</v>
      </c>
      <c s="142" r="AS309"/>
      <c t="str" s="142" r="AT309">
        <f>IF((COUNTA($M309:$M$361)=0),"---",IF(AND(($M309="r"),(COUNTA($M310:$M$361)&gt;0)),(MAX(AT$44:AT308)+1),IF(OR(($M308="p"),($M308="n"),($M308="g")),"---",AT308)))</f>
        <v>---</v>
      </c>
      <c t="str" s="142" r="AU309">
        <f>IF((COUNTA($M309:$M$361)=0),"---",IF(AND(($M309="p"),(COUNTA($M310:$M$361)&gt;0)),(MAX(AU$44:AU308)+1),IF(OR(($M308="r"),($M308="n"),($M308="g")),"---",AU308)))</f>
        <v>---</v>
      </c>
      <c t="str" s="142" r="AV309">
        <f>IF((COUNTA($M309:$M$361)=0),"---",IF(AND(($M309="n"),(COUNTA($M310:$M$361)&gt;0)),(MAX(AV$44:AV308)+1),IF(OR(($M308="r"),($M308="p"),($M308="g")),"---",AV308)))</f>
        <v>---</v>
      </c>
      <c t="str" s="142" r="AW309">
        <f>IF((COUNTA($M309:$M$361)=0),"---",IF(AND(($M309="g"),(COUNTA($M310:$M$361)&gt;0)),(MAX(AW$44:AW308)+1),IF(OR(($M308="r"),($M308="p"),($M308="n")),"---",AW308)))</f>
        <v>---</v>
      </c>
      <c s="676" r="AX309">
        <f>IF((M309="p"),(1+MAX(AX$44:AX308)),0)</f>
        <v>0</v>
      </c>
      <c s="51" r="AY309"/>
      <c s="761" r="AZ309"/>
      <c s="761" r="BA309"/>
      <c s="125" r="BB309"/>
      <c s="125" r="BC309"/>
      <c s="125" r="BD309"/>
      <c s="125" r="BE309"/>
      <c s="125" r="BF309"/>
      <c s="125" r="BG309"/>
      <c s="125" r="BH309"/>
      <c s="125" r="BI309"/>
    </row>
    <row r="310">
      <c s="125" r="A310"/>
      <c s="125" r="B310"/>
      <c s="125" r="C310"/>
      <c s="125" r="D310"/>
      <c s="125" r="E310"/>
      <c s="125" r="F310"/>
      <c s="125" r="G310"/>
      <c s="125" r="H310"/>
      <c s="125" r="I310"/>
      <c s="822" r="J310"/>
      <c s="848" r="K310"/>
      <c s="550" r="L310"/>
      <c s="104" r="M310"/>
      <c s="550" r="N310"/>
      <c t="str" s="589" r="O310">
        <f>IF((AH$28=2),IF(ISBLANK(N310),O309,N310),IF(ISNUMBER(N310),(MAX(O$44:O309)+N310),O309))</f>
        <v/>
      </c>
      <c s="694" r="P310"/>
      <c s="273" r="Q310">
        <f>IF(ISNUMBER(P310),((Q309+P310)-R309),Q309)</f>
        <v>100</v>
      </c>
      <c s="694" r="R310"/>
      <c s="821" r="S310"/>
      <c s="550" r="T310"/>
      <c s="550" r="U310"/>
      <c s="550" r="V310"/>
      <c s="550" r="W310"/>
      <c s="550" r="X310"/>
      <c s="550" r="Y310"/>
      <c t="str" s="470" r="Z310">
        <f>IF(ISNUMBER(S310),(Q310-S310),NA())</f>
        <v>#N/A:explicit</v>
      </c>
      <c t="str" s="470" r="AA310">
        <f>IF(ISNUMBER(T310),IF((AH$22=1),(Z310+T310),(Q310-T310)),NA())</f>
        <v>#N/A:explicit</v>
      </c>
      <c t="str" s="470" r="AB310">
        <f>IF(ISNUMBER(U310),(Q310-U310),NA())</f>
        <v>#N/A:explicit</v>
      </c>
      <c t="str" s="470" r="AC310">
        <f>IF(ISNUMBER(V310),(Q310-V310),NA())</f>
        <v>#N/A:explicit</v>
      </c>
      <c t="str" s="470" r="AD310">
        <f>IF(ISNUMBER(W310),(Q310-W310),NA())</f>
        <v>#N/A:explicit</v>
      </c>
      <c t="str" s="470" r="AE310">
        <f>IF(ISNUMBER(X310),(Q310-X310),NA())</f>
        <v>#N/A:explicit</v>
      </c>
      <c t="str" s="552" r="AF310">
        <f>IF(ISNUMBER(Z310),Z310,"---")</f>
        <v>---</v>
      </c>
      <c s="142" r="AG310"/>
      <c t="str" s="142" r="AH310">
        <f>IF(ISBLANK(L310),NA(),MIN(AF$44:AF$361))</f>
        <v>#N/A:explicit</v>
      </c>
      <c t="str" s="142" r="AI310">
        <f>IF(ISNA(AA310),Z310,AA310)</f>
        <v>#N/A:explicit</v>
      </c>
      <c s="142" r="AJ310">
        <f>MIN(AF$44:AF$361)</f>
        <v>0</v>
      </c>
      <c s="142" r="AK310"/>
      <c t="str" s="142" r="AL310">
        <f>IF(ISNUMBER(AB310),O310,"---")</f>
        <v>---</v>
      </c>
      <c t="str" s="80" r="AM310">
        <f>IF(ISNUMBER(AB310),AB310,"---")</f>
        <v>---</v>
      </c>
      <c s="80" r="AN310"/>
      <c t="str" s="142" r="AO310">
        <f>IF((M310="r"),Z310,NA())</f>
        <v>#N/A:explicit</v>
      </c>
      <c t="str" s="142" r="AP310">
        <f>IF((M310="p"),Z310,NA())</f>
        <v>#N/A:explicit</v>
      </c>
      <c t="str" s="142" r="AQ310">
        <f>IF((M310="n"),Z310,NA())</f>
        <v>#N/A:explicit</v>
      </c>
      <c t="str" s="142" r="AR310">
        <f>IF((M310="g"),Z310,NA())</f>
        <v>#N/A:explicit</v>
      </c>
      <c s="142" r="AS310"/>
      <c t="str" s="142" r="AT310">
        <f>IF((COUNTA($M310:$M$361)=0),"---",IF(AND(($M310="r"),(COUNTA($M311:$M$361)&gt;0)),(MAX(AT$44:AT309)+1),IF(OR(($M309="p"),($M309="n"),($M309="g")),"---",AT309)))</f>
        <v>---</v>
      </c>
      <c t="str" s="142" r="AU310">
        <f>IF((COUNTA($M310:$M$361)=0),"---",IF(AND(($M310="p"),(COUNTA($M311:$M$361)&gt;0)),(MAX(AU$44:AU309)+1),IF(OR(($M309="r"),($M309="n"),($M309="g")),"---",AU309)))</f>
        <v>---</v>
      </c>
      <c t="str" s="142" r="AV310">
        <f>IF((COUNTA($M310:$M$361)=0),"---",IF(AND(($M310="n"),(COUNTA($M311:$M$361)&gt;0)),(MAX(AV$44:AV309)+1),IF(OR(($M309="r"),($M309="p"),($M309="g")),"---",AV309)))</f>
        <v>---</v>
      </c>
      <c t="str" s="142" r="AW310">
        <f>IF((COUNTA($M310:$M$361)=0),"---",IF(AND(($M310="g"),(COUNTA($M311:$M$361)&gt;0)),(MAX(AW$44:AW309)+1),IF(OR(($M309="r"),($M309="p"),($M309="n")),"---",AW309)))</f>
        <v>---</v>
      </c>
      <c s="676" r="AX310">
        <f>IF((M310="p"),(1+MAX(AX$44:AX309)),0)</f>
        <v>0</v>
      </c>
      <c s="51" r="AY310"/>
      <c s="761" r="AZ310"/>
      <c s="761" r="BA310"/>
      <c s="125" r="BB310"/>
      <c s="125" r="BC310"/>
      <c s="125" r="BD310"/>
      <c s="125" r="BE310"/>
      <c s="125" r="BF310"/>
      <c s="125" r="BG310"/>
      <c s="125" r="BH310"/>
      <c s="125" r="BI310"/>
    </row>
    <row r="311">
      <c s="125" r="A311"/>
      <c s="125" r="B311"/>
      <c s="125" r="C311"/>
      <c s="125" r="D311"/>
      <c s="125" r="E311"/>
      <c s="125" r="F311"/>
      <c s="125" r="G311"/>
      <c s="125" r="H311"/>
      <c s="125" r="I311"/>
      <c s="822" r="J311"/>
      <c s="848" r="K311"/>
      <c s="550" r="L311"/>
      <c s="104" r="M311"/>
      <c s="550" r="N311"/>
      <c t="str" s="589" r="O311">
        <f>IF((AH$28=2),IF(ISBLANK(N311),O310,N311),IF(ISNUMBER(N311),(MAX(O$44:O310)+N311),O310))</f>
        <v/>
      </c>
      <c s="694" r="P311"/>
      <c s="273" r="Q311">
        <f>IF(ISNUMBER(P311),((Q310+P311)-R310),Q310)</f>
        <v>100</v>
      </c>
      <c s="694" r="R311"/>
      <c s="821" r="S311"/>
      <c s="550" r="T311"/>
      <c s="550" r="U311"/>
      <c s="550" r="V311"/>
      <c s="550" r="W311"/>
      <c s="550" r="X311"/>
      <c s="550" r="Y311"/>
      <c t="str" s="470" r="Z311">
        <f>IF(ISNUMBER(S311),(Q311-S311),NA())</f>
        <v>#N/A:explicit</v>
      </c>
      <c t="str" s="470" r="AA311">
        <f>IF(ISNUMBER(T311),IF((AH$22=1),(Z311+T311),(Q311-T311)),NA())</f>
        <v>#N/A:explicit</v>
      </c>
      <c t="str" s="470" r="AB311">
        <f>IF(ISNUMBER(U311),(Q311-U311),NA())</f>
        <v>#N/A:explicit</v>
      </c>
      <c t="str" s="470" r="AC311">
        <f>IF(ISNUMBER(V311),(Q311-V311),NA())</f>
        <v>#N/A:explicit</v>
      </c>
      <c t="str" s="470" r="AD311">
        <f>IF(ISNUMBER(W311),(Q311-W311),NA())</f>
        <v>#N/A:explicit</v>
      </c>
      <c t="str" s="470" r="AE311">
        <f>IF(ISNUMBER(X311),(Q311-X311),NA())</f>
        <v>#N/A:explicit</v>
      </c>
      <c t="str" s="552" r="AF311">
        <f>IF(ISNUMBER(Z311),Z311,"---")</f>
        <v>---</v>
      </c>
      <c s="142" r="AG311"/>
      <c t="str" s="142" r="AH311">
        <f>IF(ISBLANK(L311),NA(),MIN(AF$44:AF$361))</f>
        <v>#N/A:explicit</v>
      </c>
      <c t="str" s="142" r="AI311">
        <f>IF(ISNA(AA311),Z311,AA311)</f>
        <v>#N/A:explicit</v>
      </c>
      <c s="142" r="AJ311">
        <f>MIN(AF$44:AF$361)</f>
        <v>0</v>
      </c>
      <c s="142" r="AK311"/>
      <c t="str" s="142" r="AL311">
        <f>IF(ISNUMBER(AB311),O311,"---")</f>
        <v>---</v>
      </c>
      <c t="str" s="80" r="AM311">
        <f>IF(ISNUMBER(AB311),AB311,"---")</f>
        <v>---</v>
      </c>
      <c s="80" r="AN311"/>
      <c t="str" s="142" r="AO311">
        <f>IF((M311="r"),Z311,NA())</f>
        <v>#N/A:explicit</v>
      </c>
      <c t="str" s="142" r="AP311">
        <f>IF((M311="p"),Z311,NA())</f>
        <v>#N/A:explicit</v>
      </c>
      <c t="str" s="142" r="AQ311">
        <f>IF((M311="n"),Z311,NA())</f>
        <v>#N/A:explicit</v>
      </c>
      <c t="str" s="142" r="AR311">
        <f>IF((M311="g"),Z311,NA())</f>
        <v>#N/A:explicit</v>
      </c>
      <c s="142" r="AS311"/>
      <c t="str" s="142" r="AT311">
        <f>IF((COUNTA($M311:$M$361)=0),"---",IF(AND(($M311="r"),(COUNTA($M312:$M$361)&gt;0)),(MAX(AT$44:AT310)+1),IF(OR(($M310="p"),($M310="n"),($M310="g")),"---",AT310)))</f>
        <v>---</v>
      </c>
      <c t="str" s="142" r="AU311">
        <f>IF((COUNTA($M311:$M$361)=0),"---",IF(AND(($M311="p"),(COUNTA($M312:$M$361)&gt;0)),(MAX(AU$44:AU310)+1),IF(OR(($M310="r"),($M310="n"),($M310="g")),"---",AU310)))</f>
        <v>---</v>
      </c>
      <c t="str" s="142" r="AV311">
        <f>IF((COUNTA($M311:$M$361)=0),"---",IF(AND(($M311="n"),(COUNTA($M312:$M$361)&gt;0)),(MAX(AV$44:AV310)+1),IF(OR(($M310="r"),($M310="p"),($M310="g")),"---",AV310)))</f>
        <v>---</v>
      </c>
      <c t="str" s="142" r="AW311">
        <f>IF((COUNTA($M311:$M$361)=0),"---",IF(AND(($M311="g"),(COUNTA($M312:$M$361)&gt;0)),(MAX(AW$44:AW310)+1),IF(OR(($M310="r"),($M310="p"),($M310="n")),"---",AW310)))</f>
        <v>---</v>
      </c>
      <c s="676" r="AX311">
        <f>IF((M311="p"),(1+MAX(AX$44:AX310)),0)</f>
        <v>0</v>
      </c>
      <c s="51" r="AY311"/>
      <c s="761" r="AZ311"/>
      <c s="761" r="BA311"/>
      <c s="125" r="BB311"/>
      <c s="125" r="BC311"/>
      <c s="125" r="BD311"/>
      <c s="125" r="BE311"/>
      <c s="125" r="BF311"/>
      <c s="125" r="BG311"/>
      <c s="125" r="BH311"/>
      <c s="125" r="BI311"/>
    </row>
    <row r="312">
      <c s="125" r="A312"/>
      <c s="125" r="B312"/>
      <c s="125" r="C312"/>
      <c s="125" r="D312"/>
      <c s="125" r="E312"/>
      <c s="125" r="F312"/>
      <c s="125" r="G312"/>
      <c s="125" r="H312"/>
      <c s="125" r="I312"/>
      <c s="822" r="J312"/>
      <c s="429" r="K312"/>
      <c s="458" r="L312"/>
      <c s="104" r="M312"/>
      <c s="458" r="N312"/>
      <c t="str" s="589" r="O312">
        <f>IF((AH$28=2),IF(ISBLANK(N312),O311,N312),IF(ISNUMBER(N312),(MAX(O$44:O311)+N312),O311))</f>
        <v/>
      </c>
      <c s="228" r="P312"/>
      <c s="273" r="Q312">
        <f>IF(ISNUMBER(P312),((Q311+P312)-R311),Q311)</f>
        <v>100</v>
      </c>
      <c s="228" r="R312"/>
      <c s="610" r="S312"/>
      <c s="458" r="T312"/>
      <c s="458" r="U312"/>
      <c s="458" r="V312"/>
      <c s="458" r="W312"/>
      <c s="458" r="X312"/>
      <c s="458" r="Y312"/>
      <c t="str" s="620" r="Z312">
        <f>IF(ISNUMBER(S312),(Q312-S312),NA())</f>
        <v>#N/A:explicit</v>
      </c>
      <c t="str" s="620" r="AA312">
        <f>IF(ISNUMBER(T312),IF((AH$22=1),(Z312+T312),(Q312-T312)),NA())</f>
        <v>#N/A:explicit</v>
      </c>
      <c t="str" s="620" r="AB312">
        <f>IF(ISNUMBER(U312),(Q312-U312),NA())</f>
        <v>#N/A:explicit</v>
      </c>
      <c t="str" s="620" r="AC312">
        <f>IF(ISNUMBER(V312),(Q312-V312),NA())</f>
        <v>#N/A:explicit</v>
      </c>
      <c t="str" s="620" r="AD312">
        <f>IF(ISNUMBER(W312),(Q312-W312),NA())</f>
        <v>#N/A:explicit</v>
      </c>
      <c t="str" s="620" r="AE312">
        <f>IF(ISNUMBER(X312),(Q312-X312),NA())</f>
        <v>#N/A:explicit</v>
      </c>
      <c t="str" s="552" r="AF312">
        <f>IF(ISNUMBER(Z312),Z312,"---")</f>
        <v>---</v>
      </c>
      <c s="142" r="AG312"/>
      <c t="str" s="142" r="AH312">
        <f>IF(ISBLANK(L312),NA(),MIN(AF$44:AF$361))</f>
        <v>#N/A:explicit</v>
      </c>
      <c t="str" s="142" r="AI312">
        <f>IF(ISNA(AA312),Z312,AA312)</f>
        <v>#N/A:explicit</v>
      </c>
      <c s="142" r="AJ312">
        <f>MIN(AF$44:AF$361)</f>
        <v>0</v>
      </c>
      <c s="142" r="AK312"/>
      <c t="str" s="142" r="AL312">
        <f>IF(ISNUMBER(AB312),O312,"---")</f>
        <v>---</v>
      </c>
      <c t="str" s="80" r="AM312">
        <f>IF(ISNUMBER(AB312),AB312,"---")</f>
        <v>---</v>
      </c>
      <c s="80" r="AN312"/>
      <c t="str" s="142" r="AO312">
        <f>IF((M312="r"),Z312,NA())</f>
        <v>#N/A:explicit</v>
      </c>
      <c t="str" s="142" r="AP312">
        <f>IF((M312="p"),Z312,NA())</f>
        <v>#N/A:explicit</v>
      </c>
      <c t="str" s="142" r="AQ312">
        <f>IF((M312="n"),Z312,NA())</f>
        <v>#N/A:explicit</v>
      </c>
      <c t="str" s="142" r="AR312">
        <f>IF((M312="g"),Z312,NA())</f>
        <v>#N/A:explicit</v>
      </c>
      <c s="142" r="AS312"/>
      <c t="str" s="142" r="AT312">
        <f>IF((COUNTA($M312:$M$361)=0),"---",IF(AND(($M312="r"),(COUNTA($M313:$M$361)&gt;0)),(MAX(AT$44:AT311)+1),IF(OR(($M311="p"),($M311="n"),($M311="g")),"---",AT311)))</f>
        <v>---</v>
      </c>
      <c t="str" s="142" r="AU312">
        <f>IF((COUNTA($M312:$M$361)=0),"---",IF(AND(($M312="p"),(COUNTA($M313:$M$361)&gt;0)),(MAX(AU$44:AU311)+1),IF(OR(($M311="r"),($M311="n"),($M311="g")),"---",AU311)))</f>
        <v>---</v>
      </c>
      <c t="str" s="142" r="AV312">
        <f>IF((COUNTA($M312:$M$361)=0),"---",IF(AND(($M312="n"),(COUNTA($M313:$M$361)&gt;0)),(MAX(AV$44:AV311)+1),IF(OR(($M311="r"),($M311="p"),($M311="g")),"---",AV311)))</f>
        <v>---</v>
      </c>
      <c t="str" s="142" r="AW312">
        <f>IF((COUNTA($M312:$M$361)=0),"---",IF(AND(($M312="g"),(COUNTA($M313:$M$361)&gt;0)),(MAX(AW$44:AW311)+1),IF(OR(($M311="r"),($M311="p"),($M311="n")),"---",AW311)))</f>
        <v>---</v>
      </c>
      <c s="676" r="AX312">
        <f>IF((M312="p"),(1+MAX(AX$44:AX311)),0)</f>
        <v>0</v>
      </c>
      <c s="51" r="AY312"/>
      <c s="761" r="AZ312"/>
      <c s="761" r="BA312"/>
      <c s="125" r="BB312"/>
      <c s="125" r="BC312"/>
      <c s="125" r="BD312"/>
      <c s="125" r="BE312"/>
      <c s="125" r="BF312"/>
      <c s="125" r="BG312"/>
      <c s="125" r="BH312"/>
      <c s="125" r="BI312"/>
    </row>
    <row r="313">
      <c s="125" r="A313"/>
      <c s="125" r="B313"/>
      <c s="125" r="C313"/>
      <c s="125" r="D313"/>
      <c s="125" r="E313"/>
      <c s="125" r="F313"/>
      <c s="125" r="G313"/>
      <c s="125" r="H313"/>
      <c s="125" r="I313"/>
      <c s="822" r="J313"/>
      <c s="429" r="K313"/>
      <c s="458" r="L313"/>
      <c s="104" r="M313"/>
      <c s="458" r="N313"/>
      <c t="str" s="589" r="O313">
        <f>IF((AH$28=2),IF(ISBLANK(N313),O312,N313),IF(ISNUMBER(N313),(MAX(O$44:O312)+N313),O312))</f>
        <v/>
      </c>
      <c s="228" r="P313"/>
      <c s="273" r="Q313">
        <f>IF(ISNUMBER(P313),((Q312+P313)-R312),Q312)</f>
        <v>100</v>
      </c>
      <c s="228" r="R313"/>
      <c s="610" r="S313"/>
      <c s="458" r="T313"/>
      <c s="458" r="U313"/>
      <c s="458" r="V313"/>
      <c s="458" r="W313"/>
      <c s="458" r="X313"/>
      <c s="458" r="Y313"/>
      <c t="str" s="620" r="Z313">
        <f>IF(ISNUMBER(S313),(Q313-S313),NA())</f>
        <v>#N/A:explicit</v>
      </c>
      <c t="str" s="620" r="AA313">
        <f>IF(ISNUMBER(T313),IF((AH$22=1),(Z313+T313),(Q313-T313)),NA())</f>
        <v>#N/A:explicit</v>
      </c>
      <c t="str" s="620" r="AB313">
        <f>IF(ISNUMBER(U313),(Q313-U313),NA())</f>
        <v>#N/A:explicit</v>
      </c>
      <c t="str" s="620" r="AC313">
        <f>IF(ISNUMBER(V313),(Q313-V313),NA())</f>
        <v>#N/A:explicit</v>
      </c>
      <c t="str" s="620" r="AD313">
        <f>IF(ISNUMBER(W313),(Q313-W313),NA())</f>
        <v>#N/A:explicit</v>
      </c>
      <c t="str" s="620" r="AE313">
        <f>IF(ISNUMBER(X313),(Q313-X313),NA())</f>
        <v>#N/A:explicit</v>
      </c>
      <c t="str" s="552" r="AF313">
        <f>IF(ISNUMBER(Z313),Z313,"---")</f>
        <v>---</v>
      </c>
      <c s="142" r="AG313"/>
      <c t="str" s="142" r="AH313">
        <f>IF(ISBLANK(L313),NA(),MIN(AF$44:AF$361))</f>
        <v>#N/A:explicit</v>
      </c>
      <c t="str" s="142" r="AI313">
        <f>IF(ISNA(AA313),Z313,AA313)</f>
        <v>#N/A:explicit</v>
      </c>
      <c s="142" r="AJ313">
        <f>MIN(AF$44:AF$361)</f>
        <v>0</v>
      </c>
      <c s="142" r="AK313"/>
      <c t="str" s="142" r="AL313">
        <f>IF(ISNUMBER(AB313),O313,"---")</f>
        <v>---</v>
      </c>
      <c t="str" s="80" r="AM313">
        <f>IF(ISNUMBER(AB313),AB313,"---")</f>
        <v>---</v>
      </c>
      <c s="80" r="AN313"/>
      <c t="str" s="142" r="AO313">
        <f>IF((M313="r"),Z313,NA())</f>
        <v>#N/A:explicit</v>
      </c>
      <c t="str" s="142" r="AP313">
        <f>IF((M313="p"),Z313,NA())</f>
        <v>#N/A:explicit</v>
      </c>
      <c t="str" s="142" r="AQ313">
        <f>IF((M313="n"),Z313,NA())</f>
        <v>#N/A:explicit</v>
      </c>
      <c t="str" s="142" r="AR313">
        <f>IF((M313="g"),Z313,NA())</f>
        <v>#N/A:explicit</v>
      </c>
      <c s="142" r="AS313"/>
      <c t="str" s="142" r="AT313">
        <f>IF((COUNTA($M313:$M$361)=0),"---",IF(AND(($M313="r"),(COUNTA($M314:$M$361)&gt;0)),(MAX(AT$44:AT312)+1),IF(OR(($M312="p"),($M312="n"),($M312="g")),"---",AT312)))</f>
        <v>---</v>
      </c>
      <c t="str" s="142" r="AU313">
        <f>IF((COUNTA($M313:$M$361)=0),"---",IF(AND(($M313="p"),(COUNTA($M314:$M$361)&gt;0)),(MAX(AU$44:AU312)+1),IF(OR(($M312="r"),($M312="n"),($M312="g")),"---",AU312)))</f>
        <v>---</v>
      </c>
      <c t="str" s="142" r="AV313">
        <f>IF((COUNTA($M313:$M$361)=0),"---",IF(AND(($M313="n"),(COUNTA($M314:$M$361)&gt;0)),(MAX(AV$44:AV312)+1),IF(OR(($M312="r"),($M312="p"),($M312="g")),"---",AV312)))</f>
        <v>---</v>
      </c>
      <c t="str" s="142" r="AW313">
        <f>IF((COUNTA($M313:$M$361)=0),"---",IF(AND(($M313="g"),(COUNTA($M314:$M$361)&gt;0)),(MAX(AW$44:AW312)+1),IF(OR(($M312="r"),($M312="p"),($M312="n")),"---",AW312)))</f>
        <v>---</v>
      </c>
      <c s="676" r="AX313">
        <f>IF((M313="p"),(1+MAX(AX$44:AX312)),0)</f>
        <v>0</v>
      </c>
      <c s="51" r="AY313"/>
      <c s="761" r="AZ313"/>
      <c s="761" r="BA313"/>
      <c s="125" r="BB313"/>
      <c s="125" r="BC313"/>
      <c s="125" r="BD313"/>
      <c s="125" r="BE313"/>
      <c s="125" r="BF313"/>
      <c s="125" r="BG313"/>
      <c s="125" r="BH313"/>
      <c s="125" r="BI313"/>
    </row>
    <row r="314">
      <c s="125" r="A314"/>
      <c s="125" r="B314"/>
      <c s="125" r="C314"/>
      <c s="125" r="D314"/>
      <c s="125" r="E314"/>
      <c s="125" r="F314"/>
      <c s="125" r="G314"/>
      <c s="125" r="H314"/>
      <c s="125" r="I314"/>
      <c s="822" r="J314"/>
      <c s="429" r="K314"/>
      <c s="458" r="L314"/>
      <c s="104" r="M314"/>
      <c s="458" r="N314"/>
      <c t="str" s="589" r="O314">
        <f>IF((AH$28=2),IF(ISBLANK(N314),O313,N314),IF(ISNUMBER(N314),(MAX(O$44:O313)+N314),O313))</f>
        <v/>
      </c>
      <c s="228" r="P314"/>
      <c s="273" r="Q314">
        <f>IF(ISNUMBER(P314),((Q313+P314)-R313),Q313)</f>
        <v>100</v>
      </c>
      <c s="228" r="R314"/>
      <c s="610" r="S314"/>
      <c s="458" r="T314"/>
      <c s="458" r="U314"/>
      <c s="458" r="V314"/>
      <c s="458" r="W314"/>
      <c s="458" r="X314"/>
      <c s="458" r="Y314"/>
      <c t="str" s="620" r="Z314">
        <f>IF(ISNUMBER(S314),(Q314-S314),NA())</f>
        <v>#N/A:explicit</v>
      </c>
      <c t="str" s="620" r="AA314">
        <f>IF(ISNUMBER(T314),IF((AH$22=1),(Z314+T314),(Q314-T314)),NA())</f>
        <v>#N/A:explicit</v>
      </c>
      <c t="str" s="620" r="AB314">
        <f>IF(ISNUMBER(U314),(Q314-U314),NA())</f>
        <v>#N/A:explicit</v>
      </c>
      <c t="str" s="620" r="AC314">
        <f>IF(ISNUMBER(V314),(Q314-V314),NA())</f>
        <v>#N/A:explicit</v>
      </c>
      <c t="str" s="620" r="AD314">
        <f>IF(ISNUMBER(W314),(Q314-W314),NA())</f>
        <v>#N/A:explicit</v>
      </c>
      <c t="str" s="620" r="AE314">
        <f>IF(ISNUMBER(X314),(Q314-X314),NA())</f>
        <v>#N/A:explicit</v>
      </c>
      <c t="str" s="552" r="AF314">
        <f>IF(ISNUMBER(Z314),Z314,"---")</f>
        <v>---</v>
      </c>
      <c s="142" r="AG314"/>
      <c t="str" s="142" r="AH314">
        <f>IF(ISBLANK(L314),NA(),MIN(AF$44:AF$361))</f>
        <v>#N/A:explicit</v>
      </c>
      <c t="str" s="142" r="AI314">
        <f>IF(ISNA(AA314),Z314,AA314)</f>
        <v>#N/A:explicit</v>
      </c>
      <c s="142" r="AJ314">
        <f>MIN(AF$44:AF$361)</f>
        <v>0</v>
      </c>
      <c s="142" r="AK314"/>
      <c t="str" s="142" r="AL314">
        <f>IF(ISNUMBER(AB314),O314,"---")</f>
        <v>---</v>
      </c>
      <c t="str" s="80" r="AM314">
        <f>IF(ISNUMBER(AB314),AB314,"---")</f>
        <v>---</v>
      </c>
      <c s="80" r="AN314"/>
      <c t="str" s="142" r="AO314">
        <f>IF((M314="r"),Z314,NA())</f>
        <v>#N/A:explicit</v>
      </c>
      <c t="str" s="142" r="AP314">
        <f>IF((M314="p"),Z314,NA())</f>
        <v>#N/A:explicit</v>
      </c>
      <c t="str" s="142" r="AQ314">
        <f>IF((M314="n"),Z314,NA())</f>
        <v>#N/A:explicit</v>
      </c>
      <c t="str" s="142" r="AR314">
        <f>IF((M314="g"),Z314,NA())</f>
        <v>#N/A:explicit</v>
      </c>
      <c s="142" r="AS314"/>
      <c t="str" s="142" r="AT314">
        <f>IF((COUNTA($M314:$M$361)=0),"---",IF(AND(($M314="r"),(COUNTA($M315:$M$361)&gt;0)),(MAX(AT$44:AT313)+1),IF(OR(($M313="p"),($M313="n"),($M313="g")),"---",AT313)))</f>
        <v>---</v>
      </c>
      <c t="str" s="142" r="AU314">
        <f>IF((COUNTA($M314:$M$361)=0),"---",IF(AND(($M314="p"),(COUNTA($M315:$M$361)&gt;0)),(MAX(AU$44:AU313)+1),IF(OR(($M313="r"),($M313="n"),($M313="g")),"---",AU313)))</f>
        <v>---</v>
      </c>
      <c t="str" s="142" r="AV314">
        <f>IF((COUNTA($M314:$M$361)=0),"---",IF(AND(($M314="n"),(COUNTA($M315:$M$361)&gt;0)),(MAX(AV$44:AV313)+1),IF(OR(($M313="r"),($M313="p"),($M313="g")),"---",AV313)))</f>
        <v>---</v>
      </c>
      <c t="str" s="142" r="AW314">
        <f>IF((COUNTA($M314:$M$361)=0),"---",IF(AND(($M314="g"),(COUNTA($M315:$M$361)&gt;0)),(MAX(AW$44:AW313)+1),IF(OR(($M313="r"),($M313="p"),($M313="n")),"---",AW313)))</f>
        <v>---</v>
      </c>
      <c s="676" r="AX314">
        <f>IF((M314="p"),(1+MAX(AX$44:AX313)),0)</f>
        <v>0</v>
      </c>
      <c s="51" r="AY314"/>
      <c s="761" r="AZ314"/>
      <c s="761" r="BA314"/>
      <c s="125" r="BB314"/>
      <c s="125" r="BC314"/>
      <c s="125" r="BD314"/>
      <c s="125" r="BE314"/>
      <c s="125" r="BF314"/>
      <c s="125" r="BG314"/>
      <c s="125" r="BH314"/>
      <c s="125" r="BI314"/>
    </row>
    <row r="315">
      <c s="125" r="A315"/>
      <c s="125" r="B315"/>
      <c s="125" r="C315"/>
      <c s="125" r="D315"/>
      <c s="125" r="E315"/>
      <c s="125" r="F315"/>
      <c s="125" r="G315"/>
      <c s="125" r="H315"/>
      <c s="125" r="I315"/>
      <c s="822" r="J315"/>
      <c s="848" r="K315"/>
      <c s="550" r="L315"/>
      <c s="104" r="M315"/>
      <c s="550" r="N315"/>
      <c t="str" s="589" r="O315">
        <f>IF((AH$28=2),IF(ISBLANK(N315),O314,N315),IF(ISNUMBER(N315),(MAX(O$44:O314)+N315),O314))</f>
        <v/>
      </c>
      <c s="694" r="P315"/>
      <c s="273" r="Q315">
        <f>IF(ISNUMBER(P315),((Q314+P315)-R314),Q314)</f>
        <v>100</v>
      </c>
      <c s="694" r="R315"/>
      <c s="821" r="S315"/>
      <c s="550" r="T315"/>
      <c s="550" r="U315"/>
      <c s="550" r="V315"/>
      <c s="550" r="W315"/>
      <c s="550" r="X315"/>
      <c s="550" r="Y315"/>
      <c t="str" s="470" r="Z315">
        <f>IF(ISNUMBER(S315),(Q315-S315),NA())</f>
        <v>#N/A:explicit</v>
      </c>
      <c t="str" s="470" r="AA315">
        <f>IF(ISNUMBER(T315),IF((AH$22=1),(Z315+T315),(Q315-T315)),NA())</f>
        <v>#N/A:explicit</v>
      </c>
      <c t="str" s="470" r="AB315">
        <f>IF(ISNUMBER(U315),(Q315-U315),NA())</f>
        <v>#N/A:explicit</v>
      </c>
      <c t="str" s="470" r="AC315">
        <f>IF(ISNUMBER(V315),(Q315-V315),NA())</f>
        <v>#N/A:explicit</v>
      </c>
      <c t="str" s="470" r="AD315">
        <f>IF(ISNUMBER(W315),(Q315-W315),NA())</f>
        <v>#N/A:explicit</v>
      </c>
      <c t="str" s="470" r="AE315">
        <f>IF(ISNUMBER(X315),(Q315-X315),NA())</f>
        <v>#N/A:explicit</v>
      </c>
      <c t="str" s="552" r="AF315">
        <f>IF(ISNUMBER(Z315),Z315,"---")</f>
        <v>---</v>
      </c>
      <c s="142" r="AG315"/>
      <c t="str" s="142" r="AH315">
        <f>IF(ISBLANK(L315),NA(),MIN(AF$44:AF$361))</f>
        <v>#N/A:explicit</v>
      </c>
      <c t="str" s="142" r="AI315">
        <f>IF(ISNA(AA315),Z315,AA315)</f>
        <v>#N/A:explicit</v>
      </c>
      <c s="142" r="AJ315">
        <f>MIN(AF$44:AF$361)</f>
        <v>0</v>
      </c>
      <c s="142" r="AK315"/>
      <c t="str" s="142" r="AL315">
        <f>IF(ISNUMBER(AB315),O315,"---")</f>
        <v>---</v>
      </c>
      <c t="str" s="80" r="AM315">
        <f>IF(ISNUMBER(AB315),AB315,"---")</f>
        <v>---</v>
      </c>
      <c s="80" r="AN315"/>
      <c t="str" s="142" r="AO315">
        <f>IF((M315="r"),Z315,NA())</f>
        <v>#N/A:explicit</v>
      </c>
      <c t="str" s="142" r="AP315">
        <f>IF((M315="p"),Z315,NA())</f>
        <v>#N/A:explicit</v>
      </c>
      <c t="str" s="142" r="AQ315">
        <f>IF((M315="n"),Z315,NA())</f>
        <v>#N/A:explicit</v>
      </c>
      <c t="str" s="142" r="AR315">
        <f>IF((M315="g"),Z315,NA())</f>
        <v>#N/A:explicit</v>
      </c>
      <c s="142" r="AS315"/>
      <c t="str" s="142" r="AT315">
        <f>IF((COUNTA($M315:$M$361)=0),"---",IF(AND(($M315="r"),(COUNTA($M316:$M$361)&gt;0)),(MAX(AT$44:AT314)+1),IF(OR(($M314="p"),($M314="n"),($M314="g")),"---",AT314)))</f>
        <v>---</v>
      </c>
      <c t="str" s="142" r="AU315">
        <f>IF((COUNTA($M315:$M$361)=0),"---",IF(AND(($M315="p"),(COUNTA($M316:$M$361)&gt;0)),(MAX(AU$44:AU314)+1),IF(OR(($M314="r"),($M314="n"),($M314="g")),"---",AU314)))</f>
        <v>---</v>
      </c>
      <c t="str" s="142" r="AV315">
        <f>IF((COUNTA($M315:$M$361)=0),"---",IF(AND(($M315="n"),(COUNTA($M316:$M$361)&gt;0)),(MAX(AV$44:AV314)+1),IF(OR(($M314="r"),($M314="p"),($M314="g")),"---",AV314)))</f>
        <v>---</v>
      </c>
      <c t="str" s="142" r="AW315">
        <f>IF((COUNTA($M315:$M$361)=0),"---",IF(AND(($M315="g"),(COUNTA($M316:$M$361)&gt;0)),(MAX(AW$44:AW314)+1),IF(OR(($M314="r"),($M314="p"),($M314="n")),"---",AW314)))</f>
        <v>---</v>
      </c>
      <c s="676" r="AX315">
        <f>IF((M315="p"),(1+MAX(AX$44:AX314)),0)</f>
        <v>0</v>
      </c>
      <c s="51" r="AY315"/>
      <c s="761" r="AZ315"/>
      <c s="761" r="BA315"/>
      <c s="125" r="BB315"/>
      <c s="125" r="BC315"/>
      <c s="125" r="BD315"/>
      <c s="125" r="BE315"/>
      <c s="125" r="BF315"/>
      <c s="125" r="BG315"/>
      <c s="125" r="BH315"/>
      <c s="125" r="BI315"/>
    </row>
    <row r="316">
      <c s="125" r="A316"/>
      <c s="125" r="B316"/>
      <c s="125" r="C316"/>
      <c s="125" r="D316"/>
      <c s="125" r="E316"/>
      <c s="125" r="F316"/>
      <c s="125" r="G316"/>
      <c s="125" r="H316"/>
      <c s="125" r="I316"/>
      <c s="822" r="J316"/>
      <c s="848" r="K316"/>
      <c s="550" r="L316"/>
      <c s="104" r="M316"/>
      <c s="550" r="N316"/>
      <c t="str" s="589" r="O316">
        <f>IF((AH$28=2),IF(ISBLANK(N316),O315,N316),IF(ISNUMBER(N316),(MAX(O$44:O315)+N316),O315))</f>
        <v/>
      </c>
      <c s="694" r="P316"/>
      <c s="273" r="Q316">
        <f>IF(ISNUMBER(P316),((Q315+P316)-R315),Q315)</f>
        <v>100</v>
      </c>
      <c s="694" r="R316"/>
      <c s="821" r="S316"/>
      <c s="550" r="T316"/>
      <c s="550" r="U316"/>
      <c s="550" r="V316"/>
      <c s="550" r="W316"/>
      <c s="550" r="X316"/>
      <c s="550" r="Y316"/>
      <c t="str" s="470" r="Z316">
        <f>IF(ISNUMBER(S316),(Q316-S316),NA())</f>
        <v>#N/A:explicit</v>
      </c>
      <c t="str" s="470" r="AA316">
        <f>IF(ISNUMBER(T316),IF((AH$22=1),(Z316+T316),(Q316-T316)),NA())</f>
        <v>#N/A:explicit</v>
      </c>
      <c t="str" s="470" r="AB316">
        <f>IF(ISNUMBER(U316),(Q316-U316),NA())</f>
        <v>#N/A:explicit</v>
      </c>
      <c t="str" s="470" r="AC316">
        <f>IF(ISNUMBER(V316),(Q316-V316),NA())</f>
        <v>#N/A:explicit</v>
      </c>
      <c t="str" s="470" r="AD316">
        <f>IF(ISNUMBER(W316),(Q316-W316),NA())</f>
        <v>#N/A:explicit</v>
      </c>
      <c t="str" s="470" r="AE316">
        <f>IF(ISNUMBER(X316),(Q316-X316),NA())</f>
        <v>#N/A:explicit</v>
      </c>
      <c t="str" s="552" r="AF316">
        <f>IF(ISNUMBER(Z316),Z316,"---")</f>
        <v>---</v>
      </c>
      <c s="142" r="AG316"/>
      <c t="str" s="142" r="AH316">
        <f>IF(ISBLANK(L316),NA(),MIN(AF$44:AF$361))</f>
        <v>#N/A:explicit</v>
      </c>
      <c t="str" s="142" r="AI316">
        <f>IF(ISNA(AA316),Z316,AA316)</f>
        <v>#N/A:explicit</v>
      </c>
      <c s="142" r="AJ316">
        <f>MIN(AF$44:AF$361)</f>
        <v>0</v>
      </c>
      <c s="142" r="AK316"/>
      <c t="str" s="142" r="AL316">
        <f>IF(ISNUMBER(AB316),O316,"---")</f>
        <v>---</v>
      </c>
      <c t="str" s="80" r="AM316">
        <f>IF(ISNUMBER(AB316),AB316,"---")</f>
        <v>---</v>
      </c>
      <c s="80" r="AN316"/>
      <c t="str" s="142" r="AO316">
        <f>IF((M316="r"),Z316,NA())</f>
        <v>#N/A:explicit</v>
      </c>
      <c t="str" s="142" r="AP316">
        <f>IF((M316="p"),Z316,NA())</f>
        <v>#N/A:explicit</v>
      </c>
      <c t="str" s="142" r="AQ316">
        <f>IF((M316="n"),Z316,NA())</f>
        <v>#N/A:explicit</v>
      </c>
      <c t="str" s="142" r="AR316">
        <f>IF((M316="g"),Z316,NA())</f>
        <v>#N/A:explicit</v>
      </c>
      <c s="142" r="AS316"/>
      <c t="str" s="142" r="AT316">
        <f>IF((COUNTA($M316:$M$361)=0),"---",IF(AND(($M316="r"),(COUNTA($M317:$M$361)&gt;0)),(MAX(AT$44:AT315)+1),IF(OR(($M315="p"),($M315="n"),($M315="g")),"---",AT315)))</f>
        <v>---</v>
      </c>
      <c t="str" s="142" r="AU316">
        <f>IF((COUNTA($M316:$M$361)=0),"---",IF(AND(($M316="p"),(COUNTA($M317:$M$361)&gt;0)),(MAX(AU$44:AU315)+1),IF(OR(($M315="r"),($M315="n"),($M315="g")),"---",AU315)))</f>
        <v>---</v>
      </c>
      <c t="str" s="142" r="AV316">
        <f>IF((COUNTA($M316:$M$361)=0),"---",IF(AND(($M316="n"),(COUNTA($M317:$M$361)&gt;0)),(MAX(AV$44:AV315)+1),IF(OR(($M315="r"),($M315="p"),($M315="g")),"---",AV315)))</f>
        <v>---</v>
      </c>
      <c t="str" s="142" r="AW316">
        <f>IF((COUNTA($M316:$M$361)=0),"---",IF(AND(($M316="g"),(COUNTA($M317:$M$361)&gt;0)),(MAX(AW$44:AW315)+1),IF(OR(($M315="r"),($M315="p"),($M315="n")),"---",AW315)))</f>
        <v>---</v>
      </c>
      <c s="676" r="AX316">
        <f>IF((M316="p"),(1+MAX(AX$44:AX315)),0)</f>
        <v>0</v>
      </c>
      <c s="51" r="AY316"/>
      <c s="761" r="AZ316"/>
      <c s="761" r="BA316"/>
      <c s="125" r="BB316"/>
      <c s="125" r="BC316"/>
      <c s="125" r="BD316"/>
      <c s="125" r="BE316"/>
      <c s="125" r="BF316"/>
      <c s="125" r="BG316"/>
      <c s="125" r="BH316"/>
      <c s="125" r="BI316"/>
    </row>
    <row r="317">
      <c s="125" r="A317"/>
      <c s="125" r="B317"/>
      <c s="125" r="C317"/>
      <c s="125" r="D317"/>
      <c s="125" r="E317"/>
      <c s="125" r="F317"/>
      <c s="125" r="G317"/>
      <c s="125" r="H317"/>
      <c s="125" r="I317"/>
      <c s="822" r="J317"/>
      <c s="848" r="K317"/>
      <c s="550" r="L317"/>
      <c s="104" r="M317"/>
      <c s="550" r="N317"/>
      <c t="str" s="589" r="O317">
        <f>IF((AH$28=2),IF(ISBLANK(N317),O316,N317),IF(ISNUMBER(N317),(MAX(O$44:O316)+N317),O316))</f>
        <v/>
      </c>
      <c s="694" r="P317"/>
      <c s="273" r="Q317">
        <f>IF(ISNUMBER(P317),((Q316+P317)-R316),Q316)</f>
        <v>100</v>
      </c>
      <c s="694" r="R317"/>
      <c s="821" r="S317"/>
      <c s="550" r="T317"/>
      <c s="550" r="U317"/>
      <c s="550" r="V317"/>
      <c s="550" r="W317"/>
      <c s="550" r="X317"/>
      <c s="550" r="Y317"/>
      <c t="str" s="470" r="Z317">
        <f>IF(ISNUMBER(S317),(Q317-S317),NA())</f>
        <v>#N/A:explicit</v>
      </c>
      <c t="str" s="470" r="AA317">
        <f>IF(ISNUMBER(T317),IF((AH$22=1),(Z317+T317),(Q317-T317)),NA())</f>
        <v>#N/A:explicit</v>
      </c>
      <c t="str" s="470" r="AB317">
        <f>IF(ISNUMBER(U317),(Q317-U317),NA())</f>
        <v>#N/A:explicit</v>
      </c>
      <c t="str" s="470" r="AC317">
        <f>IF(ISNUMBER(V317),(Q317-V317),NA())</f>
        <v>#N/A:explicit</v>
      </c>
      <c t="str" s="470" r="AD317">
        <f>IF(ISNUMBER(W317),(Q317-W317),NA())</f>
        <v>#N/A:explicit</v>
      </c>
      <c t="str" s="470" r="AE317">
        <f>IF(ISNUMBER(X317),(Q317-X317),NA())</f>
        <v>#N/A:explicit</v>
      </c>
      <c t="str" s="552" r="AF317">
        <f>IF(ISNUMBER(Z317),Z317,"---")</f>
        <v>---</v>
      </c>
      <c s="142" r="AG317"/>
      <c t="str" s="142" r="AH317">
        <f>IF(ISBLANK(L317),NA(),MIN(AF$44:AF$361))</f>
        <v>#N/A:explicit</v>
      </c>
      <c t="str" s="142" r="AI317">
        <f>IF(ISNA(AA317),Z317,AA317)</f>
        <v>#N/A:explicit</v>
      </c>
      <c s="142" r="AJ317">
        <f>MIN(AF$44:AF$361)</f>
        <v>0</v>
      </c>
      <c s="142" r="AK317"/>
      <c t="str" s="142" r="AL317">
        <f>IF(ISNUMBER(AB317),O317,"---")</f>
        <v>---</v>
      </c>
      <c t="str" s="80" r="AM317">
        <f>IF(ISNUMBER(AB317),AB317,"---")</f>
        <v>---</v>
      </c>
      <c s="80" r="AN317"/>
      <c t="str" s="142" r="AO317">
        <f>IF((M317="r"),Z317,NA())</f>
        <v>#N/A:explicit</v>
      </c>
      <c t="str" s="142" r="AP317">
        <f>IF((M317="p"),Z317,NA())</f>
        <v>#N/A:explicit</v>
      </c>
      <c t="str" s="142" r="AQ317">
        <f>IF((M317="n"),Z317,NA())</f>
        <v>#N/A:explicit</v>
      </c>
      <c t="str" s="142" r="AR317">
        <f>IF((M317="g"),Z317,NA())</f>
        <v>#N/A:explicit</v>
      </c>
      <c s="142" r="AS317"/>
      <c t="str" s="142" r="AT317">
        <f>IF((COUNTA($M317:$M$361)=0),"---",IF(AND(($M317="r"),(COUNTA($M318:$M$361)&gt;0)),(MAX(AT$44:AT316)+1),IF(OR(($M316="p"),($M316="n"),($M316="g")),"---",AT316)))</f>
        <v>---</v>
      </c>
      <c t="str" s="142" r="AU317">
        <f>IF((COUNTA($M317:$M$361)=0),"---",IF(AND(($M317="p"),(COUNTA($M318:$M$361)&gt;0)),(MAX(AU$44:AU316)+1),IF(OR(($M316="r"),($M316="n"),($M316="g")),"---",AU316)))</f>
        <v>---</v>
      </c>
      <c t="str" s="142" r="AV317">
        <f>IF((COUNTA($M317:$M$361)=0),"---",IF(AND(($M317="n"),(COUNTA($M318:$M$361)&gt;0)),(MAX(AV$44:AV316)+1),IF(OR(($M316="r"),($M316="p"),($M316="g")),"---",AV316)))</f>
        <v>---</v>
      </c>
      <c t="str" s="142" r="AW317">
        <f>IF((COUNTA($M317:$M$361)=0),"---",IF(AND(($M317="g"),(COUNTA($M318:$M$361)&gt;0)),(MAX(AW$44:AW316)+1),IF(OR(($M316="r"),($M316="p"),($M316="n")),"---",AW316)))</f>
        <v>---</v>
      </c>
      <c s="676" r="AX317">
        <f>IF((M317="p"),(1+MAX(AX$44:AX316)),0)</f>
        <v>0</v>
      </c>
      <c s="51" r="AY317"/>
      <c s="761" r="AZ317"/>
      <c s="761" r="BA317"/>
      <c s="125" r="BB317"/>
      <c s="125" r="BC317"/>
      <c s="125" r="BD317"/>
      <c s="125" r="BE317"/>
      <c s="125" r="BF317"/>
      <c s="125" r="BG317"/>
      <c s="125" r="BH317"/>
      <c s="125" r="BI317"/>
    </row>
    <row r="318">
      <c s="125" r="A318"/>
      <c s="125" r="B318"/>
      <c s="125" r="C318"/>
      <c s="125" r="D318"/>
      <c s="125" r="E318"/>
      <c s="125" r="F318"/>
      <c s="125" r="G318"/>
      <c s="125" r="H318"/>
      <c s="125" r="I318"/>
      <c s="822" r="J318"/>
      <c s="429" r="K318"/>
      <c s="458" r="L318"/>
      <c s="104" r="M318"/>
      <c s="458" r="N318"/>
      <c t="str" s="589" r="O318">
        <f>IF((AH$28=2),IF(ISBLANK(N318),O317,N318),IF(ISNUMBER(N318),(MAX(O$44:O317)+N318),O317))</f>
        <v/>
      </c>
      <c s="228" r="P318"/>
      <c s="273" r="Q318">
        <f>IF(ISNUMBER(P318),((Q317+P318)-R317),Q317)</f>
        <v>100</v>
      </c>
      <c s="228" r="R318"/>
      <c s="610" r="S318"/>
      <c s="458" r="T318"/>
      <c s="458" r="U318"/>
      <c s="458" r="V318"/>
      <c s="458" r="W318"/>
      <c s="458" r="X318"/>
      <c s="458" r="Y318"/>
      <c t="str" s="620" r="Z318">
        <f>IF(ISNUMBER(S318),(Q318-S318),NA())</f>
        <v>#N/A:explicit</v>
      </c>
      <c t="str" s="620" r="AA318">
        <f>IF(ISNUMBER(T318),IF((AH$22=1),(Z318+T318),(Q318-T318)),NA())</f>
        <v>#N/A:explicit</v>
      </c>
      <c t="str" s="620" r="AB318">
        <f>IF(ISNUMBER(U318),(Q318-U318),NA())</f>
        <v>#N/A:explicit</v>
      </c>
      <c t="str" s="620" r="AC318">
        <f>IF(ISNUMBER(V318),(Q318-V318),NA())</f>
        <v>#N/A:explicit</v>
      </c>
      <c t="str" s="620" r="AD318">
        <f>IF(ISNUMBER(W318),(Q318-W318),NA())</f>
        <v>#N/A:explicit</v>
      </c>
      <c t="str" s="620" r="AE318">
        <f>IF(ISNUMBER(X318),(Q318-X318),NA())</f>
        <v>#N/A:explicit</v>
      </c>
      <c t="str" s="552" r="AF318">
        <f>IF(ISNUMBER(Z318),Z318,"---")</f>
        <v>---</v>
      </c>
      <c s="142" r="AG318"/>
      <c t="str" s="142" r="AH318">
        <f>IF(ISBLANK(L318),NA(),MIN(AF$44:AF$361))</f>
        <v>#N/A:explicit</v>
      </c>
      <c t="str" s="142" r="AI318">
        <f>IF(ISNA(AA318),Z318,AA318)</f>
        <v>#N/A:explicit</v>
      </c>
      <c s="142" r="AJ318">
        <f>MIN(AF$44:AF$361)</f>
        <v>0</v>
      </c>
      <c s="142" r="AK318"/>
      <c t="str" s="142" r="AL318">
        <f>IF(ISNUMBER(AB318),O318,"---")</f>
        <v>---</v>
      </c>
      <c t="str" s="80" r="AM318">
        <f>IF(ISNUMBER(AB318),AB318,"---")</f>
        <v>---</v>
      </c>
      <c s="80" r="AN318"/>
      <c t="str" s="142" r="AO318">
        <f>IF((M318="r"),Z318,NA())</f>
        <v>#N/A:explicit</v>
      </c>
      <c t="str" s="142" r="AP318">
        <f>IF((M318="p"),Z318,NA())</f>
        <v>#N/A:explicit</v>
      </c>
      <c t="str" s="142" r="AQ318">
        <f>IF((M318="n"),Z318,NA())</f>
        <v>#N/A:explicit</v>
      </c>
      <c t="str" s="142" r="AR318">
        <f>IF((M318="g"),Z318,NA())</f>
        <v>#N/A:explicit</v>
      </c>
      <c s="142" r="AS318"/>
      <c t="str" s="142" r="AT318">
        <f>IF((COUNTA($M318:$M$361)=0),"---",IF(AND(($M318="r"),(COUNTA($M319:$M$361)&gt;0)),(MAX(AT$44:AT317)+1),IF(OR(($M317="p"),($M317="n"),($M317="g")),"---",AT317)))</f>
        <v>---</v>
      </c>
      <c t="str" s="142" r="AU318">
        <f>IF((COUNTA($M318:$M$361)=0),"---",IF(AND(($M318="p"),(COUNTA($M319:$M$361)&gt;0)),(MAX(AU$44:AU317)+1),IF(OR(($M317="r"),($M317="n"),($M317="g")),"---",AU317)))</f>
        <v>---</v>
      </c>
      <c t="str" s="142" r="AV318">
        <f>IF((COUNTA($M318:$M$361)=0),"---",IF(AND(($M318="n"),(COUNTA($M319:$M$361)&gt;0)),(MAX(AV$44:AV317)+1),IF(OR(($M317="r"),($M317="p"),($M317="g")),"---",AV317)))</f>
        <v>---</v>
      </c>
      <c t="str" s="142" r="AW318">
        <f>IF((COUNTA($M318:$M$361)=0),"---",IF(AND(($M318="g"),(COUNTA($M319:$M$361)&gt;0)),(MAX(AW$44:AW317)+1),IF(OR(($M317="r"),($M317="p"),($M317="n")),"---",AW317)))</f>
        <v>---</v>
      </c>
      <c s="676" r="AX318">
        <f>IF((M318="p"),(1+MAX(AX$44:AX317)),0)</f>
        <v>0</v>
      </c>
      <c s="51" r="AY318"/>
      <c s="761" r="AZ318"/>
      <c s="761" r="BA318"/>
      <c s="125" r="BB318"/>
      <c s="125" r="BC318"/>
      <c s="125" r="BD318"/>
      <c s="125" r="BE318"/>
      <c s="125" r="BF318"/>
      <c s="125" r="BG318"/>
      <c s="125" r="BH318"/>
      <c s="125" r="BI318"/>
    </row>
    <row r="319">
      <c s="125" r="A319"/>
      <c s="125" r="B319"/>
      <c s="125" r="C319"/>
      <c s="125" r="D319"/>
      <c s="125" r="E319"/>
      <c s="125" r="F319"/>
      <c s="125" r="G319"/>
      <c s="125" r="H319"/>
      <c s="125" r="I319"/>
      <c s="822" r="J319"/>
      <c s="429" r="K319"/>
      <c s="458" r="L319"/>
      <c s="104" r="M319"/>
      <c s="458" r="N319"/>
      <c t="str" s="589" r="O319">
        <f>IF((AH$28=2),IF(ISBLANK(N319),O318,N319),IF(ISNUMBER(N319),(MAX(O$44:O318)+N319),O318))</f>
        <v/>
      </c>
      <c s="228" r="P319"/>
      <c s="273" r="Q319">
        <f>IF(ISNUMBER(P319),((Q318+P319)-R318),Q318)</f>
        <v>100</v>
      </c>
      <c s="228" r="R319"/>
      <c s="610" r="S319"/>
      <c s="458" r="T319"/>
      <c s="458" r="U319"/>
      <c s="458" r="V319"/>
      <c s="458" r="W319"/>
      <c s="458" r="X319"/>
      <c s="458" r="Y319"/>
      <c t="str" s="620" r="Z319">
        <f>IF(ISNUMBER(S319),(Q319-S319),NA())</f>
        <v>#N/A:explicit</v>
      </c>
      <c t="str" s="620" r="AA319">
        <f>IF(ISNUMBER(T319),IF((AH$22=1),(Z319+T319),(Q319-T319)),NA())</f>
        <v>#N/A:explicit</v>
      </c>
      <c t="str" s="620" r="AB319">
        <f>IF(ISNUMBER(U319),(Q319-U319),NA())</f>
        <v>#N/A:explicit</v>
      </c>
      <c t="str" s="620" r="AC319">
        <f>IF(ISNUMBER(V319),(Q319-V319),NA())</f>
        <v>#N/A:explicit</v>
      </c>
      <c t="str" s="620" r="AD319">
        <f>IF(ISNUMBER(W319),(Q319-W319),NA())</f>
        <v>#N/A:explicit</v>
      </c>
      <c t="str" s="620" r="AE319">
        <f>IF(ISNUMBER(X319),(Q319-X319),NA())</f>
        <v>#N/A:explicit</v>
      </c>
      <c t="str" s="552" r="AF319">
        <f>IF(ISNUMBER(Z319),Z319,"---")</f>
        <v>---</v>
      </c>
      <c s="142" r="AG319"/>
      <c t="str" s="142" r="AH319">
        <f>IF(ISBLANK(L319),NA(),MIN(AF$44:AF$361))</f>
        <v>#N/A:explicit</v>
      </c>
      <c t="str" s="142" r="AI319">
        <f>IF(ISNA(AA319),Z319,AA319)</f>
        <v>#N/A:explicit</v>
      </c>
      <c s="142" r="AJ319">
        <f>MIN(AF$44:AF$361)</f>
        <v>0</v>
      </c>
      <c s="142" r="AK319"/>
      <c t="str" s="142" r="AL319">
        <f>IF(ISNUMBER(AB319),O319,"---")</f>
        <v>---</v>
      </c>
      <c t="str" s="80" r="AM319">
        <f>IF(ISNUMBER(AB319),AB319,"---")</f>
        <v>---</v>
      </c>
      <c s="80" r="AN319"/>
      <c t="str" s="142" r="AO319">
        <f>IF((M319="r"),Z319,NA())</f>
        <v>#N/A:explicit</v>
      </c>
      <c t="str" s="142" r="AP319">
        <f>IF((M319="p"),Z319,NA())</f>
        <v>#N/A:explicit</v>
      </c>
      <c t="str" s="142" r="AQ319">
        <f>IF((M319="n"),Z319,NA())</f>
        <v>#N/A:explicit</v>
      </c>
      <c t="str" s="142" r="AR319">
        <f>IF((M319="g"),Z319,NA())</f>
        <v>#N/A:explicit</v>
      </c>
      <c s="142" r="AS319"/>
      <c t="str" s="142" r="AT319">
        <f>IF((COUNTA($M319:$M$361)=0),"---",IF(AND(($M319="r"),(COUNTA($M320:$M$361)&gt;0)),(MAX(AT$44:AT318)+1),IF(OR(($M318="p"),($M318="n"),($M318="g")),"---",AT318)))</f>
        <v>---</v>
      </c>
      <c t="str" s="142" r="AU319">
        <f>IF((COUNTA($M319:$M$361)=0),"---",IF(AND(($M319="p"),(COUNTA($M320:$M$361)&gt;0)),(MAX(AU$44:AU318)+1),IF(OR(($M318="r"),($M318="n"),($M318="g")),"---",AU318)))</f>
        <v>---</v>
      </c>
      <c t="str" s="142" r="AV319">
        <f>IF((COUNTA($M319:$M$361)=0),"---",IF(AND(($M319="n"),(COUNTA($M320:$M$361)&gt;0)),(MAX(AV$44:AV318)+1),IF(OR(($M318="r"),($M318="p"),($M318="g")),"---",AV318)))</f>
        <v>---</v>
      </c>
      <c t="str" s="142" r="AW319">
        <f>IF((COUNTA($M319:$M$361)=0),"---",IF(AND(($M319="g"),(COUNTA($M320:$M$361)&gt;0)),(MAX(AW$44:AW318)+1),IF(OR(($M318="r"),($M318="p"),($M318="n")),"---",AW318)))</f>
        <v>---</v>
      </c>
      <c s="676" r="AX319">
        <f>IF((M319="p"),(1+MAX(AX$44:AX318)),0)</f>
        <v>0</v>
      </c>
      <c s="51" r="AY319"/>
      <c s="761" r="AZ319"/>
      <c s="761" r="BA319"/>
      <c s="125" r="BB319"/>
      <c s="125" r="BC319"/>
      <c s="125" r="BD319"/>
      <c s="125" r="BE319"/>
      <c s="125" r="BF319"/>
      <c s="125" r="BG319"/>
      <c s="125" r="BH319"/>
      <c s="125" r="BI319"/>
    </row>
    <row r="320">
      <c s="125" r="A320"/>
      <c s="125" r="B320"/>
      <c s="125" r="C320"/>
      <c s="125" r="D320"/>
      <c s="125" r="E320"/>
      <c s="125" r="F320"/>
      <c s="125" r="G320"/>
      <c s="125" r="H320"/>
      <c s="125" r="I320"/>
      <c s="822" r="J320"/>
      <c s="429" r="K320"/>
      <c s="458" r="L320"/>
      <c s="104" r="M320"/>
      <c s="458" r="N320"/>
      <c t="str" s="589" r="O320">
        <f>IF((AH$28=2),IF(ISBLANK(N320),O319,N320),IF(ISNUMBER(N320),(MAX(O$44:O319)+N320),O319))</f>
        <v/>
      </c>
      <c s="228" r="P320"/>
      <c s="273" r="Q320">
        <f>IF(ISNUMBER(P320),((Q319+P320)-R319),Q319)</f>
        <v>100</v>
      </c>
      <c s="228" r="R320"/>
      <c s="610" r="S320"/>
      <c s="458" r="T320"/>
      <c s="458" r="U320"/>
      <c s="458" r="V320"/>
      <c s="458" r="W320"/>
      <c s="458" r="X320"/>
      <c s="458" r="Y320"/>
      <c t="str" s="620" r="Z320">
        <f>IF(ISNUMBER(S320),(Q320-S320),NA())</f>
        <v>#N/A:explicit</v>
      </c>
      <c t="str" s="620" r="AA320">
        <f>IF(ISNUMBER(T320),IF((AH$22=1),(Z320+T320),(Q320-T320)),NA())</f>
        <v>#N/A:explicit</v>
      </c>
      <c t="str" s="620" r="AB320">
        <f>IF(ISNUMBER(U320),(Q320-U320),NA())</f>
        <v>#N/A:explicit</v>
      </c>
      <c t="str" s="620" r="AC320">
        <f>IF(ISNUMBER(V320),(Q320-V320),NA())</f>
        <v>#N/A:explicit</v>
      </c>
      <c t="str" s="620" r="AD320">
        <f>IF(ISNUMBER(W320),(Q320-W320),NA())</f>
        <v>#N/A:explicit</v>
      </c>
      <c t="str" s="620" r="AE320">
        <f>IF(ISNUMBER(X320),(Q320-X320),NA())</f>
        <v>#N/A:explicit</v>
      </c>
      <c t="str" s="552" r="AF320">
        <f>IF(ISNUMBER(Z320),Z320,"---")</f>
        <v>---</v>
      </c>
      <c s="142" r="AG320"/>
      <c t="str" s="142" r="AH320">
        <f>IF(ISBLANK(L320),NA(),MIN(AF$44:AF$361))</f>
        <v>#N/A:explicit</v>
      </c>
      <c t="str" s="142" r="AI320">
        <f>IF(ISNA(AA320),Z320,AA320)</f>
        <v>#N/A:explicit</v>
      </c>
      <c s="142" r="AJ320">
        <f>MIN(AF$44:AF$361)</f>
        <v>0</v>
      </c>
      <c s="142" r="AK320"/>
      <c t="str" s="142" r="AL320">
        <f>IF(ISNUMBER(AB320),O320,"---")</f>
        <v>---</v>
      </c>
      <c t="str" s="80" r="AM320">
        <f>IF(ISNUMBER(AB320),AB320,"---")</f>
        <v>---</v>
      </c>
      <c s="80" r="AN320"/>
      <c t="str" s="142" r="AO320">
        <f>IF((M320="r"),Z320,NA())</f>
        <v>#N/A:explicit</v>
      </c>
      <c t="str" s="142" r="AP320">
        <f>IF((M320="p"),Z320,NA())</f>
        <v>#N/A:explicit</v>
      </c>
      <c t="str" s="142" r="AQ320">
        <f>IF((M320="n"),Z320,NA())</f>
        <v>#N/A:explicit</v>
      </c>
      <c t="str" s="142" r="AR320">
        <f>IF((M320="g"),Z320,NA())</f>
        <v>#N/A:explicit</v>
      </c>
      <c s="142" r="AS320"/>
      <c t="str" s="142" r="AT320">
        <f>IF((COUNTA($M320:$M$361)=0),"---",IF(AND(($M320="r"),(COUNTA($M321:$M$361)&gt;0)),(MAX(AT$44:AT319)+1),IF(OR(($M319="p"),($M319="n"),($M319="g")),"---",AT319)))</f>
        <v>---</v>
      </c>
      <c t="str" s="142" r="AU320">
        <f>IF((COUNTA($M320:$M$361)=0),"---",IF(AND(($M320="p"),(COUNTA($M321:$M$361)&gt;0)),(MAX(AU$44:AU319)+1),IF(OR(($M319="r"),($M319="n"),($M319="g")),"---",AU319)))</f>
        <v>---</v>
      </c>
      <c t="str" s="142" r="AV320">
        <f>IF((COUNTA($M320:$M$361)=0),"---",IF(AND(($M320="n"),(COUNTA($M321:$M$361)&gt;0)),(MAX(AV$44:AV319)+1),IF(OR(($M319="r"),($M319="p"),($M319="g")),"---",AV319)))</f>
        <v>---</v>
      </c>
      <c t="str" s="142" r="AW320">
        <f>IF((COUNTA($M320:$M$361)=0),"---",IF(AND(($M320="g"),(COUNTA($M321:$M$361)&gt;0)),(MAX(AW$44:AW319)+1),IF(OR(($M319="r"),($M319="p"),($M319="n")),"---",AW319)))</f>
        <v>---</v>
      </c>
      <c s="676" r="AX320">
        <f>IF((M320="p"),(1+MAX(AX$44:AX319)),0)</f>
        <v>0</v>
      </c>
      <c s="51" r="AY320"/>
      <c s="761" r="AZ320"/>
      <c s="761" r="BA320"/>
      <c s="125" r="BB320"/>
      <c s="125" r="BC320"/>
      <c s="125" r="BD320"/>
      <c s="125" r="BE320"/>
      <c s="125" r="BF320"/>
      <c s="125" r="BG320"/>
      <c s="125" r="BH320"/>
      <c s="125" r="BI320"/>
    </row>
    <row r="321">
      <c s="125" r="A321"/>
      <c s="125" r="B321"/>
      <c s="125" r="C321"/>
      <c s="125" r="D321"/>
      <c s="125" r="E321"/>
      <c s="125" r="F321"/>
      <c s="125" r="G321"/>
      <c s="125" r="H321"/>
      <c s="125" r="I321"/>
      <c s="822" r="J321"/>
      <c s="848" r="K321"/>
      <c s="550" r="L321"/>
      <c s="104" r="M321"/>
      <c s="550" r="N321"/>
      <c t="str" s="589" r="O321">
        <f>IF((AH$28=2),IF(ISBLANK(N321),O320,N321),IF(ISNUMBER(N321),(MAX(O$44:O320)+N321),O320))</f>
        <v/>
      </c>
      <c s="694" r="P321"/>
      <c s="273" r="Q321">
        <f>IF(ISNUMBER(P321),((Q320+P321)-R320),Q320)</f>
        <v>100</v>
      </c>
      <c s="694" r="R321"/>
      <c s="821" r="S321"/>
      <c s="550" r="T321"/>
      <c s="550" r="U321"/>
      <c s="550" r="V321"/>
      <c s="550" r="W321"/>
      <c s="550" r="X321"/>
      <c s="550" r="Y321"/>
      <c t="str" s="470" r="Z321">
        <f>IF(ISNUMBER(S321),(Q321-S321),NA())</f>
        <v>#N/A:explicit</v>
      </c>
      <c t="str" s="470" r="AA321">
        <f>IF(ISNUMBER(T321),IF((AH$22=1),(Z321+T321),(Q321-T321)),NA())</f>
        <v>#N/A:explicit</v>
      </c>
      <c t="str" s="470" r="AB321">
        <f>IF(ISNUMBER(U321),(Q321-U321),NA())</f>
        <v>#N/A:explicit</v>
      </c>
      <c t="str" s="470" r="AC321">
        <f>IF(ISNUMBER(V321),(Q321-V321),NA())</f>
        <v>#N/A:explicit</v>
      </c>
      <c t="str" s="470" r="AD321">
        <f>IF(ISNUMBER(W321),(Q321-W321),NA())</f>
        <v>#N/A:explicit</v>
      </c>
      <c t="str" s="470" r="AE321">
        <f>IF(ISNUMBER(X321),(Q321-X321),NA())</f>
        <v>#N/A:explicit</v>
      </c>
      <c t="str" s="552" r="AF321">
        <f>IF(ISNUMBER(Z321),Z321,"---")</f>
        <v>---</v>
      </c>
      <c s="142" r="AG321"/>
      <c t="str" s="142" r="AH321">
        <f>IF(ISBLANK(L321),NA(),MIN(AF$44:AF$361))</f>
        <v>#N/A:explicit</v>
      </c>
      <c t="str" s="142" r="AI321">
        <f>IF(ISNA(AA321),Z321,AA321)</f>
        <v>#N/A:explicit</v>
      </c>
      <c s="142" r="AJ321">
        <f>MIN(AF$44:AF$361)</f>
        <v>0</v>
      </c>
      <c s="142" r="AK321"/>
      <c t="str" s="142" r="AL321">
        <f>IF(ISNUMBER(AB321),O321,"---")</f>
        <v>---</v>
      </c>
      <c t="str" s="80" r="AM321">
        <f>IF(ISNUMBER(AB321),AB321,"---")</f>
        <v>---</v>
      </c>
      <c s="80" r="AN321"/>
      <c t="str" s="142" r="AO321">
        <f>IF((M321="r"),Z321,NA())</f>
        <v>#N/A:explicit</v>
      </c>
      <c t="str" s="142" r="AP321">
        <f>IF((M321="p"),Z321,NA())</f>
        <v>#N/A:explicit</v>
      </c>
      <c t="str" s="142" r="AQ321">
        <f>IF((M321="n"),Z321,NA())</f>
        <v>#N/A:explicit</v>
      </c>
      <c t="str" s="142" r="AR321">
        <f>IF((M321="g"),Z321,NA())</f>
        <v>#N/A:explicit</v>
      </c>
      <c s="142" r="AS321"/>
      <c t="str" s="142" r="AT321">
        <f>IF((COUNTA($M321:$M$361)=0),"---",IF(AND(($M321="r"),(COUNTA($M322:$M$361)&gt;0)),(MAX(AT$44:AT320)+1),IF(OR(($M320="p"),($M320="n"),($M320="g")),"---",AT320)))</f>
        <v>---</v>
      </c>
      <c t="str" s="142" r="AU321">
        <f>IF((COUNTA($M321:$M$361)=0),"---",IF(AND(($M321="p"),(COUNTA($M322:$M$361)&gt;0)),(MAX(AU$44:AU320)+1),IF(OR(($M320="r"),($M320="n"),($M320="g")),"---",AU320)))</f>
        <v>---</v>
      </c>
      <c t="str" s="142" r="AV321">
        <f>IF((COUNTA($M321:$M$361)=0),"---",IF(AND(($M321="n"),(COUNTA($M322:$M$361)&gt;0)),(MAX(AV$44:AV320)+1),IF(OR(($M320="r"),($M320="p"),($M320="g")),"---",AV320)))</f>
        <v>---</v>
      </c>
      <c t="str" s="142" r="AW321">
        <f>IF((COUNTA($M321:$M$361)=0),"---",IF(AND(($M321="g"),(COUNTA($M322:$M$361)&gt;0)),(MAX(AW$44:AW320)+1),IF(OR(($M320="r"),($M320="p"),($M320="n")),"---",AW320)))</f>
        <v>---</v>
      </c>
      <c s="676" r="AX321">
        <f>IF((M321="p"),(1+MAX(AX$44:AX320)),0)</f>
        <v>0</v>
      </c>
      <c s="51" r="AY321"/>
      <c s="761" r="AZ321"/>
      <c s="761" r="BA321"/>
      <c s="125" r="BB321"/>
      <c s="125" r="BC321"/>
      <c s="125" r="BD321"/>
      <c s="125" r="BE321"/>
      <c s="125" r="BF321"/>
      <c s="125" r="BG321"/>
      <c s="125" r="BH321"/>
      <c s="125" r="BI321"/>
    </row>
    <row r="322">
      <c s="125" r="A322"/>
      <c s="125" r="B322"/>
      <c s="125" r="C322"/>
      <c s="125" r="D322"/>
      <c s="125" r="E322"/>
      <c s="125" r="F322"/>
      <c s="125" r="G322"/>
      <c s="125" r="H322"/>
      <c s="125" r="I322"/>
      <c s="822" r="J322"/>
      <c s="848" r="K322"/>
      <c s="550" r="L322"/>
      <c s="104" r="M322"/>
      <c s="550" r="N322"/>
      <c t="str" s="589" r="O322">
        <f>IF((AH$28=2),IF(ISBLANK(N322),O321,N322),IF(ISNUMBER(N322),(MAX(O$44:O321)+N322),O321))</f>
        <v/>
      </c>
      <c s="694" r="P322"/>
      <c s="273" r="Q322">
        <f>IF(ISNUMBER(P322),((Q321+P322)-R321),Q321)</f>
        <v>100</v>
      </c>
      <c s="694" r="R322"/>
      <c s="821" r="S322"/>
      <c s="550" r="T322"/>
      <c s="550" r="U322"/>
      <c s="550" r="V322"/>
      <c s="550" r="W322"/>
      <c s="550" r="X322"/>
      <c s="550" r="Y322"/>
      <c t="str" s="470" r="Z322">
        <f>IF(ISNUMBER(S322),(Q322-S322),NA())</f>
        <v>#N/A:explicit</v>
      </c>
      <c t="str" s="470" r="AA322">
        <f>IF(ISNUMBER(T322),IF((AH$22=1),(Z322+T322),(Q322-T322)),NA())</f>
        <v>#N/A:explicit</v>
      </c>
      <c t="str" s="470" r="AB322">
        <f>IF(ISNUMBER(U322),(Q322-U322),NA())</f>
        <v>#N/A:explicit</v>
      </c>
      <c t="str" s="470" r="AC322">
        <f>IF(ISNUMBER(V322),(Q322-V322),NA())</f>
        <v>#N/A:explicit</v>
      </c>
      <c t="str" s="470" r="AD322">
        <f>IF(ISNUMBER(W322),(Q322-W322),NA())</f>
        <v>#N/A:explicit</v>
      </c>
      <c t="str" s="470" r="AE322">
        <f>IF(ISNUMBER(X322),(Q322-X322),NA())</f>
        <v>#N/A:explicit</v>
      </c>
      <c t="str" s="552" r="AF322">
        <f>IF(ISNUMBER(Z322),Z322,"---")</f>
        <v>---</v>
      </c>
      <c s="142" r="AG322"/>
      <c t="str" s="142" r="AH322">
        <f>IF(ISBLANK(L322),NA(),MIN(AF$44:AF$361))</f>
        <v>#N/A:explicit</v>
      </c>
      <c t="str" s="142" r="AI322">
        <f>IF(ISNA(AA322),Z322,AA322)</f>
        <v>#N/A:explicit</v>
      </c>
      <c s="142" r="AJ322">
        <f>MIN(AF$44:AF$361)</f>
        <v>0</v>
      </c>
      <c s="142" r="AK322"/>
      <c t="str" s="142" r="AL322">
        <f>IF(ISNUMBER(AB322),O322,"---")</f>
        <v>---</v>
      </c>
      <c t="str" s="80" r="AM322">
        <f>IF(ISNUMBER(AB322),AB322,"---")</f>
        <v>---</v>
      </c>
      <c s="80" r="AN322"/>
      <c t="str" s="142" r="AO322">
        <f>IF((M322="r"),Z322,NA())</f>
        <v>#N/A:explicit</v>
      </c>
      <c t="str" s="142" r="AP322">
        <f>IF((M322="p"),Z322,NA())</f>
        <v>#N/A:explicit</v>
      </c>
      <c t="str" s="142" r="AQ322">
        <f>IF((M322="n"),Z322,NA())</f>
        <v>#N/A:explicit</v>
      </c>
      <c t="str" s="142" r="AR322">
        <f>IF((M322="g"),Z322,NA())</f>
        <v>#N/A:explicit</v>
      </c>
      <c s="142" r="AS322"/>
      <c t="str" s="142" r="AT322">
        <f>IF((COUNTA($M322:$M$361)=0),"---",IF(AND(($M322="r"),(COUNTA($M323:$M$361)&gt;0)),(MAX(AT$44:AT321)+1),IF(OR(($M321="p"),($M321="n"),($M321="g")),"---",AT321)))</f>
        <v>---</v>
      </c>
      <c t="str" s="142" r="AU322">
        <f>IF((COUNTA($M322:$M$361)=0),"---",IF(AND(($M322="p"),(COUNTA($M323:$M$361)&gt;0)),(MAX(AU$44:AU321)+1),IF(OR(($M321="r"),($M321="n"),($M321="g")),"---",AU321)))</f>
        <v>---</v>
      </c>
      <c t="str" s="142" r="AV322">
        <f>IF((COUNTA($M322:$M$361)=0),"---",IF(AND(($M322="n"),(COUNTA($M323:$M$361)&gt;0)),(MAX(AV$44:AV321)+1),IF(OR(($M321="r"),($M321="p"),($M321="g")),"---",AV321)))</f>
        <v>---</v>
      </c>
      <c t="str" s="142" r="AW322">
        <f>IF((COUNTA($M322:$M$361)=0),"---",IF(AND(($M322="g"),(COUNTA($M323:$M$361)&gt;0)),(MAX(AW$44:AW321)+1),IF(OR(($M321="r"),($M321="p"),($M321="n")),"---",AW321)))</f>
        <v>---</v>
      </c>
      <c s="676" r="AX322">
        <f>IF((M322="p"),(1+MAX(AX$44:AX321)),0)</f>
        <v>0</v>
      </c>
      <c s="51" r="AY322"/>
      <c s="761" r="AZ322"/>
      <c s="761" r="BA322"/>
      <c s="125" r="BB322"/>
      <c s="125" r="BC322"/>
      <c s="125" r="BD322"/>
      <c s="125" r="BE322"/>
      <c s="125" r="BF322"/>
      <c s="125" r="BG322"/>
      <c s="125" r="BH322"/>
      <c s="125" r="BI322"/>
    </row>
    <row r="323">
      <c s="125" r="A323"/>
      <c s="125" r="B323"/>
      <c s="125" r="C323"/>
      <c s="125" r="D323"/>
      <c s="125" r="E323"/>
      <c s="125" r="F323"/>
      <c s="125" r="G323"/>
      <c s="125" r="H323"/>
      <c s="125" r="I323"/>
      <c s="822" r="J323"/>
      <c s="848" r="K323"/>
      <c s="550" r="L323"/>
      <c s="104" r="M323"/>
      <c s="550" r="N323"/>
      <c t="str" s="589" r="O323">
        <f>IF((AH$28=2),IF(ISBLANK(N323),O322,N323),IF(ISNUMBER(N323),(MAX(O$44:O322)+N323),O322))</f>
        <v/>
      </c>
      <c s="694" r="P323"/>
      <c s="273" r="Q323">
        <f>IF(ISNUMBER(P323),((Q322+P323)-R322),Q322)</f>
        <v>100</v>
      </c>
      <c s="694" r="R323"/>
      <c s="821" r="S323"/>
      <c s="550" r="T323"/>
      <c s="550" r="U323"/>
      <c s="550" r="V323"/>
      <c s="550" r="W323"/>
      <c s="550" r="X323"/>
      <c s="550" r="Y323"/>
      <c t="str" s="470" r="Z323">
        <f>IF(ISNUMBER(S323),(Q323-S323),NA())</f>
        <v>#N/A:explicit</v>
      </c>
      <c t="str" s="470" r="AA323">
        <f>IF(ISNUMBER(T323),IF((AH$22=1),(Z323+T323),(Q323-T323)),NA())</f>
        <v>#N/A:explicit</v>
      </c>
      <c t="str" s="470" r="AB323">
        <f>IF(ISNUMBER(U323),(Q323-U323),NA())</f>
        <v>#N/A:explicit</v>
      </c>
      <c t="str" s="470" r="AC323">
        <f>IF(ISNUMBER(V323),(Q323-V323),NA())</f>
        <v>#N/A:explicit</v>
      </c>
      <c t="str" s="470" r="AD323">
        <f>IF(ISNUMBER(W323),(Q323-W323),NA())</f>
        <v>#N/A:explicit</v>
      </c>
      <c t="str" s="470" r="AE323">
        <f>IF(ISNUMBER(X323),(Q323-X323),NA())</f>
        <v>#N/A:explicit</v>
      </c>
      <c t="str" s="552" r="AF323">
        <f>IF(ISNUMBER(Z323),Z323,"---")</f>
        <v>---</v>
      </c>
      <c s="142" r="AG323"/>
      <c t="str" s="142" r="AH323">
        <f>IF(ISBLANK(L323),NA(),MIN(AF$44:AF$361))</f>
        <v>#N/A:explicit</v>
      </c>
      <c t="str" s="142" r="AI323">
        <f>IF(ISNA(AA323),Z323,AA323)</f>
        <v>#N/A:explicit</v>
      </c>
      <c s="142" r="AJ323">
        <f>MIN(AF$44:AF$361)</f>
        <v>0</v>
      </c>
      <c s="142" r="AK323"/>
      <c t="str" s="142" r="AL323">
        <f>IF(ISNUMBER(AB323),O323,"---")</f>
        <v>---</v>
      </c>
      <c t="str" s="80" r="AM323">
        <f>IF(ISNUMBER(AB323),AB323,"---")</f>
        <v>---</v>
      </c>
      <c s="80" r="AN323"/>
      <c t="str" s="142" r="AO323">
        <f>IF((M323="r"),Z323,NA())</f>
        <v>#N/A:explicit</v>
      </c>
      <c t="str" s="142" r="AP323">
        <f>IF((M323="p"),Z323,NA())</f>
        <v>#N/A:explicit</v>
      </c>
      <c t="str" s="142" r="AQ323">
        <f>IF((M323="n"),Z323,NA())</f>
        <v>#N/A:explicit</v>
      </c>
      <c t="str" s="142" r="AR323">
        <f>IF((M323="g"),Z323,NA())</f>
        <v>#N/A:explicit</v>
      </c>
      <c s="142" r="AS323"/>
      <c t="str" s="142" r="AT323">
        <f>IF((COUNTA($M323:$M$361)=0),"---",IF(AND(($M323="r"),(COUNTA($M324:$M$361)&gt;0)),(MAX(AT$44:AT322)+1),IF(OR(($M322="p"),($M322="n"),($M322="g")),"---",AT322)))</f>
        <v>---</v>
      </c>
      <c t="str" s="142" r="AU323">
        <f>IF((COUNTA($M323:$M$361)=0),"---",IF(AND(($M323="p"),(COUNTA($M324:$M$361)&gt;0)),(MAX(AU$44:AU322)+1),IF(OR(($M322="r"),($M322="n"),($M322="g")),"---",AU322)))</f>
        <v>---</v>
      </c>
      <c t="str" s="142" r="AV323">
        <f>IF((COUNTA($M323:$M$361)=0),"---",IF(AND(($M323="n"),(COUNTA($M324:$M$361)&gt;0)),(MAX(AV$44:AV322)+1),IF(OR(($M322="r"),($M322="p"),($M322="g")),"---",AV322)))</f>
        <v>---</v>
      </c>
      <c t="str" s="142" r="AW323">
        <f>IF((COUNTA($M323:$M$361)=0),"---",IF(AND(($M323="g"),(COUNTA($M324:$M$361)&gt;0)),(MAX(AW$44:AW322)+1),IF(OR(($M322="r"),($M322="p"),($M322="n")),"---",AW322)))</f>
        <v>---</v>
      </c>
      <c s="676" r="AX323">
        <f>IF((M323="p"),(1+MAX(AX$44:AX322)),0)</f>
        <v>0</v>
      </c>
      <c s="51" r="AY323"/>
      <c s="761" r="AZ323"/>
      <c s="761" r="BA323"/>
      <c s="125" r="BB323"/>
      <c s="125" r="BC323"/>
      <c s="125" r="BD323"/>
      <c s="125" r="BE323"/>
      <c s="125" r="BF323"/>
      <c s="125" r="BG323"/>
      <c s="125" r="BH323"/>
      <c s="125" r="BI323"/>
    </row>
    <row r="324">
      <c s="125" r="A324"/>
      <c s="125" r="B324"/>
      <c s="125" r="C324"/>
      <c s="125" r="D324"/>
      <c s="125" r="E324"/>
      <c s="125" r="F324"/>
      <c s="125" r="G324"/>
      <c s="125" r="H324"/>
      <c s="125" r="I324"/>
      <c s="822" r="J324"/>
      <c s="429" r="K324"/>
      <c s="458" r="L324"/>
      <c s="104" r="M324"/>
      <c s="458" r="N324"/>
      <c t="str" s="589" r="O324">
        <f>IF((AH$28=2),IF(ISBLANK(N324),O323,N324),IF(ISNUMBER(N324),(MAX(O$44:O323)+N324),O323))</f>
        <v/>
      </c>
      <c s="228" r="P324"/>
      <c s="273" r="Q324">
        <f>IF(ISNUMBER(P324),((Q323+P324)-R323),Q323)</f>
        <v>100</v>
      </c>
      <c s="228" r="R324"/>
      <c s="610" r="S324"/>
      <c s="458" r="T324"/>
      <c s="458" r="U324"/>
      <c s="458" r="V324"/>
      <c s="458" r="W324"/>
      <c s="458" r="X324"/>
      <c s="458" r="Y324"/>
      <c t="str" s="620" r="Z324">
        <f>IF(ISNUMBER(S324),(Q324-S324),NA())</f>
        <v>#N/A:explicit</v>
      </c>
      <c t="str" s="620" r="AA324">
        <f>IF(ISNUMBER(T324),IF((AH$22=1),(Z324+T324),(Q324-T324)),NA())</f>
        <v>#N/A:explicit</v>
      </c>
      <c t="str" s="620" r="AB324">
        <f>IF(ISNUMBER(U324),(Q324-U324),NA())</f>
        <v>#N/A:explicit</v>
      </c>
      <c t="str" s="620" r="AC324">
        <f>IF(ISNUMBER(V324),(Q324-V324),NA())</f>
        <v>#N/A:explicit</v>
      </c>
      <c t="str" s="620" r="AD324">
        <f>IF(ISNUMBER(W324),(Q324-W324),NA())</f>
        <v>#N/A:explicit</v>
      </c>
      <c t="str" s="620" r="AE324">
        <f>IF(ISNUMBER(X324),(Q324-X324),NA())</f>
        <v>#N/A:explicit</v>
      </c>
      <c t="str" s="552" r="AF324">
        <f>IF(ISNUMBER(Z324),Z324,"---")</f>
        <v>---</v>
      </c>
      <c s="142" r="AG324"/>
      <c t="str" s="142" r="AH324">
        <f>IF(ISBLANK(L324),NA(),MIN(AF$44:AF$361))</f>
        <v>#N/A:explicit</v>
      </c>
      <c t="str" s="142" r="AI324">
        <f>IF(ISNA(AA324),Z324,AA324)</f>
        <v>#N/A:explicit</v>
      </c>
      <c s="142" r="AJ324">
        <f>MIN(AF$44:AF$361)</f>
        <v>0</v>
      </c>
      <c s="142" r="AK324"/>
      <c t="str" s="142" r="AL324">
        <f>IF(ISNUMBER(AB324),O324,"---")</f>
        <v>---</v>
      </c>
      <c t="str" s="80" r="AM324">
        <f>IF(ISNUMBER(AB324),AB324,"---")</f>
        <v>---</v>
      </c>
      <c s="80" r="AN324"/>
      <c t="str" s="142" r="AO324">
        <f>IF((M324="r"),Z324,NA())</f>
        <v>#N/A:explicit</v>
      </c>
      <c t="str" s="142" r="AP324">
        <f>IF((M324="p"),Z324,NA())</f>
        <v>#N/A:explicit</v>
      </c>
      <c t="str" s="142" r="AQ324">
        <f>IF((M324="n"),Z324,NA())</f>
        <v>#N/A:explicit</v>
      </c>
      <c t="str" s="142" r="AR324">
        <f>IF((M324="g"),Z324,NA())</f>
        <v>#N/A:explicit</v>
      </c>
      <c s="142" r="AS324"/>
      <c t="str" s="142" r="AT324">
        <f>IF((COUNTA($M324:$M$361)=0),"---",IF(AND(($M324="r"),(COUNTA($M325:$M$361)&gt;0)),(MAX(AT$44:AT323)+1),IF(OR(($M323="p"),($M323="n"),($M323="g")),"---",AT323)))</f>
        <v>---</v>
      </c>
      <c t="str" s="142" r="AU324">
        <f>IF((COUNTA($M324:$M$361)=0),"---",IF(AND(($M324="p"),(COUNTA($M325:$M$361)&gt;0)),(MAX(AU$44:AU323)+1),IF(OR(($M323="r"),($M323="n"),($M323="g")),"---",AU323)))</f>
        <v>---</v>
      </c>
      <c t="str" s="142" r="AV324">
        <f>IF((COUNTA($M324:$M$361)=0),"---",IF(AND(($M324="n"),(COUNTA($M325:$M$361)&gt;0)),(MAX(AV$44:AV323)+1),IF(OR(($M323="r"),($M323="p"),($M323="g")),"---",AV323)))</f>
        <v>---</v>
      </c>
      <c t="str" s="142" r="AW324">
        <f>IF((COUNTA($M324:$M$361)=0),"---",IF(AND(($M324="g"),(COUNTA($M325:$M$361)&gt;0)),(MAX(AW$44:AW323)+1),IF(OR(($M323="r"),($M323="p"),($M323="n")),"---",AW323)))</f>
        <v>---</v>
      </c>
      <c s="676" r="AX324">
        <f>IF((M324="p"),(1+MAX(AX$44:AX323)),0)</f>
        <v>0</v>
      </c>
      <c s="51" r="AY324"/>
      <c s="761" r="AZ324"/>
      <c s="761" r="BA324"/>
      <c s="125" r="BB324"/>
      <c s="125" r="BC324"/>
      <c s="125" r="BD324"/>
      <c s="125" r="BE324"/>
      <c s="125" r="BF324"/>
      <c s="125" r="BG324"/>
      <c s="125" r="BH324"/>
      <c s="125" r="BI324"/>
    </row>
    <row r="325">
      <c s="125" r="A325"/>
      <c s="125" r="B325"/>
      <c s="125" r="C325"/>
      <c s="125" r="D325"/>
      <c s="125" r="E325"/>
      <c s="125" r="F325"/>
      <c s="125" r="G325"/>
      <c s="125" r="H325"/>
      <c s="125" r="I325"/>
      <c s="822" r="J325"/>
      <c s="429" r="K325"/>
      <c s="458" r="L325"/>
      <c s="104" r="M325"/>
      <c s="458" r="N325"/>
      <c t="str" s="589" r="O325">
        <f>IF((AH$28=2),IF(ISBLANK(N325),O324,N325),IF(ISNUMBER(N325),(MAX(O$44:O324)+N325),O324))</f>
        <v/>
      </c>
      <c s="228" r="P325"/>
      <c s="273" r="Q325">
        <f>IF(ISNUMBER(P325),((Q324+P325)-R324),Q324)</f>
        <v>100</v>
      </c>
      <c s="228" r="R325"/>
      <c s="610" r="S325"/>
      <c s="458" r="T325"/>
      <c s="458" r="U325"/>
      <c s="458" r="V325"/>
      <c s="458" r="W325"/>
      <c s="458" r="X325"/>
      <c s="458" r="Y325"/>
      <c t="str" s="620" r="Z325">
        <f>IF(ISNUMBER(S325),(Q325-S325),NA())</f>
        <v>#N/A:explicit</v>
      </c>
      <c t="str" s="620" r="AA325">
        <f>IF(ISNUMBER(T325),IF((AH$22=1),(Z325+T325),(Q325-T325)),NA())</f>
        <v>#N/A:explicit</v>
      </c>
      <c t="str" s="620" r="AB325">
        <f>IF(ISNUMBER(U325),(Q325-U325),NA())</f>
        <v>#N/A:explicit</v>
      </c>
      <c t="str" s="620" r="AC325">
        <f>IF(ISNUMBER(V325),(Q325-V325),NA())</f>
        <v>#N/A:explicit</v>
      </c>
      <c t="str" s="620" r="AD325">
        <f>IF(ISNUMBER(W325),(Q325-W325),NA())</f>
        <v>#N/A:explicit</v>
      </c>
      <c t="str" s="620" r="AE325">
        <f>IF(ISNUMBER(X325),(Q325-X325),NA())</f>
        <v>#N/A:explicit</v>
      </c>
      <c t="str" s="552" r="AF325">
        <f>IF(ISNUMBER(Z325),Z325,"---")</f>
        <v>---</v>
      </c>
      <c s="142" r="AG325"/>
      <c t="str" s="142" r="AH325">
        <f>IF(ISBLANK(L325),NA(),MIN(AF$44:AF$361))</f>
        <v>#N/A:explicit</v>
      </c>
      <c t="str" s="142" r="AI325">
        <f>IF(ISNA(AA325),Z325,AA325)</f>
        <v>#N/A:explicit</v>
      </c>
      <c s="142" r="AJ325">
        <f>MIN(AF$44:AF$361)</f>
        <v>0</v>
      </c>
      <c s="142" r="AK325"/>
      <c t="str" s="142" r="AL325">
        <f>IF(ISNUMBER(AB325),O325,"---")</f>
        <v>---</v>
      </c>
      <c t="str" s="80" r="AM325">
        <f>IF(ISNUMBER(AB325),AB325,"---")</f>
        <v>---</v>
      </c>
      <c s="80" r="AN325"/>
      <c t="str" s="142" r="AO325">
        <f>IF((M325="r"),Z325,NA())</f>
        <v>#N/A:explicit</v>
      </c>
      <c t="str" s="142" r="AP325">
        <f>IF((M325="p"),Z325,NA())</f>
        <v>#N/A:explicit</v>
      </c>
      <c t="str" s="142" r="AQ325">
        <f>IF((M325="n"),Z325,NA())</f>
        <v>#N/A:explicit</v>
      </c>
      <c t="str" s="142" r="AR325">
        <f>IF((M325="g"),Z325,NA())</f>
        <v>#N/A:explicit</v>
      </c>
      <c s="142" r="AS325"/>
      <c t="str" s="142" r="AT325">
        <f>IF((COUNTA($M325:$M$361)=0),"---",IF(AND(($M325="r"),(COUNTA($M326:$M$361)&gt;0)),(MAX(AT$44:AT324)+1),IF(OR(($M324="p"),($M324="n"),($M324="g")),"---",AT324)))</f>
        <v>---</v>
      </c>
      <c t="str" s="142" r="AU325">
        <f>IF((COUNTA($M325:$M$361)=0),"---",IF(AND(($M325="p"),(COUNTA($M326:$M$361)&gt;0)),(MAX(AU$44:AU324)+1),IF(OR(($M324="r"),($M324="n"),($M324="g")),"---",AU324)))</f>
        <v>---</v>
      </c>
      <c t="str" s="142" r="AV325">
        <f>IF((COUNTA($M325:$M$361)=0),"---",IF(AND(($M325="n"),(COUNTA($M326:$M$361)&gt;0)),(MAX(AV$44:AV324)+1),IF(OR(($M324="r"),($M324="p"),($M324="g")),"---",AV324)))</f>
        <v>---</v>
      </c>
      <c t="str" s="142" r="AW325">
        <f>IF((COUNTA($M325:$M$361)=0),"---",IF(AND(($M325="g"),(COUNTA($M326:$M$361)&gt;0)),(MAX(AW$44:AW324)+1),IF(OR(($M324="r"),($M324="p"),($M324="n")),"---",AW324)))</f>
        <v>---</v>
      </c>
      <c s="676" r="AX325">
        <f>IF((M325="p"),(1+MAX(AX$44:AX324)),0)</f>
        <v>0</v>
      </c>
      <c s="51" r="AY325"/>
      <c s="761" r="AZ325"/>
      <c s="761" r="BA325"/>
      <c s="125" r="BB325"/>
      <c s="125" r="BC325"/>
      <c s="125" r="BD325"/>
      <c s="125" r="BE325"/>
      <c s="125" r="BF325"/>
      <c s="125" r="BG325"/>
      <c s="125" r="BH325"/>
      <c s="125" r="BI325"/>
    </row>
    <row r="326">
      <c s="125" r="A326"/>
      <c s="125" r="B326"/>
      <c s="125" r="C326"/>
      <c s="125" r="D326"/>
      <c s="125" r="E326"/>
      <c s="125" r="F326"/>
      <c s="125" r="G326"/>
      <c s="125" r="H326"/>
      <c s="125" r="I326"/>
      <c s="822" r="J326"/>
      <c s="429" r="K326"/>
      <c s="458" r="L326"/>
      <c s="104" r="M326"/>
      <c s="458" r="N326"/>
      <c t="str" s="589" r="O326">
        <f>IF((AH$28=2),IF(ISBLANK(N326),O325,N326),IF(ISNUMBER(N326),(MAX(O$44:O325)+N326),O325))</f>
        <v/>
      </c>
      <c s="228" r="P326"/>
      <c s="273" r="Q326">
        <f>IF(ISNUMBER(P326),((Q325+P326)-R325),Q325)</f>
        <v>100</v>
      </c>
      <c s="228" r="R326"/>
      <c s="610" r="S326"/>
      <c s="458" r="T326"/>
      <c s="458" r="U326"/>
      <c s="458" r="V326"/>
      <c s="458" r="W326"/>
      <c s="458" r="X326"/>
      <c s="458" r="Y326"/>
      <c t="str" s="620" r="Z326">
        <f>IF(ISNUMBER(S326),(Q326-S326),NA())</f>
        <v>#N/A:explicit</v>
      </c>
      <c t="str" s="620" r="AA326">
        <f>IF(ISNUMBER(T326),IF((AH$22=1),(Z326+T326),(Q326-T326)),NA())</f>
        <v>#N/A:explicit</v>
      </c>
      <c t="str" s="620" r="AB326">
        <f>IF(ISNUMBER(U326),(Q326-U326),NA())</f>
        <v>#N/A:explicit</v>
      </c>
      <c t="str" s="620" r="AC326">
        <f>IF(ISNUMBER(V326),(Q326-V326),NA())</f>
        <v>#N/A:explicit</v>
      </c>
      <c t="str" s="620" r="AD326">
        <f>IF(ISNUMBER(W326),(Q326-W326),NA())</f>
        <v>#N/A:explicit</v>
      </c>
      <c t="str" s="620" r="AE326">
        <f>IF(ISNUMBER(X326),(Q326-X326),NA())</f>
        <v>#N/A:explicit</v>
      </c>
      <c t="str" s="552" r="AF326">
        <f>IF(ISNUMBER(Z326),Z326,"---")</f>
        <v>---</v>
      </c>
      <c s="142" r="AG326"/>
      <c t="str" s="142" r="AH326">
        <f>IF(ISBLANK(L326),NA(),MIN(AF$44:AF$361))</f>
        <v>#N/A:explicit</v>
      </c>
      <c t="str" s="142" r="AI326">
        <f>IF(ISNA(AA326),Z326,AA326)</f>
        <v>#N/A:explicit</v>
      </c>
      <c s="142" r="AJ326">
        <f>MIN(AF$44:AF$361)</f>
        <v>0</v>
      </c>
      <c s="142" r="AK326"/>
      <c t="str" s="142" r="AL326">
        <f>IF(ISNUMBER(AB326),O326,"---")</f>
        <v>---</v>
      </c>
      <c t="str" s="80" r="AM326">
        <f>IF(ISNUMBER(AB326),AB326,"---")</f>
        <v>---</v>
      </c>
      <c s="80" r="AN326"/>
      <c t="str" s="142" r="AO326">
        <f>IF((M326="r"),Z326,NA())</f>
        <v>#N/A:explicit</v>
      </c>
      <c t="str" s="142" r="AP326">
        <f>IF((M326="p"),Z326,NA())</f>
        <v>#N/A:explicit</v>
      </c>
      <c t="str" s="142" r="AQ326">
        <f>IF((M326="n"),Z326,NA())</f>
        <v>#N/A:explicit</v>
      </c>
      <c t="str" s="142" r="AR326">
        <f>IF((M326="g"),Z326,NA())</f>
        <v>#N/A:explicit</v>
      </c>
      <c s="142" r="AS326"/>
      <c t="str" s="142" r="AT326">
        <f>IF((COUNTA($M326:$M$361)=0),"---",IF(AND(($M326="r"),(COUNTA($M327:$M$361)&gt;0)),(MAX(AT$44:AT325)+1),IF(OR(($M325="p"),($M325="n"),($M325="g")),"---",AT325)))</f>
        <v>---</v>
      </c>
      <c t="str" s="142" r="AU326">
        <f>IF((COUNTA($M326:$M$361)=0),"---",IF(AND(($M326="p"),(COUNTA($M327:$M$361)&gt;0)),(MAX(AU$44:AU325)+1),IF(OR(($M325="r"),($M325="n"),($M325="g")),"---",AU325)))</f>
        <v>---</v>
      </c>
      <c t="str" s="142" r="AV326">
        <f>IF((COUNTA($M326:$M$361)=0),"---",IF(AND(($M326="n"),(COUNTA($M327:$M$361)&gt;0)),(MAX(AV$44:AV325)+1),IF(OR(($M325="r"),($M325="p"),($M325="g")),"---",AV325)))</f>
        <v>---</v>
      </c>
      <c t="str" s="142" r="AW326">
        <f>IF((COUNTA($M326:$M$361)=0),"---",IF(AND(($M326="g"),(COUNTA($M327:$M$361)&gt;0)),(MAX(AW$44:AW325)+1),IF(OR(($M325="r"),($M325="p"),($M325="n")),"---",AW325)))</f>
        <v>---</v>
      </c>
      <c s="676" r="AX326">
        <f>IF((M326="p"),(1+MAX(AX$44:AX325)),0)</f>
        <v>0</v>
      </c>
      <c s="51" r="AY326"/>
      <c s="761" r="AZ326"/>
      <c s="761" r="BA326"/>
      <c s="125" r="BB326"/>
      <c s="125" r="BC326"/>
      <c s="125" r="BD326"/>
      <c s="125" r="BE326"/>
      <c s="125" r="BF326"/>
      <c s="125" r="BG326"/>
      <c s="125" r="BH326"/>
      <c s="125" r="BI326"/>
    </row>
    <row r="327">
      <c s="125" r="A327"/>
      <c s="125" r="B327"/>
      <c s="125" r="C327"/>
      <c s="125" r="D327"/>
      <c s="125" r="E327"/>
      <c s="125" r="F327"/>
      <c s="125" r="G327"/>
      <c s="125" r="H327"/>
      <c s="125" r="I327"/>
      <c s="822" r="J327"/>
      <c s="848" r="K327"/>
      <c s="550" r="L327"/>
      <c s="104" r="M327"/>
      <c s="550" r="N327"/>
      <c t="str" s="589" r="O327">
        <f>IF((AH$28=2),IF(ISBLANK(N327),O326,N327),IF(ISNUMBER(N327),(MAX(O$44:O326)+N327),O326))</f>
        <v/>
      </c>
      <c s="694" r="P327"/>
      <c s="273" r="Q327">
        <f>IF(ISNUMBER(P327),((Q326+P327)-R326),Q326)</f>
        <v>100</v>
      </c>
      <c s="694" r="R327"/>
      <c s="821" r="S327"/>
      <c s="550" r="T327"/>
      <c s="550" r="U327"/>
      <c s="550" r="V327"/>
      <c s="550" r="W327"/>
      <c s="550" r="X327"/>
      <c s="550" r="Y327"/>
      <c t="str" s="470" r="Z327">
        <f>IF(ISNUMBER(S327),(Q327-S327),NA())</f>
        <v>#N/A:explicit</v>
      </c>
      <c t="str" s="470" r="AA327">
        <f>IF(ISNUMBER(T327),IF((AH$22=1),(Z327+T327),(Q327-T327)),NA())</f>
        <v>#N/A:explicit</v>
      </c>
      <c t="str" s="470" r="AB327">
        <f>IF(ISNUMBER(U327),(Q327-U327),NA())</f>
        <v>#N/A:explicit</v>
      </c>
      <c t="str" s="470" r="AC327">
        <f>IF(ISNUMBER(V327),(Q327-V327),NA())</f>
        <v>#N/A:explicit</v>
      </c>
      <c t="str" s="470" r="AD327">
        <f>IF(ISNUMBER(W327),(Q327-W327),NA())</f>
        <v>#N/A:explicit</v>
      </c>
      <c t="str" s="470" r="AE327">
        <f>IF(ISNUMBER(X327),(Q327-X327),NA())</f>
        <v>#N/A:explicit</v>
      </c>
      <c t="str" s="552" r="AF327">
        <f>IF(ISNUMBER(Z327),Z327,"---")</f>
        <v>---</v>
      </c>
      <c s="142" r="AG327"/>
      <c t="str" s="142" r="AH327">
        <f>IF(ISBLANK(L327),NA(),MIN(AF$44:AF$361))</f>
        <v>#N/A:explicit</v>
      </c>
      <c t="str" s="142" r="AI327">
        <f>IF(ISNA(AA327),Z327,AA327)</f>
        <v>#N/A:explicit</v>
      </c>
      <c s="142" r="AJ327">
        <f>MIN(AF$44:AF$361)</f>
        <v>0</v>
      </c>
      <c s="142" r="AK327"/>
      <c t="str" s="142" r="AL327">
        <f>IF(ISNUMBER(AB327),O327,"---")</f>
        <v>---</v>
      </c>
      <c t="str" s="80" r="AM327">
        <f>IF(ISNUMBER(AB327),AB327,"---")</f>
        <v>---</v>
      </c>
      <c s="80" r="AN327"/>
      <c t="str" s="142" r="AO327">
        <f>IF((M327="r"),Z327,NA())</f>
        <v>#N/A:explicit</v>
      </c>
      <c t="str" s="142" r="AP327">
        <f>IF((M327="p"),Z327,NA())</f>
        <v>#N/A:explicit</v>
      </c>
      <c t="str" s="142" r="AQ327">
        <f>IF((M327="n"),Z327,NA())</f>
        <v>#N/A:explicit</v>
      </c>
      <c t="str" s="142" r="AR327">
        <f>IF((M327="g"),Z327,NA())</f>
        <v>#N/A:explicit</v>
      </c>
      <c s="142" r="AS327"/>
      <c t="str" s="142" r="AT327">
        <f>IF((COUNTA($M327:$M$361)=0),"---",IF(AND(($M327="r"),(COUNTA($M328:$M$361)&gt;0)),(MAX(AT$44:AT326)+1),IF(OR(($M326="p"),($M326="n"),($M326="g")),"---",AT326)))</f>
        <v>---</v>
      </c>
      <c t="str" s="142" r="AU327">
        <f>IF((COUNTA($M327:$M$361)=0),"---",IF(AND(($M327="p"),(COUNTA($M328:$M$361)&gt;0)),(MAX(AU$44:AU326)+1),IF(OR(($M326="r"),($M326="n"),($M326="g")),"---",AU326)))</f>
        <v>---</v>
      </c>
      <c t="str" s="142" r="AV327">
        <f>IF((COUNTA($M327:$M$361)=0),"---",IF(AND(($M327="n"),(COUNTA($M328:$M$361)&gt;0)),(MAX(AV$44:AV326)+1),IF(OR(($M326="r"),($M326="p"),($M326="g")),"---",AV326)))</f>
        <v>---</v>
      </c>
      <c t="str" s="142" r="AW327">
        <f>IF((COUNTA($M327:$M$361)=0),"---",IF(AND(($M327="g"),(COUNTA($M328:$M$361)&gt;0)),(MAX(AW$44:AW326)+1),IF(OR(($M326="r"),($M326="p"),($M326="n")),"---",AW326)))</f>
        <v>---</v>
      </c>
      <c s="676" r="AX327">
        <f>IF((M327="p"),(1+MAX(AX$44:AX326)),0)</f>
        <v>0</v>
      </c>
      <c s="51" r="AY327"/>
      <c s="761" r="AZ327"/>
      <c s="761" r="BA327"/>
      <c s="125" r="BB327"/>
      <c s="125" r="BC327"/>
      <c s="125" r="BD327"/>
      <c s="125" r="BE327"/>
      <c s="125" r="BF327"/>
      <c s="125" r="BG327"/>
      <c s="125" r="BH327"/>
      <c s="125" r="BI327"/>
    </row>
    <row r="328">
      <c s="125" r="A328"/>
      <c s="125" r="B328"/>
      <c s="125" r="C328"/>
      <c s="125" r="D328"/>
      <c s="125" r="E328"/>
      <c s="125" r="F328"/>
      <c s="125" r="G328"/>
      <c s="125" r="H328"/>
      <c s="125" r="I328"/>
      <c s="822" r="J328"/>
      <c s="848" r="K328"/>
      <c s="550" r="L328"/>
      <c s="104" r="M328"/>
      <c s="550" r="N328"/>
      <c t="str" s="589" r="O328">
        <f>IF((AH$28=2),IF(ISBLANK(N328),O327,N328),IF(ISNUMBER(N328),(MAX(O$44:O327)+N328),O327))</f>
        <v/>
      </c>
      <c s="694" r="P328"/>
      <c s="273" r="Q328">
        <f>IF(ISNUMBER(P328),((Q327+P328)-R327),Q327)</f>
        <v>100</v>
      </c>
      <c s="694" r="R328"/>
      <c s="821" r="S328"/>
      <c s="550" r="T328"/>
      <c s="550" r="U328"/>
      <c s="550" r="V328"/>
      <c s="550" r="W328"/>
      <c s="550" r="X328"/>
      <c s="550" r="Y328"/>
      <c t="str" s="470" r="Z328">
        <f>IF(ISNUMBER(S328),(Q328-S328),NA())</f>
        <v>#N/A:explicit</v>
      </c>
      <c t="str" s="470" r="AA328">
        <f>IF(ISNUMBER(T328),IF((AH$22=1),(Z328+T328),(Q328-T328)),NA())</f>
        <v>#N/A:explicit</v>
      </c>
      <c t="str" s="470" r="AB328">
        <f>IF(ISNUMBER(U328),(Q328-U328),NA())</f>
        <v>#N/A:explicit</v>
      </c>
      <c t="str" s="470" r="AC328">
        <f>IF(ISNUMBER(V328),(Q328-V328),NA())</f>
        <v>#N/A:explicit</v>
      </c>
      <c t="str" s="470" r="AD328">
        <f>IF(ISNUMBER(W328),(Q328-W328),NA())</f>
        <v>#N/A:explicit</v>
      </c>
      <c t="str" s="470" r="AE328">
        <f>IF(ISNUMBER(X328),(Q328-X328),NA())</f>
        <v>#N/A:explicit</v>
      </c>
      <c t="str" s="552" r="AF328">
        <f>IF(ISNUMBER(Z328),Z328,"---")</f>
        <v>---</v>
      </c>
      <c s="142" r="AG328"/>
      <c t="str" s="142" r="AH328">
        <f>IF(ISBLANK(L328),NA(),MIN(AF$44:AF$361))</f>
        <v>#N/A:explicit</v>
      </c>
      <c t="str" s="142" r="AI328">
        <f>IF(ISNA(AA328),Z328,AA328)</f>
        <v>#N/A:explicit</v>
      </c>
      <c s="142" r="AJ328">
        <f>MIN(AF$44:AF$361)</f>
        <v>0</v>
      </c>
      <c s="142" r="AK328"/>
      <c t="str" s="142" r="AL328">
        <f>IF(ISNUMBER(AB328),O328,"---")</f>
        <v>---</v>
      </c>
      <c t="str" s="80" r="AM328">
        <f>IF(ISNUMBER(AB328),AB328,"---")</f>
        <v>---</v>
      </c>
      <c s="80" r="AN328"/>
      <c t="str" s="142" r="AO328">
        <f>IF((M328="r"),Z328,NA())</f>
        <v>#N/A:explicit</v>
      </c>
      <c t="str" s="142" r="AP328">
        <f>IF((M328="p"),Z328,NA())</f>
        <v>#N/A:explicit</v>
      </c>
      <c t="str" s="142" r="AQ328">
        <f>IF((M328="n"),Z328,NA())</f>
        <v>#N/A:explicit</v>
      </c>
      <c t="str" s="142" r="AR328">
        <f>IF((M328="g"),Z328,NA())</f>
        <v>#N/A:explicit</v>
      </c>
      <c s="142" r="AS328"/>
      <c t="str" s="142" r="AT328">
        <f>IF((COUNTA($M328:$M$361)=0),"---",IF(AND(($M328="r"),(COUNTA($M329:$M$361)&gt;0)),(MAX(AT$44:AT327)+1),IF(OR(($M327="p"),($M327="n"),($M327="g")),"---",AT327)))</f>
        <v>---</v>
      </c>
      <c t="str" s="142" r="AU328">
        <f>IF((COUNTA($M328:$M$361)=0),"---",IF(AND(($M328="p"),(COUNTA($M329:$M$361)&gt;0)),(MAX(AU$44:AU327)+1),IF(OR(($M327="r"),($M327="n"),($M327="g")),"---",AU327)))</f>
        <v>---</v>
      </c>
      <c t="str" s="142" r="AV328">
        <f>IF((COUNTA($M328:$M$361)=0),"---",IF(AND(($M328="n"),(COUNTA($M329:$M$361)&gt;0)),(MAX(AV$44:AV327)+1),IF(OR(($M327="r"),($M327="p"),($M327="g")),"---",AV327)))</f>
        <v>---</v>
      </c>
      <c t="str" s="142" r="AW328">
        <f>IF((COUNTA($M328:$M$361)=0),"---",IF(AND(($M328="g"),(COUNTA($M329:$M$361)&gt;0)),(MAX(AW$44:AW327)+1),IF(OR(($M327="r"),($M327="p"),($M327="n")),"---",AW327)))</f>
        <v>---</v>
      </c>
      <c s="676" r="AX328">
        <f>IF((M328="p"),(1+MAX(AX$44:AX327)),0)</f>
        <v>0</v>
      </c>
      <c s="51" r="AY328"/>
      <c s="761" r="AZ328"/>
      <c s="761" r="BA328"/>
      <c s="125" r="BB328"/>
      <c s="125" r="BC328"/>
      <c s="125" r="BD328"/>
      <c s="125" r="BE328"/>
      <c s="125" r="BF328"/>
      <c s="125" r="BG328"/>
      <c s="125" r="BH328"/>
      <c s="125" r="BI328"/>
    </row>
    <row r="329">
      <c s="125" r="A329"/>
      <c s="125" r="B329"/>
      <c s="125" r="C329"/>
      <c s="125" r="D329"/>
      <c s="125" r="E329"/>
      <c s="125" r="F329"/>
      <c s="125" r="G329"/>
      <c s="125" r="H329"/>
      <c s="125" r="I329"/>
      <c s="822" r="J329"/>
      <c s="848" r="K329"/>
      <c s="550" r="L329"/>
      <c s="104" r="M329"/>
      <c s="550" r="N329"/>
      <c t="str" s="589" r="O329">
        <f>IF((AH$28=2),IF(ISBLANK(N329),O328,N329),IF(ISNUMBER(N329),(MAX(O$44:O328)+N329),O328))</f>
        <v/>
      </c>
      <c s="694" r="P329"/>
      <c s="273" r="Q329">
        <f>IF(ISNUMBER(P329),((Q328+P329)-R328),Q328)</f>
        <v>100</v>
      </c>
      <c s="694" r="R329"/>
      <c s="821" r="S329"/>
      <c s="550" r="T329"/>
      <c s="550" r="U329"/>
      <c s="550" r="V329"/>
      <c s="550" r="W329"/>
      <c s="550" r="X329"/>
      <c s="550" r="Y329"/>
      <c t="str" s="470" r="Z329">
        <f>IF(ISNUMBER(S329),(Q329-S329),NA())</f>
        <v>#N/A:explicit</v>
      </c>
      <c t="str" s="470" r="AA329">
        <f>IF(ISNUMBER(T329),IF((AH$22=1),(Z329+T329),(Q329-T329)),NA())</f>
        <v>#N/A:explicit</v>
      </c>
      <c t="str" s="470" r="AB329">
        <f>IF(ISNUMBER(U329),(Q329-U329),NA())</f>
        <v>#N/A:explicit</v>
      </c>
      <c t="str" s="470" r="AC329">
        <f>IF(ISNUMBER(V329),(Q329-V329),NA())</f>
        <v>#N/A:explicit</v>
      </c>
      <c t="str" s="470" r="AD329">
        <f>IF(ISNUMBER(W329),(Q329-W329),NA())</f>
        <v>#N/A:explicit</v>
      </c>
      <c t="str" s="470" r="AE329">
        <f>IF(ISNUMBER(X329),(Q329-X329),NA())</f>
        <v>#N/A:explicit</v>
      </c>
      <c t="str" s="552" r="AF329">
        <f>IF(ISNUMBER(Z329),Z329,"---")</f>
        <v>---</v>
      </c>
      <c s="142" r="AG329"/>
      <c t="str" s="142" r="AH329">
        <f>IF(ISBLANK(L329),NA(),MIN(AF$44:AF$361))</f>
        <v>#N/A:explicit</v>
      </c>
      <c t="str" s="142" r="AI329">
        <f>IF(ISNA(AA329),Z329,AA329)</f>
        <v>#N/A:explicit</v>
      </c>
      <c s="142" r="AJ329">
        <f>MIN(AF$44:AF$361)</f>
        <v>0</v>
      </c>
      <c s="142" r="AK329"/>
      <c t="str" s="142" r="AL329">
        <f>IF(ISNUMBER(AB329),O329,"---")</f>
        <v>---</v>
      </c>
      <c t="str" s="80" r="AM329">
        <f>IF(ISNUMBER(AB329),AB329,"---")</f>
        <v>---</v>
      </c>
      <c s="80" r="AN329"/>
      <c t="str" s="142" r="AO329">
        <f>IF((M329="r"),Z329,NA())</f>
        <v>#N/A:explicit</v>
      </c>
      <c t="str" s="142" r="AP329">
        <f>IF((M329="p"),Z329,NA())</f>
        <v>#N/A:explicit</v>
      </c>
      <c t="str" s="142" r="AQ329">
        <f>IF((M329="n"),Z329,NA())</f>
        <v>#N/A:explicit</v>
      </c>
      <c t="str" s="142" r="AR329">
        <f>IF((M329="g"),Z329,NA())</f>
        <v>#N/A:explicit</v>
      </c>
      <c s="142" r="AS329"/>
      <c t="str" s="142" r="AT329">
        <f>IF((COUNTA($M329:$M$361)=0),"---",IF(AND(($M329="r"),(COUNTA($M330:$M$361)&gt;0)),(MAX(AT$44:AT328)+1),IF(OR(($M328="p"),($M328="n"),($M328="g")),"---",AT328)))</f>
        <v>---</v>
      </c>
      <c t="str" s="142" r="AU329">
        <f>IF((COUNTA($M329:$M$361)=0),"---",IF(AND(($M329="p"),(COUNTA($M330:$M$361)&gt;0)),(MAX(AU$44:AU328)+1),IF(OR(($M328="r"),($M328="n"),($M328="g")),"---",AU328)))</f>
        <v>---</v>
      </c>
      <c t="str" s="142" r="AV329">
        <f>IF((COUNTA($M329:$M$361)=0),"---",IF(AND(($M329="n"),(COUNTA($M330:$M$361)&gt;0)),(MAX(AV$44:AV328)+1),IF(OR(($M328="r"),($M328="p"),($M328="g")),"---",AV328)))</f>
        <v>---</v>
      </c>
      <c t="str" s="142" r="AW329">
        <f>IF((COUNTA($M329:$M$361)=0),"---",IF(AND(($M329="g"),(COUNTA($M330:$M$361)&gt;0)),(MAX(AW$44:AW328)+1),IF(OR(($M328="r"),($M328="p"),($M328="n")),"---",AW328)))</f>
        <v>---</v>
      </c>
      <c s="676" r="AX329">
        <f>IF((M329="p"),(1+MAX(AX$44:AX328)),0)</f>
        <v>0</v>
      </c>
      <c s="51" r="AY329"/>
      <c s="761" r="AZ329"/>
      <c s="761" r="BA329"/>
      <c s="125" r="BB329"/>
      <c s="125" r="BC329"/>
      <c s="125" r="BD329"/>
      <c s="125" r="BE329"/>
      <c s="125" r="BF329"/>
      <c s="125" r="BG329"/>
      <c s="125" r="BH329"/>
      <c s="125" r="BI329"/>
    </row>
    <row r="330">
      <c s="125" r="A330"/>
      <c s="125" r="B330"/>
      <c s="125" r="C330"/>
      <c s="125" r="D330"/>
      <c s="125" r="E330"/>
      <c s="125" r="F330"/>
      <c s="125" r="G330"/>
      <c s="125" r="H330"/>
      <c s="125" r="I330"/>
      <c s="822" r="J330"/>
      <c s="429" r="K330"/>
      <c s="458" r="L330"/>
      <c s="104" r="M330"/>
      <c s="458" r="N330"/>
      <c t="str" s="589" r="O330">
        <f>IF((AH$28=2),IF(ISBLANK(N330),O329,N330),IF(ISNUMBER(N330),(MAX(O$44:O329)+N330),O329))</f>
        <v/>
      </c>
      <c s="228" r="P330"/>
      <c s="273" r="Q330">
        <f>IF(ISNUMBER(P330),((Q329+P330)-R329),Q329)</f>
        <v>100</v>
      </c>
      <c s="228" r="R330"/>
      <c s="610" r="S330"/>
      <c s="458" r="T330"/>
      <c s="458" r="U330"/>
      <c s="458" r="V330"/>
      <c s="458" r="W330"/>
      <c s="458" r="X330"/>
      <c s="458" r="Y330"/>
      <c t="str" s="620" r="Z330">
        <f>IF(ISNUMBER(S330),(Q330-S330),NA())</f>
        <v>#N/A:explicit</v>
      </c>
      <c t="str" s="620" r="AA330">
        <f>IF(ISNUMBER(T330),IF((AH$22=1),(Z330+T330),(Q330-T330)),NA())</f>
        <v>#N/A:explicit</v>
      </c>
      <c t="str" s="620" r="AB330">
        <f>IF(ISNUMBER(U330),(Q330-U330),NA())</f>
        <v>#N/A:explicit</v>
      </c>
      <c t="str" s="620" r="AC330">
        <f>IF(ISNUMBER(V330),(Q330-V330),NA())</f>
        <v>#N/A:explicit</v>
      </c>
      <c t="str" s="620" r="AD330">
        <f>IF(ISNUMBER(W330),(Q330-W330),NA())</f>
        <v>#N/A:explicit</v>
      </c>
      <c t="str" s="620" r="AE330">
        <f>IF(ISNUMBER(X330),(Q330-X330),NA())</f>
        <v>#N/A:explicit</v>
      </c>
      <c t="str" s="552" r="AF330">
        <f>IF(ISNUMBER(Z330),Z330,"---")</f>
        <v>---</v>
      </c>
      <c s="142" r="AG330"/>
      <c t="str" s="142" r="AH330">
        <f>IF(ISBLANK(L330),NA(),MIN(AF$44:AF$361))</f>
        <v>#N/A:explicit</v>
      </c>
      <c t="str" s="142" r="AI330">
        <f>IF(ISNA(AA330),Z330,AA330)</f>
        <v>#N/A:explicit</v>
      </c>
      <c s="142" r="AJ330">
        <f>MIN(AF$44:AF$361)</f>
        <v>0</v>
      </c>
      <c s="142" r="AK330"/>
      <c t="str" s="142" r="AL330">
        <f>IF(ISNUMBER(AB330),O330,"---")</f>
        <v>---</v>
      </c>
      <c t="str" s="80" r="AM330">
        <f>IF(ISNUMBER(AB330),AB330,"---")</f>
        <v>---</v>
      </c>
      <c s="80" r="AN330"/>
      <c t="str" s="142" r="AO330">
        <f>IF((M330="r"),Z330,NA())</f>
        <v>#N/A:explicit</v>
      </c>
      <c t="str" s="142" r="AP330">
        <f>IF((M330="p"),Z330,NA())</f>
        <v>#N/A:explicit</v>
      </c>
      <c t="str" s="142" r="AQ330">
        <f>IF((M330="n"),Z330,NA())</f>
        <v>#N/A:explicit</v>
      </c>
      <c t="str" s="142" r="AR330">
        <f>IF((M330="g"),Z330,NA())</f>
        <v>#N/A:explicit</v>
      </c>
      <c s="142" r="AS330"/>
      <c t="str" s="142" r="AT330">
        <f>IF((COUNTA($M330:$M$361)=0),"---",IF(AND(($M330="r"),(COUNTA($M331:$M$361)&gt;0)),(MAX(AT$44:AT329)+1),IF(OR(($M329="p"),($M329="n"),($M329="g")),"---",AT329)))</f>
        <v>---</v>
      </c>
      <c t="str" s="142" r="AU330">
        <f>IF((COUNTA($M330:$M$361)=0),"---",IF(AND(($M330="p"),(COUNTA($M331:$M$361)&gt;0)),(MAX(AU$44:AU329)+1),IF(OR(($M329="r"),($M329="n"),($M329="g")),"---",AU329)))</f>
        <v>---</v>
      </c>
      <c t="str" s="142" r="AV330">
        <f>IF((COUNTA($M330:$M$361)=0),"---",IF(AND(($M330="n"),(COUNTA($M331:$M$361)&gt;0)),(MAX(AV$44:AV329)+1),IF(OR(($M329="r"),($M329="p"),($M329="g")),"---",AV329)))</f>
        <v>---</v>
      </c>
      <c t="str" s="142" r="AW330">
        <f>IF((COUNTA($M330:$M$361)=0),"---",IF(AND(($M330="g"),(COUNTA($M331:$M$361)&gt;0)),(MAX(AW$44:AW329)+1),IF(OR(($M329="r"),($M329="p"),($M329="n")),"---",AW329)))</f>
        <v>---</v>
      </c>
      <c s="676" r="AX330">
        <f>IF((M330="p"),(1+MAX(AX$44:AX329)),0)</f>
        <v>0</v>
      </c>
      <c s="51" r="AY330"/>
      <c s="761" r="AZ330"/>
      <c s="761" r="BA330"/>
      <c s="125" r="BB330"/>
      <c s="125" r="BC330"/>
      <c s="125" r="BD330"/>
      <c s="125" r="BE330"/>
      <c s="125" r="BF330"/>
      <c s="125" r="BG330"/>
      <c s="125" r="BH330"/>
      <c s="125" r="BI330"/>
    </row>
    <row r="331">
      <c s="125" r="A331"/>
      <c s="125" r="B331"/>
      <c s="125" r="C331"/>
      <c s="125" r="D331"/>
      <c s="125" r="E331"/>
      <c s="125" r="F331"/>
      <c s="125" r="G331"/>
      <c s="125" r="H331"/>
      <c s="125" r="I331"/>
      <c s="822" r="J331"/>
      <c s="429" r="K331"/>
      <c s="458" r="L331"/>
      <c s="104" r="M331"/>
      <c s="458" r="N331"/>
      <c t="str" s="589" r="O331">
        <f>IF((AH$28=2),IF(ISBLANK(N331),O330,N331),IF(ISNUMBER(N331),(MAX(O$44:O330)+N331),O330))</f>
        <v/>
      </c>
      <c s="228" r="P331"/>
      <c s="273" r="Q331">
        <f>IF(ISNUMBER(P331),((Q330+P331)-R330),Q330)</f>
        <v>100</v>
      </c>
      <c s="228" r="R331"/>
      <c s="610" r="S331"/>
      <c s="458" r="T331"/>
      <c s="458" r="U331"/>
      <c s="458" r="V331"/>
      <c s="458" r="W331"/>
      <c s="458" r="X331"/>
      <c s="458" r="Y331"/>
      <c t="str" s="620" r="Z331">
        <f>IF(ISNUMBER(S331),(Q331-S331),NA())</f>
        <v>#N/A:explicit</v>
      </c>
      <c t="str" s="620" r="AA331">
        <f>IF(ISNUMBER(T331),IF((AH$22=1),(Z331+T331),(Q331-T331)),NA())</f>
        <v>#N/A:explicit</v>
      </c>
      <c t="str" s="620" r="AB331">
        <f>IF(ISNUMBER(U331),(Q331-U331),NA())</f>
        <v>#N/A:explicit</v>
      </c>
      <c t="str" s="620" r="AC331">
        <f>IF(ISNUMBER(V331),(Q331-V331),NA())</f>
        <v>#N/A:explicit</v>
      </c>
      <c t="str" s="620" r="AD331">
        <f>IF(ISNUMBER(W331),(Q331-W331),NA())</f>
        <v>#N/A:explicit</v>
      </c>
      <c t="str" s="620" r="AE331">
        <f>IF(ISNUMBER(X331),(Q331-X331),NA())</f>
        <v>#N/A:explicit</v>
      </c>
      <c t="str" s="552" r="AF331">
        <f>IF(ISNUMBER(Z331),Z331,"---")</f>
        <v>---</v>
      </c>
      <c s="142" r="AG331"/>
      <c t="str" s="142" r="AH331">
        <f>IF(ISBLANK(L331),NA(),MIN(AF$44:AF$361))</f>
        <v>#N/A:explicit</v>
      </c>
      <c t="str" s="142" r="AI331">
        <f>IF(ISNA(AA331),Z331,AA331)</f>
        <v>#N/A:explicit</v>
      </c>
      <c s="142" r="AJ331">
        <f>MIN(AF$44:AF$361)</f>
        <v>0</v>
      </c>
      <c s="142" r="AK331"/>
      <c t="str" s="142" r="AL331">
        <f>IF(ISNUMBER(AB331),O331,"---")</f>
        <v>---</v>
      </c>
      <c t="str" s="80" r="AM331">
        <f>IF(ISNUMBER(AB331),AB331,"---")</f>
        <v>---</v>
      </c>
      <c s="80" r="AN331"/>
      <c t="str" s="142" r="AO331">
        <f>IF((M331="r"),Z331,NA())</f>
        <v>#N/A:explicit</v>
      </c>
      <c t="str" s="142" r="AP331">
        <f>IF((M331="p"),Z331,NA())</f>
        <v>#N/A:explicit</v>
      </c>
      <c t="str" s="142" r="AQ331">
        <f>IF((M331="n"),Z331,NA())</f>
        <v>#N/A:explicit</v>
      </c>
      <c t="str" s="142" r="AR331">
        <f>IF((M331="g"),Z331,NA())</f>
        <v>#N/A:explicit</v>
      </c>
      <c s="142" r="AS331"/>
      <c t="str" s="142" r="AT331">
        <f>IF((COUNTA($M331:$M$361)=0),"---",IF(AND(($M331="r"),(COUNTA($M332:$M$361)&gt;0)),(MAX(AT$44:AT330)+1),IF(OR(($M330="p"),($M330="n"),($M330="g")),"---",AT330)))</f>
        <v>---</v>
      </c>
      <c t="str" s="142" r="AU331">
        <f>IF((COUNTA($M331:$M$361)=0),"---",IF(AND(($M331="p"),(COUNTA($M332:$M$361)&gt;0)),(MAX(AU$44:AU330)+1),IF(OR(($M330="r"),($M330="n"),($M330="g")),"---",AU330)))</f>
        <v>---</v>
      </c>
      <c t="str" s="142" r="AV331">
        <f>IF((COUNTA($M331:$M$361)=0),"---",IF(AND(($M331="n"),(COUNTA($M332:$M$361)&gt;0)),(MAX(AV$44:AV330)+1),IF(OR(($M330="r"),($M330="p"),($M330="g")),"---",AV330)))</f>
        <v>---</v>
      </c>
      <c t="str" s="142" r="AW331">
        <f>IF((COUNTA($M331:$M$361)=0),"---",IF(AND(($M331="g"),(COUNTA($M332:$M$361)&gt;0)),(MAX(AW$44:AW330)+1),IF(OR(($M330="r"),($M330="p"),($M330="n")),"---",AW330)))</f>
        <v>---</v>
      </c>
      <c s="676" r="AX331">
        <f>IF((M331="p"),(1+MAX(AX$44:AX330)),0)</f>
        <v>0</v>
      </c>
      <c s="51" r="AY331"/>
      <c s="761" r="AZ331"/>
      <c s="761" r="BA331"/>
      <c s="125" r="BB331"/>
      <c s="125" r="BC331"/>
      <c s="125" r="BD331"/>
      <c s="125" r="BE331"/>
      <c s="125" r="BF331"/>
      <c s="125" r="BG331"/>
      <c s="125" r="BH331"/>
      <c s="125" r="BI331"/>
    </row>
    <row r="332">
      <c s="125" r="A332"/>
      <c s="125" r="B332"/>
      <c s="125" r="C332"/>
      <c s="125" r="D332"/>
      <c s="125" r="E332"/>
      <c s="125" r="F332"/>
      <c s="125" r="G332"/>
      <c s="125" r="H332"/>
      <c s="125" r="I332"/>
      <c s="822" r="J332"/>
      <c s="429" r="K332"/>
      <c s="458" r="L332"/>
      <c s="104" r="M332"/>
      <c s="458" r="N332"/>
      <c t="str" s="589" r="O332">
        <f>IF((AH$28=2),IF(ISBLANK(N332),O331,N332),IF(ISNUMBER(N332),(MAX(O$44:O331)+N332),O331))</f>
        <v/>
      </c>
      <c s="228" r="P332"/>
      <c s="273" r="Q332">
        <f>IF(ISNUMBER(P332),((Q331+P332)-R331),Q331)</f>
        <v>100</v>
      </c>
      <c s="228" r="R332"/>
      <c s="610" r="S332"/>
      <c s="458" r="T332"/>
      <c s="458" r="U332"/>
      <c s="458" r="V332"/>
      <c s="458" r="W332"/>
      <c s="458" r="X332"/>
      <c s="458" r="Y332"/>
      <c t="str" s="620" r="Z332">
        <f>IF(ISNUMBER(S332),(Q332-S332),NA())</f>
        <v>#N/A:explicit</v>
      </c>
      <c t="str" s="620" r="AA332">
        <f>IF(ISNUMBER(T332),IF((AH$22=1),(Z332+T332),(Q332-T332)),NA())</f>
        <v>#N/A:explicit</v>
      </c>
      <c t="str" s="620" r="AB332">
        <f>IF(ISNUMBER(U332),(Q332-U332),NA())</f>
        <v>#N/A:explicit</v>
      </c>
      <c t="str" s="620" r="AC332">
        <f>IF(ISNUMBER(V332),(Q332-V332),NA())</f>
        <v>#N/A:explicit</v>
      </c>
      <c t="str" s="620" r="AD332">
        <f>IF(ISNUMBER(W332),(Q332-W332),NA())</f>
        <v>#N/A:explicit</v>
      </c>
      <c t="str" s="620" r="AE332">
        <f>IF(ISNUMBER(X332),(Q332-X332),NA())</f>
        <v>#N/A:explicit</v>
      </c>
      <c t="str" s="552" r="AF332">
        <f>IF(ISNUMBER(Z332),Z332,"---")</f>
        <v>---</v>
      </c>
      <c s="142" r="AG332"/>
      <c t="str" s="142" r="AH332">
        <f>IF(ISBLANK(L332),NA(),MIN(AF$44:AF$361))</f>
        <v>#N/A:explicit</v>
      </c>
      <c t="str" s="142" r="AI332">
        <f>IF(ISNA(AA332),Z332,AA332)</f>
        <v>#N/A:explicit</v>
      </c>
      <c s="142" r="AJ332">
        <f>MIN(AF$44:AF$361)</f>
        <v>0</v>
      </c>
      <c s="142" r="AK332"/>
      <c t="str" s="142" r="AL332">
        <f>IF(ISNUMBER(AB332),O332,"---")</f>
        <v>---</v>
      </c>
      <c t="str" s="80" r="AM332">
        <f>IF(ISNUMBER(AB332),AB332,"---")</f>
        <v>---</v>
      </c>
      <c s="80" r="AN332"/>
      <c t="str" s="142" r="AO332">
        <f>IF((M332="r"),Z332,NA())</f>
        <v>#N/A:explicit</v>
      </c>
      <c t="str" s="142" r="AP332">
        <f>IF((M332="p"),Z332,NA())</f>
        <v>#N/A:explicit</v>
      </c>
      <c t="str" s="142" r="AQ332">
        <f>IF((M332="n"),Z332,NA())</f>
        <v>#N/A:explicit</v>
      </c>
      <c t="str" s="142" r="AR332">
        <f>IF((M332="g"),Z332,NA())</f>
        <v>#N/A:explicit</v>
      </c>
      <c s="142" r="AS332"/>
      <c t="str" s="142" r="AT332">
        <f>IF((COUNTA($M332:$M$361)=0),"---",IF(AND(($M332="r"),(COUNTA($M333:$M$361)&gt;0)),(MAX(AT$44:AT331)+1),IF(OR(($M331="p"),($M331="n"),($M331="g")),"---",AT331)))</f>
        <v>---</v>
      </c>
      <c t="str" s="142" r="AU332">
        <f>IF((COUNTA($M332:$M$361)=0),"---",IF(AND(($M332="p"),(COUNTA($M333:$M$361)&gt;0)),(MAX(AU$44:AU331)+1),IF(OR(($M331="r"),($M331="n"),($M331="g")),"---",AU331)))</f>
        <v>---</v>
      </c>
      <c t="str" s="142" r="AV332">
        <f>IF((COUNTA($M332:$M$361)=0),"---",IF(AND(($M332="n"),(COUNTA($M333:$M$361)&gt;0)),(MAX(AV$44:AV331)+1),IF(OR(($M331="r"),($M331="p"),($M331="g")),"---",AV331)))</f>
        <v>---</v>
      </c>
      <c t="str" s="142" r="AW332">
        <f>IF((COUNTA($M332:$M$361)=0),"---",IF(AND(($M332="g"),(COUNTA($M333:$M$361)&gt;0)),(MAX(AW$44:AW331)+1),IF(OR(($M331="r"),($M331="p"),($M331="n")),"---",AW331)))</f>
        <v>---</v>
      </c>
      <c s="676" r="AX332">
        <f>IF((M332="p"),(1+MAX(AX$44:AX331)),0)</f>
        <v>0</v>
      </c>
      <c s="51" r="AY332"/>
      <c s="761" r="AZ332"/>
      <c s="761" r="BA332"/>
      <c s="125" r="BB332"/>
      <c s="125" r="BC332"/>
      <c s="125" r="BD332"/>
      <c s="125" r="BE332"/>
      <c s="125" r="BF332"/>
      <c s="125" r="BG332"/>
      <c s="125" r="BH332"/>
      <c s="125" r="BI332"/>
    </row>
    <row r="333">
      <c s="125" r="A333"/>
      <c s="125" r="B333"/>
      <c s="125" r="C333"/>
      <c s="125" r="D333"/>
      <c s="125" r="E333"/>
      <c s="125" r="F333"/>
      <c s="125" r="G333"/>
      <c s="125" r="H333"/>
      <c s="125" r="I333"/>
      <c s="822" r="J333"/>
      <c s="848" r="K333"/>
      <c s="550" r="L333"/>
      <c s="104" r="M333"/>
      <c s="550" r="N333"/>
      <c t="str" s="589" r="O333">
        <f>IF((AH$28=2),IF(ISBLANK(N333),O332,N333),IF(ISNUMBER(N333),(MAX(O$44:O332)+N333),O332))</f>
        <v/>
      </c>
      <c s="694" r="P333"/>
      <c s="273" r="Q333">
        <f>IF(ISNUMBER(P333),((Q332+P333)-R332),Q332)</f>
        <v>100</v>
      </c>
      <c s="694" r="R333"/>
      <c s="821" r="S333"/>
      <c s="550" r="T333"/>
      <c s="550" r="U333"/>
      <c s="550" r="V333"/>
      <c s="550" r="W333"/>
      <c s="550" r="X333"/>
      <c s="550" r="Y333"/>
      <c t="str" s="470" r="Z333">
        <f>IF(ISNUMBER(S333),(Q333-S333),NA())</f>
        <v>#N/A:explicit</v>
      </c>
      <c t="str" s="470" r="AA333">
        <f>IF(ISNUMBER(T333),IF((AH$22=1),(Z333+T333),(Q333-T333)),NA())</f>
        <v>#N/A:explicit</v>
      </c>
      <c t="str" s="470" r="AB333">
        <f>IF(ISNUMBER(U333),(Q333-U333),NA())</f>
        <v>#N/A:explicit</v>
      </c>
      <c t="str" s="470" r="AC333">
        <f>IF(ISNUMBER(V333),(Q333-V333),NA())</f>
        <v>#N/A:explicit</v>
      </c>
      <c t="str" s="470" r="AD333">
        <f>IF(ISNUMBER(W333),(Q333-W333),NA())</f>
        <v>#N/A:explicit</v>
      </c>
      <c t="str" s="470" r="AE333">
        <f>IF(ISNUMBER(X333),(Q333-X333),NA())</f>
        <v>#N/A:explicit</v>
      </c>
      <c t="str" s="552" r="AF333">
        <f>IF(ISNUMBER(Z333),Z333,"---")</f>
        <v>---</v>
      </c>
      <c s="142" r="AG333"/>
      <c t="str" s="142" r="AH333">
        <f>IF(ISBLANK(L333),NA(),MIN(AF$44:AF$361))</f>
        <v>#N/A:explicit</v>
      </c>
      <c t="str" s="142" r="AI333">
        <f>IF(ISNA(AA333),Z333,AA333)</f>
        <v>#N/A:explicit</v>
      </c>
      <c s="142" r="AJ333">
        <f>MIN(AF$44:AF$361)</f>
        <v>0</v>
      </c>
      <c s="142" r="AK333"/>
      <c t="str" s="142" r="AL333">
        <f>IF(ISNUMBER(AB333),O333,"---")</f>
        <v>---</v>
      </c>
      <c t="str" s="80" r="AM333">
        <f>IF(ISNUMBER(AB333),AB333,"---")</f>
        <v>---</v>
      </c>
      <c s="80" r="AN333"/>
      <c t="str" s="142" r="AO333">
        <f>IF((M333="r"),Z333,NA())</f>
        <v>#N/A:explicit</v>
      </c>
      <c t="str" s="142" r="AP333">
        <f>IF((M333="p"),Z333,NA())</f>
        <v>#N/A:explicit</v>
      </c>
      <c t="str" s="142" r="AQ333">
        <f>IF((M333="n"),Z333,NA())</f>
        <v>#N/A:explicit</v>
      </c>
      <c t="str" s="142" r="AR333">
        <f>IF((M333="g"),Z333,NA())</f>
        <v>#N/A:explicit</v>
      </c>
      <c s="142" r="AS333"/>
      <c t="str" s="142" r="AT333">
        <f>IF((COUNTA($M333:$M$361)=0),"---",IF(AND(($M333="r"),(COUNTA($M334:$M$361)&gt;0)),(MAX(AT$44:AT332)+1),IF(OR(($M332="p"),($M332="n"),($M332="g")),"---",AT332)))</f>
        <v>---</v>
      </c>
      <c t="str" s="142" r="AU333">
        <f>IF((COUNTA($M333:$M$361)=0),"---",IF(AND(($M333="p"),(COUNTA($M334:$M$361)&gt;0)),(MAX(AU$44:AU332)+1),IF(OR(($M332="r"),($M332="n"),($M332="g")),"---",AU332)))</f>
        <v>---</v>
      </c>
      <c t="str" s="142" r="AV333">
        <f>IF((COUNTA($M333:$M$361)=0),"---",IF(AND(($M333="n"),(COUNTA($M334:$M$361)&gt;0)),(MAX(AV$44:AV332)+1),IF(OR(($M332="r"),($M332="p"),($M332="g")),"---",AV332)))</f>
        <v>---</v>
      </c>
      <c t="str" s="142" r="AW333">
        <f>IF((COUNTA($M333:$M$361)=0),"---",IF(AND(($M333="g"),(COUNTA($M334:$M$361)&gt;0)),(MAX(AW$44:AW332)+1),IF(OR(($M332="r"),($M332="p"),($M332="n")),"---",AW332)))</f>
        <v>---</v>
      </c>
      <c s="676" r="AX333">
        <f>IF((M333="p"),(1+MAX(AX$44:AX332)),0)</f>
        <v>0</v>
      </c>
      <c s="51" r="AY333"/>
      <c s="761" r="AZ333"/>
      <c s="761" r="BA333"/>
      <c s="125" r="BB333"/>
      <c s="125" r="BC333"/>
      <c s="125" r="BD333"/>
      <c s="125" r="BE333"/>
      <c s="125" r="BF333"/>
      <c s="125" r="BG333"/>
      <c s="125" r="BH333"/>
      <c s="125" r="BI333"/>
    </row>
    <row r="334">
      <c s="125" r="A334"/>
      <c s="125" r="B334"/>
      <c s="125" r="C334"/>
      <c s="125" r="D334"/>
      <c s="125" r="E334"/>
      <c s="125" r="F334"/>
      <c s="125" r="G334"/>
      <c s="125" r="H334"/>
      <c s="125" r="I334"/>
      <c s="822" r="J334"/>
      <c s="848" r="K334"/>
      <c s="550" r="L334"/>
      <c s="104" r="M334"/>
      <c s="550" r="N334"/>
      <c t="str" s="589" r="O334">
        <f>IF((AH$28=2),IF(ISBLANK(N334),O333,N334),IF(ISNUMBER(N334),(MAX(O$44:O333)+N334),O333))</f>
        <v/>
      </c>
      <c s="694" r="P334"/>
      <c s="273" r="Q334">
        <f>IF(ISNUMBER(P334),((Q333+P334)-R333),Q333)</f>
        <v>100</v>
      </c>
      <c s="694" r="R334"/>
      <c s="821" r="S334"/>
      <c s="550" r="T334"/>
      <c s="550" r="U334"/>
      <c s="550" r="V334"/>
      <c s="550" r="W334"/>
      <c s="550" r="X334"/>
      <c s="550" r="Y334"/>
      <c t="str" s="470" r="Z334">
        <f>IF(ISNUMBER(S334),(Q334-S334),NA())</f>
        <v>#N/A:explicit</v>
      </c>
      <c t="str" s="470" r="AA334">
        <f>IF(ISNUMBER(T334),IF((AH$22=1),(Z334+T334),(Q334-T334)),NA())</f>
        <v>#N/A:explicit</v>
      </c>
      <c t="str" s="470" r="AB334">
        <f>IF(ISNUMBER(U334),(Q334-U334),NA())</f>
        <v>#N/A:explicit</v>
      </c>
      <c t="str" s="470" r="AC334">
        <f>IF(ISNUMBER(V334),(Q334-V334),NA())</f>
        <v>#N/A:explicit</v>
      </c>
      <c t="str" s="470" r="AD334">
        <f>IF(ISNUMBER(W334),(Q334-W334),NA())</f>
        <v>#N/A:explicit</v>
      </c>
      <c t="str" s="470" r="AE334">
        <f>IF(ISNUMBER(X334),(Q334-X334),NA())</f>
        <v>#N/A:explicit</v>
      </c>
      <c t="str" s="552" r="AF334">
        <f>IF(ISNUMBER(Z334),Z334,"---")</f>
        <v>---</v>
      </c>
      <c s="142" r="AG334"/>
      <c t="str" s="142" r="AH334">
        <f>IF(ISBLANK(L334),NA(),MIN(AF$44:AF$361))</f>
        <v>#N/A:explicit</v>
      </c>
      <c t="str" s="142" r="AI334">
        <f>IF(ISNA(AA334),Z334,AA334)</f>
        <v>#N/A:explicit</v>
      </c>
      <c s="142" r="AJ334">
        <f>MIN(AF$44:AF$361)</f>
        <v>0</v>
      </c>
      <c s="142" r="AK334"/>
      <c t="str" s="142" r="AL334">
        <f>IF(ISNUMBER(AB334),O334,"---")</f>
        <v>---</v>
      </c>
      <c t="str" s="80" r="AM334">
        <f>IF(ISNUMBER(AB334),AB334,"---")</f>
        <v>---</v>
      </c>
      <c s="80" r="AN334"/>
      <c t="str" s="142" r="AO334">
        <f>IF((M334="r"),Z334,NA())</f>
        <v>#N/A:explicit</v>
      </c>
      <c t="str" s="142" r="AP334">
        <f>IF((M334="p"),Z334,NA())</f>
        <v>#N/A:explicit</v>
      </c>
      <c t="str" s="142" r="AQ334">
        <f>IF((M334="n"),Z334,NA())</f>
        <v>#N/A:explicit</v>
      </c>
      <c t="str" s="142" r="AR334">
        <f>IF((M334="g"),Z334,NA())</f>
        <v>#N/A:explicit</v>
      </c>
      <c s="142" r="AS334"/>
      <c t="str" s="142" r="AT334">
        <f>IF((COUNTA($M334:$M$361)=0),"---",IF(AND(($M334="r"),(COUNTA($M335:$M$361)&gt;0)),(MAX(AT$44:AT333)+1),IF(OR(($M333="p"),($M333="n"),($M333="g")),"---",AT333)))</f>
        <v>---</v>
      </c>
      <c t="str" s="142" r="AU334">
        <f>IF((COUNTA($M334:$M$361)=0),"---",IF(AND(($M334="p"),(COUNTA($M335:$M$361)&gt;0)),(MAX(AU$44:AU333)+1),IF(OR(($M333="r"),($M333="n"),($M333="g")),"---",AU333)))</f>
        <v>---</v>
      </c>
      <c t="str" s="142" r="AV334">
        <f>IF((COUNTA($M334:$M$361)=0),"---",IF(AND(($M334="n"),(COUNTA($M335:$M$361)&gt;0)),(MAX(AV$44:AV333)+1),IF(OR(($M333="r"),($M333="p"),($M333="g")),"---",AV333)))</f>
        <v>---</v>
      </c>
      <c t="str" s="142" r="AW334">
        <f>IF((COUNTA($M334:$M$361)=0),"---",IF(AND(($M334="g"),(COUNTA($M335:$M$361)&gt;0)),(MAX(AW$44:AW333)+1),IF(OR(($M333="r"),($M333="p"),($M333="n")),"---",AW333)))</f>
        <v>---</v>
      </c>
      <c s="676" r="AX334">
        <f>IF((M334="p"),(1+MAX(AX$44:AX333)),0)</f>
        <v>0</v>
      </c>
      <c s="51" r="AY334"/>
      <c s="761" r="AZ334"/>
      <c s="761" r="BA334"/>
      <c s="125" r="BB334"/>
      <c s="125" r="BC334"/>
      <c s="125" r="BD334"/>
      <c s="125" r="BE334"/>
      <c s="125" r="BF334"/>
      <c s="125" r="BG334"/>
      <c s="125" r="BH334"/>
      <c s="125" r="BI334"/>
    </row>
    <row r="335">
      <c s="125" r="A335"/>
      <c s="125" r="B335"/>
      <c s="125" r="C335"/>
      <c s="125" r="D335"/>
      <c s="125" r="E335"/>
      <c s="125" r="F335"/>
      <c s="125" r="G335"/>
      <c s="125" r="H335"/>
      <c s="125" r="I335"/>
      <c s="822" r="J335"/>
      <c s="848" r="K335"/>
      <c s="550" r="L335"/>
      <c s="104" r="M335"/>
      <c s="550" r="N335"/>
      <c t="str" s="589" r="O335">
        <f>IF((AH$28=2),IF(ISBLANK(N335),O334,N335),IF(ISNUMBER(N335),(MAX(O$44:O334)+N335),O334))</f>
        <v/>
      </c>
      <c s="694" r="P335"/>
      <c s="273" r="Q335">
        <f>IF(ISNUMBER(P335),((Q334+P335)-R334),Q334)</f>
        <v>100</v>
      </c>
      <c s="694" r="R335"/>
      <c s="821" r="S335"/>
      <c s="550" r="T335"/>
      <c s="550" r="U335"/>
      <c s="550" r="V335"/>
      <c s="550" r="W335"/>
      <c s="550" r="X335"/>
      <c s="550" r="Y335"/>
      <c t="str" s="470" r="Z335">
        <f>IF(ISNUMBER(S335),(Q335-S335),NA())</f>
        <v>#N/A:explicit</v>
      </c>
      <c t="str" s="470" r="AA335">
        <f>IF(ISNUMBER(T335),IF((AH$22=1),(Z335+T335),(Q335-T335)),NA())</f>
        <v>#N/A:explicit</v>
      </c>
      <c t="str" s="470" r="AB335">
        <f>IF(ISNUMBER(U335),(Q335-U335),NA())</f>
        <v>#N/A:explicit</v>
      </c>
      <c t="str" s="470" r="AC335">
        <f>IF(ISNUMBER(V335),(Q335-V335),NA())</f>
        <v>#N/A:explicit</v>
      </c>
      <c t="str" s="470" r="AD335">
        <f>IF(ISNUMBER(W335),(Q335-W335),NA())</f>
        <v>#N/A:explicit</v>
      </c>
      <c t="str" s="470" r="AE335">
        <f>IF(ISNUMBER(X335),(Q335-X335),NA())</f>
        <v>#N/A:explicit</v>
      </c>
      <c t="str" s="552" r="AF335">
        <f>IF(ISNUMBER(Z335),Z335,"---")</f>
        <v>---</v>
      </c>
      <c s="142" r="AG335"/>
      <c t="str" s="142" r="AH335">
        <f>IF(ISBLANK(L335),NA(),MIN(AF$44:AF$361))</f>
        <v>#N/A:explicit</v>
      </c>
      <c t="str" s="142" r="AI335">
        <f>IF(ISNA(AA335),Z335,AA335)</f>
        <v>#N/A:explicit</v>
      </c>
      <c s="142" r="AJ335">
        <f>MIN(AF$44:AF$361)</f>
        <v>0</v>
      </c>
      <c s="142" r="AK335"/>
      <c t="str" s="142" r="AL335">
        <f>IF(ISNUMBER(AB335),O335,"---")</f>
        <v>---</v>
      </c>
      <c t="str" s="80" r="AM335">
        <f>IF(ISNUMBER(AB335),AB335,"---")</f>
        <v>---</v>
      </c>
      <c s="80" r="AN335"/>
      <c t="str" s="142" r="AO335">
        <f>IF((M335="r"),Z335,NA())</f>
        <v>#N/A:explicit</v>
      </c>
      <c t="str" s="142" r="AP335">
        <f>IF((M335="p"),Z335,NA())</f>
        <v>#N/A:explicit</v>
      </c>
      <c t="str" s="142" r="AQ335">
        <f>IF((M335="n"),Z335,NA())</f>
        <v>#N/A:explicit</v>
      </c>
      <c t="str" s="142" r="AR335">
        <f>IF((M335="g"),Z335,NA())</f>
        <v>#N/A:explicit</v>
      </c>
      <c s="142" r="AS335"/>
      <c t="str" s="142" r="AT335">
        <f>IF((COUNTA($M335:$M$361)=0),"---",IF(AND(($M335="r"),(COUNTA($M336:$M$361)&gt;0)),(MAX(AT$44:AT334)+1),IF(OR(($M334="p"),($M334="n"),($M334="g")),"---",AT334)))</f>
        <v>---</v>
      </c>
      <c t="str" s="142" r="AU335">
        <f>IF((COUNTA($M335:$M$361)=0),"---",IF(AND(($M335="p"),(COUNTA($M336:$M$361)&gt;0)),(MAX(AU$44:AU334)+1),IF(OR(($M334="r"),($M334="n"),($M334="g")),"---",AU334)))</f>
        <v>---</v>
      </c>
      <c t="str" s="142" r="AV335">
        <f>IF((COUNTA($M335:$M$361)=0),"---",IF(AND(($M335="n"),(COUNTA($M336:$M$361)&gt;0)),(MAX(AV$44:AV334)+1),IF(OR(($M334="r"),($M334="p"),($M334="g")),"---",AV334)))</f>
        <v>---</v>
      </c>
      <c t="str" s="142" r="AW335">
        <f>IF((COUNTA($M335:$M$361)=0),"---",IF(AND(($M335="g"),(COUNTA($M336:$M$361)&gt;0)),(MAX(AW$44:AW334)+1),IF(OR(($M334="r"),($M334="p"),($M334="n")),"---",AW334)))</f>
        <v>---</v>
      </c>
      <c s="676" r="AX335">
        <f>IF((M335="p"),(1+MAX(AX$44:AX334)),0)</f>
        <v>0</v>
      </c>
      <c s="51" r="AY335"/>
      <c s="761" r="AZ335"/>
      <c s="761" r="BA335"/>
      <c s="125" r="BB335"/>
      <c s="125" r="BC335"/>
      <c s="125" r="BD335"/>
      <c s="125" r="BE335"/>
      <c s="125" r="BF335"/>
      <c s="125" r="BG335"/>
      <c s="125" r="BH335"/>
      <c s="125" r="BI335"/>
    </row>
    <row r="336">
      <c s="125" r="A336"/>
      <c s="125" r="B336"/>
      <c s="125" r="C336"/>
      <c s="125" r="D336"/>
      <c s="125" r="E336"/>
      <c s="125" r="F336"/>
      <c s="125" r="G336"/>
      <c s="125" r="H336"/>
      <c s="125" r="I336"/>
      <c s="822" r="J336"/>
      <c s="429" r="K336"/>
      <c s="458" r="L336"/>
      <c s="104" r="M336"/>
      <c s="458" r="N336"/>
      <c t="str" s="589" r="O336">
        <f>IF((AH$28=2),IF(ISBLANK(N336),O335,N336),IF(ISNUMBER(N336),(MAX(O$44:O335)+N336),O335))</f>
        <v/>
      </c>
      <c s="228" r="P336"/>
      <c s="273" r="Q336">
        <f>IF(ISNUMBER(P336),((Q335+P336)-R335),Q335)</f>
        <v>100</v>
      </c>
      <c s="228" r="R336"/>
      <c s="610" r="S336"/>
      <c s="458" r="T336"/>
      <c s="458" r="U336"/>
      <c s="458" r="V336"/>
      <c s="458" r="W336"/>
      <c s="458" r="X336"/>
      <c s="458" r="Y336"/>
      <c t="str" s="620" r="Z336">
        <f>IF(ISNUMBER(S336),(Q336-S336),NA())</f>
        <v>#N/A:explicit</v>
      </c>
      <c t="str" s="620" r="AA336">
        <f>IF(ISNUMBER(T336),IF((AH$22=1),(Z336+T336),(Q336-T336)),NA())</f>
        <v>#N/A:explicit</v>
      </c>
      <c t="str" s="620" r="AB336">
        <f>IF(ISNUMBER(U336),(Q336-U336),NA())</f>
        <v>#N/A:explicit</v>
      </c>
      <c t="str" s="620" r="AC336">
        <f>IF(ISNUMBER(V336),(Q336-V336),NA())</f>
        <v>#N/A:explicit</v>
      </c>
      <c t="str" s="620" r="AD336">
        <f>IF(ISNUMBER(W336),(Q336-W336),NA())</f>
        <v>#N/A:explicit</v>
      </c>
      <c t="str" s="620" r="AE336">
        <f>IF(ISNUMBER(X336),(Q336-X336),NA())</f>
        <v>#N/A:explicit</v>
      </c>
      <c t="str" s="552" r="AF336">
        <f>IF(ISNUMBER(Z336),Z336,"---")</f>
        <v>---</v>
      </c>
      <c s="142" r="AG336"/>
      <c t="str" s="142" r="AH336">
        <f>IF(ISBLANK(L336),NA(),MIN(AF$44:AF$361))</f>
        <v>#N/A:explicit</v>
      </c>
      <c t="str" s="142" r="AI336">
        <f>IF(ISNA(AA336),Z336,AA336)</f>
        <v>#N/A:explicit</v>
      </c>
      <c s="142" r="AJ336">
        <f>MIN(AF$44:AF$361)</f>
        <v>0</v>
      </c>
      <c s="142" r="AK336"/>
      <c t="str" s="142" r="AL336">
        <f>IF(ISNUMBER(AB336),O336,"---")</f>
        <v>---</v>
      </c>
      <c t="str" s="80" r="AM336">
        <f>IF(ISNUMBER(AB336),AB336,"---")</f>
        <v>---</v>
      </c>
      <c s="80" r="AN336"/>
      <c t="str" s="142" r="AO336">
        <f>IF((M336="r"),Z336,NA())</f>
        <v>#N/A:explicit</v>
      </c>
      <c t="str" s="142" r="AP336">
        <f>IF((M336="p"),Z336,NA())</f>
        <v>#N/A:explicit</v>
      </c>
      <c t="str" s="142" r="AQ336">
        <f>IF((M336="n"),Z336,NA())</f>
        <v>#N/A:explicit</v>
      </c>
      <c t="str" s="142" r="AR336">
        <f>IF((M336="g"),Z336,NA())</f>
        <v>#N/A:explicit</v>
      </c>
      <c s="142" r="AS336"/>
      <c t="str" s="142" r="AT336">
        <f>IF((COUNTA($M336:$M$361)=0),"---",IF(AND(($M336="r"),(COUNTA($M337:$M$361)&gt;0)),(MAX(AT$44:AT335)+1),IF(OR(($M335="p"),($M335="n"),($M335="g")),"---",AT335)))</f>
        <v>---</v>
      </c>
      <c t="str" s="142" r="AU336">
        <f>IF((COUNTA($M336:$M$361)=0),"---",IF(AND(($M336="p"),(COUNTA($M337:$M$361)&gt;0)),(MAX(AU$44:AU335)+1),IF(OR(($M335="r"),($M335="n"),($M335="g")),"---",AU335)))</f>
        <v>---</v>
      </c>
      <c t="str" s="142" r="AV336">
        <f>IF((COUNTA($M336:$M$361)=0),"---",IF(AND(($M336="n"),(COUNTA($M337:$M$361)&gt;0)),(MAX(AV$44:AV335)+1),IF(OR(($M335="r"),($M335="p"),($M335="g")),"---",AV335)))</f>
        <v>---</v>
      </c>
      <c t="str" s="142" r="AW336">
        <f>IF((COUNTA($M336:$M$361)=0),"---",IF(AND(($M336="g"),(COUNTA($M337:$M$361)&gt;0)),(MAX(AW$44:AW335)+1),IF(OR(($M335="r"),($M335="p"),($M335="n")),"---",AW335)))</f>
        <v>---</v>
      </c>
      <c s="676" r="AX336">
        <f>IF((M336="p"),(1+MAX(AX$44:AX335)),0)</f>
        <v>0</v>
      </c>
      <c s="51" r="AY336"/>
      <c s="761" r="AZ336"/>
      <c s="761" r="BA336"/>
      <c s="125" r="BB336"/>
      <c s="125" r="BC336"/>
      <c s="125" r="BD336"/>
      <c s="125" r="BE336"/>
      <c s="125" r="BF336"/>
      <c s="125" r="BG336"/>
      <c s="125" r="BH336"/>
      <c s="125" r="BI336"/>
    </row>
    <row r="337">
      <c s="125" r="A337"/>
      <c s="125" r="B337"/>
      <c s="125" r="C337"/>
      <c s="125" r="D337"/>
      <c s="125" r="E337"/>
      <c s="125" r="F337"/>
      <c s="125" r="G337"/>
      <c s="125" r="H337"/>
      <c s="125" r="I337"/>
      <c s="822" r="J337"/>
      <c s="429" r="K337"/>
      <c s="458" r="L337"/>
      <c s="104" r="M337"/>
      <c s="458" r="N337"/>
      <c t="str" s="589" r="O337">
        <f>IF((AH$28=2),IF(ISBLANK(N337),O336,N337),IF(ISNUMBER(N337),(MAX(O$44:O336)+N337),O336))</f>
        <v/>
      </c>
      <c s="228" r="P337"/>
      <c s="273" r="Q337">
        <f>IF(ISNUMBER(P337),((Q336+P337)-R336),Q336)</f>
        <v>100</v>
      </c>
      <c s="228" r="R337"/>
      <c s="610" r="S337"/>
      <c s="458" r="T337"/>
      <c s="458" r="U337"/>
      <c s="458" r="V337"/>
      <c s="458" r="W337"/>
      <c s="458" r="X337"/>
      <c s="458" r="Y337"/>
      <c t="str" s="620" r="Z337">
        <f>IF(ISNUMBER(S337),(Q337-S337),NA())</f>
        <v>#N/A:explicit</v>
      </c>
      <c t="str" s="620" r="AA337">
        <f>IF(ISNUMBER(T337),IF((AH$22=1),(Z337+T337),(Q337-T337)),NA())</f>
        <v>#N/A:explicit</v>
      </c>
      <c t="str" s="620" r="AB337">
        <f>IF(ISNUMBER(U337),(Q337-U337),NA())</f>
        <v>#N/A:explicit</v>
      </c>
      <c t="str" s="620" r="AC337">
        <f>IF(ISNUMBER(V337),(Q337-V337),NA())</f>
        <v>#N/A:explicit</v>
      </c>
      <c t="str" s="620" r="AD337">
        <f>IF(ISNUMBER(W337),(Q337-W337),NA())</f>
        <v>#N/A:explicit</v>
      </c>
      <c t="str" s="620" r="AE337">
        <f>IF(ISNUMBER(X337),(Q337-X337),NA())</f>
        <v>#N/A:explicit</v>
      </c>
      <c t="str" s="552" r="AF337">
        <f>IF(ISNUMBER(Z337),Z337,"---")</f>
        <v>---</v>
      </c>
      <c s="142" r="AG337"/>
      <c t="str" s="142" r="AH337">
        <f>IF(ISBLANK(L337),NA(),MIN(AF$44:AF$361))</f>
        <v>#N/A:explicit</v>
      </c>
      <c t="str" s="142" r="AI337">
        <f>IF(ISNA(AA337),Z337,AA337)</f>
        <v>#N/A:explicit</v>
      </c>
      <c s="142" r="AJ337">
        <f>MIN(AF$44:AF$361)</f>
        <v>0</v>
      </c>
      <c s="142" r="AK337"/>
      <c t="str" s="142" r="AL337">
        <f>IF(ISNUMBER(AB337),O337,"---")</f>
        <v>---</v>
      </c>
      <c t="str" s="80" r="AM337">
        <f>IF(ISNUMBER(AB337),AB337,"---")</f>
        <v>---</v>
      </c>
      <c s="80" r="AN337"/>
      <c t="str" s="142" r="AO337">
        <f>IF((M337="r"),Z337,NA())</f>
        <v>#N/A:explicit</v>
      </c>
      <c t="str" s="142" r="AP337">
        <f>IF((M337="p"),Z337,NA())</f>
        <v>#N/A:explicit</v>
      </c>
      <c t="str" s="142" r="AQ337">
        <f>IF((M337="n"),Z337,NA())</f>
        <v>#N/A:explicit</v>
      </c>
      <c t="str" s="142" r="AR337">
        <f>IF((M337="g"),Z337,NA())</f>
        <v>#N/A:explicit</v>
      </c>
      <c s="142" r="AS337"/>
      <c t="str" s="142" r="AT337">
        <f>IF((COUNTA($M337:$M$361)=0),"---",IF(AND(($M337="r"),(COUNTA($M338:$M$361)&gt;0)),(MAX(AT$44:AT336)+1),IF(OR(($M336="p"),($M336="n"),($M336="g")),"---",AT336)))</f>
        <v>---</v>
      </c>
      <c t="str" s="142" r="AU337">
        <f>IF((COUNTA($M337:$M$361)=0),"---",IF(AND(($M337="p"),(COUNTA($M338:$M$361)&gt;0)),(MAX(AU$44:AU336)+1),IF(OR(($M336="r"),($M336="n"),($M336="g")),"---",AU336)))</f>
        <v>---</v>
      </c>
      <c t="str" s="142" r="AV337">
        <f>IF((COUNTA($M337:$M$361)=0),"---",IF(AND(($M337="n"),(COUNTA($M338:$M$361)&gt;0)),(MAX(AV$44:AV336)+1),IF(OR(($M336="r"),($M336="p"),($M336="g")),"---",AV336)))</f>
        <v>---</v>
      </c>
      <c t="str" s="142" r="AW337">
        <f>IF((COUNTA($M337:$M$361)=0),"---",IF(AND(($M337="g"),(COUNTA($M338:$M$361)&gt;0)),(MAX(AW$44:AW336)+1),IF(OR(($M336="r"),($M336="p"),($M336="n")),"---",AW336)))</f>
        <v>---</v>
      </c>
      <c s="676" r="AX337">
        <f>IF((M337="p"),(1+MAX(AX$44:AX336)),0)</f>
        <v>0</v>
      </c>
      <c s="51" r="AY337"/>
      <c s="761" r="AZ337"/>
      <c s="761" r="BA337"/>
      <c s="125" r="BB337"/>
      <c s="125" r="BC337"/>
      <c s="125" r="BD337"/>
      <c s="125" r="BE337"/>
      <c s="125" r="BF337"/>
      <c s="125" r="BG337"/>
      <c s="125" r="BH337"/>
      <c s="125" r="BI337"/>
    </row>
    <row r="338">
      <c s="125" r="A338"/>
      <c s="125" r="B338"/>
      <c s="125" r="C338"/>
      <c s="125" r="D338"/>
      <c s="125" r="E338"/>
      <c s="125" r="F338"/>
      <c s="125" r="G338"/>
      <c s="125" r="H338"/>
      <c s="125" r="I338"/>
      <c s="822" r="J338"/>
      <c s="429" r="K338"/>
      <c s="458" r="L338"/>
      <c s="104" r="M338"/>
      <c s="458" r="N338"/>
      <c t="str" s="589" r="O338">
        <f>IF((AH$28=2),IF(ISBLANK(N338),O337,N338),IF(ISNUMBER(N338),(MAX(O$44:O337)+N338),O337))</f>
        <v/>
      </c>
      <c s="228" r="P338"/>
      <c s="273" r="Q338">
        <f>IF(ISNUMBER(P338),((Q337+P338)-R337),Q337)</f>
        <v>100</v>
      </c>
      <c s="228" r="R338"/>
      <c s="610" r="S338"/>
      <c s="458" r="T338"/>
      <c s="458" r="U338"/>
      <c s="458" r="V338"/>
      <c s="458" r="W338"/>
      <c s="458" r="X338"/>
      <c s="458" r="Y338"/>
      <c t="str" s="620" r="Z338">
        <f>IF(ISNUMBER(S338),(Q338-S338),NA())</f>
        <v>#N/A:explicit</v>
      </c>
      <c t="str" s="620" r="AA338">
        <f>IF(ISNUMBER(T338),IF((AH$22=1),(Z338+T338),(Q338-T338)),NA())</f>
        <v>#N/A:explicit</v>
      </c>
      <c t="str" s="620" r="AB338">
        <f>IF(ISNUMBER(U338),(Q338-U338),NA())</f>
        <v>#N/A:explicit</v>
      </c>
      <c t="str" s="620" r="AC338">
        <f>IF(ISNUMBER(V338),(Q338-V338),NA())</f>
        <v>#N/A:explicit</v>
      </c>
      <c t="str" s="620" r="AD338">
        <f>IF(ISNUMBER(W338),(Q338-W338),NA())</f>
        <v>#N/A:explicit</v>
      </c>
      <c t="str" s="620" r="AE338">
        <f>IF(ISNUMBER(X338),(Q338-X338),NA())</f>
        <v>#N/A:explicit</v>
      </c>
      <c t="str" s="552" r="AF338">
        <f>IF(ISNUMBER(Z338),Z338,"---")</f>
        <v>---</v>
      </c>
      <c s="142" r="AG338"/>
      <c t="str" s="142" r="AH338">
        <f>IF(ISBLANK(L338),NA(),MIN(AF$44:AF$361))</f>
        <v>#N/A:explicit</v>
      </c>
      <c t="str" s="142" r="AI338">
        <f>IF(ISNA(AA338),Z338,AA338)</f>
        <v>#N/A:explicit</v>
      </c>
      <c s="142" r="AJ338">
        <f>MIN(AF$44:AF$361)</f>
        <v>0</v>
      </c>
      <c s="142" r="AK338"/>
      <c t="str" s="142" r="AL338">
        <f>IF(ISNUMBER(AB338),O338,"---")</f>
        <v>---</v>
      </c>
      <c t="str" s="80" r="AM338">
        <f>IF(ISNUMBER(AB338),AB338,"---")</f>
        <v>---</v>
      </c>
      <c s="80" r="AN338"/>
      <c t="str" s="142" r="AO338">
        <f>IF((M338="r"),Z338,NA())</f>
        <v>#N/A:explicit</v>
      </c>
      <c t="str" s="142" r="AP338">
        <f>IF((M338="p"),Z338,NA())</f>
        <v>#N/A:explicit</v>
      </c>
      <c t="str" s="142" r="AQ338">
        <f>IF((M338="n"),Z338,NA())</f>
        <v>#N/A:explicit</v>
      </c>
      <c t="str" s="142" r="AR338">
        <f>IF((M338="g"),Z338,NA())</f>
        <v>#N/A:explicit</v>
      </c>
      <c s="142" r="AS338"/>
      <c t="str" s="142" r="AT338">
        <f>IF((COUNTA($M338:$M$361)=0),"---",IF(AND(($M338="r"),(COUNTA($M339:$M$361)&gt;0)),(MAX(AT$44:AT337)+1),IF(OR(($M337="p"),($M337="n"),($M337="g")),"---",AT337)))</f>
        <v>---</v>
      </c>
      <c t="str" s="142" r="AU338">
        <f>IF((COUNTA($M338:$M$361)=0),"---",IF(AND(($M338="p"),(COUNTA($M339:$M$361)&gt;0)),(MAX(AU$44:AU337)+1),IF(OR(($M337="r"),($M337="n"),($M337="g")),"---",AU337)))</f>
        <v>---</v>
      </c>
      <c t="str" s="142" r="AV338">
        <f>IF((COUNTA($M338:$M$361)=0),"---",IF(AND(($M338="n"),(COUNTA($M339:$M$361)&gt;0)),(MAX(AV$44:AV337)+1),IF(OR(($M337="r"),($M337="p"),($M337="g")),"---",AV337)))</f>
        <v>---</v>
      </c>
      <c t="str" s="142" r="AW338">
        <f>IF((COUNTA($M338:$M$361)=0),"---",IF(AND(($M338="g"),(COUNTA($M339:$M$361)&gt;0)),(MAX(AW$44:AW337)+1),IF(OR(($M337="r"),($M337="p"),($M337="n")),"---",AW337)))</f>
        <v>---</v>
      </c>
      <c s="676" r="AX338">
        <f>IF((M338="p"),(1+MAX(AX$44:AX337)),0)</f>
        <v>0</v>
      </c>
      <c s="51" r="AY338"/>
      <c s="761" r="AZ338"/>
      <c s="761" r="BA338"/>
      <c s="125" r="BB338"/>
      <c s="125" r="BC338"/>
      <c s="125" r="BD338"/>
      <c s="125" r="BE338"/>
      <c s="125" r="BF338"/>
      <c s="125" r="BG338"/>
      <c s="125" r="BH338"/>
      <c s="125" r="BI338"/>
    </row>
    <row r="339">
      <c s="125" r="A339"/>
      <c s="125" r="B339"/>
      <c s="125" r="C339"/>
      <c s="125" r="D339"/>
      <c s="125" r="E339"/>
      <c s="125" r="F339"/>
      <c s="125" r="G339"/>
      <c s="125" r="H339"/>
      <c s="125" r="I339"/>
      <c s="822" r="J339"/>
      <c s="848" r="K339"/>
      <c s="550" r="L339"/>
      <c s="104" r="M339"/>
      <c s="550" r="N339"/>
      <c t="str" s="589" r="O339">
        <f>IF((AH$28=2),IF(ISBLANK(N339),O338,N339),IF(ISNUMBER(N339),(MAX(O$44:O338)+N339),O338))</f>
        <v/>
      </c>
      <c s="694" r="P339"/>
      <c s="273" r="Q339">
        <f>IF(ISNUMBER(P339),((Q338+P339)-R338),Q338)</f>
        <v>100</v>
      </c>
      <c s="694" r="R339"/>
      <c s="821" r="S339"/>
      <c s="550" r="T339"/>
      <c s="550" r="U339"/>
      <c s="550" r="V339"/>
      <c s="550" r="W339"/>
      <c s="550" r="X339"/>
      <c s="550" r="Y339"/>
      <c t="str" s="470" r="Z339">
        <f>IF(ISNUMBER(S339),(Q339-S339),NA())</f>
        <v>#N/A:explicit</v>
      </c>
      <c t="str" s="470" r="AA339">
        <f>IF(ISNUMBER(T339),IF((AH$22=1),(Z339+T339),(Q339-T339)),NA())</f>
        <v>#N/A:explicit</v>
      </c>
      <c t="str" s="470" r="AB339">
        <f>IF(ISNUMBER(U339),(Q339-U339),NA())</f>
        <v>#N/A:explicit</v>
      </c>
      <c t="str" s="470" r="AC339">
        <f>IF(ISNUMBER(V339),(Q339-V339),NA())</f>
        <v>#N/A:explicit</v>
      </c>
      <c t="str" s="470" r="AD339">
        <f>IF(ISNUMBER(W339),(Q339-W339),NA())</f>
        <v>#N/A:explicit</v>
      </c>
      <c t="str" s="470" r="AE339">
        <f>IF(ISNUMBER(X339),(Q339-X339),NA())</f>
        <v>#N/A:explicit</v>
      </c>
      <c t="str" s="552" r="AF339">
        <f>IF(ISNUMBER(Z339),Z339,"---")</f>
        <v>---</v>
      </c>
      <c s="142" r="AG339"/>
      <c t="str" s="142" r="AH339">
        <f>IF(ISBLANK(L339),NA(),MIN(AF$44:AF$361))</f>
        <v>#N/A:explicit</v>
      </c>
      <c t="str" s="142" r="AI339">
        <f>IF(ISNA(AA339),Z339,AA339)</f>
        <v>#N/A:explicit</v>
      </c>
      <c s="142" r="AJ339">
        <f>MIN(AF$44:AF$361)</f>
        <v>0</v>
      </c>
      <c s="142" r="AK339"/>
      <c t="str" s="142" r="AL339">
        <f>IF(ISNUMBER(AB339),O339,"---")</f>
        <v>---</v>
      </c>
      <c t="str" s="80" r="AM339">
        <f>IF(ISNUMBER(AB339),AB339,"---")</f>
        <v>---</v>
      </c>
      <c s="80" r="AN339"/>
      <c t="str" s="142" r="AO339">
        <f>IF((M339="r"),Z339,NA())</f>
        <v>#N/A:explicit</v>
      </c>
      <c t="str" s="142" r="AP339">
        <f>IF((M339="p"),Z339,NA())</f>
        <v>#N/A:explicit</v>
      </c>
      <c t="str" s="142" r="AQ339">
        <f>IF((M339="n"),Z339,NA())</f>
        <v>#N/A:explicit</v>
      </c>
      <c t="str" s="142" r="AR339">
        <f>IF((M339="g"),Z339,NA())</f>
        <v>#N/A:explicit</v>
      </c>
      <c s="142" r="AS339"/>
      <c t="str" s="142" r="AT339">
        <f>IF((COUNTA($M339:$M$361)=0),"---",IF(AND(($M339="r"),(COUNTA($M340:$M$361)&gt;0)),(MAX(AT$44:AT338)+1),IF(OR(($M338="p"),($M338="n"),($M338="g")),"---",AT338)))</f>
        <v>---</v>
      </c>
      <c t="str" s="142" r="AU339">
        <f>IF((COUNTA($M339:$M$361)=0),"---",IF(AND(($M339="p"),(COUNTA($M340:$M$361)&gt;0)),(MAX(AU$44:AU338)+1),IF(OR(($M338="r"),($M338="n"),($M338="g")),"---",AU338)))</f>
        <v>---</v>
      </c>
      <c t="str" s="142" r="AV339">
        <f>IF((COUNTA($M339:$M$361)=0),"---",IF(AND(($M339="n"),(COUNTA($M340:$M$361)&gt;0)),(MAX(AV$44:AV338)+1),IF(OR(($M338="r"),($M338="p"),($M338="g")),"---",AV338)))</f>
        <v>---</v>
      </c>
      <c t="str" s="142" r="AW339">
        <f>IF((COUNTA($M339:$M$361)=0),"---",IF(AND(($M339="g"),(COUNTA($M340:$M$361)&gt;0)),(MAX(AW$44:AW338)+1),IF(OR(($M338="r"),($M338="p"),($M338="n")),"---",AW338)))</f>
        <v>---</v>
      </c>
      <c s="676" r="AX339">
        <f>IF((M339="p"),(1+MAX(AX$44:AX338)),0)</f>
        <v>0</v>
      </c>
      <c s="51" r="AY339"/>
      <c s="761" r="AZ339"/>
      <c s="761" r="BA339"/>
      <c s="125" r="BB339"/>
      <c s="125" r="BC339"/>
      <c s="125" r="BD339"/>
      <c s="125" r="BE339"/>
      <c s="125" r="BF339"/>
      <c s="125" r="BG339"/>
      <c s="125" r="BH339"/>
      <c s="125" r="BI339"/>
    </row>
    <row r="340">
      <c s="125" r="A340"/>
      <c s="125" r="B340"/>
      <c s="125" r="C340"/>
      <c s="125" r="D340"/>
      <c s="125" r="E340"/>
      <c s="125" r="F340"/>
      <c s="125" r="G340"/>
      <c s="125" r="H340"/>
      <c s="125" r="I340"/>
      <c s="822" r="J340"/>
      <c s="848" r="K340"/>
      <c s="550" r="L340"/>
      <c s="104" r="M340"/>
      <c s="550" r="N340"/>
      <c t="str" s="589" r="O340">
        <f>IF((AH$28=2),IF(ISBLANK(N340),O339,N340),IF(ISNUMBER(N340),(MAX(O$44:O339)+N340),O339))</f>
        <v/>
      </c>
      <c s="694" r="P340"/>
      <c s="273" r="Q340">
        <f>IF(ISNUMBER(P340),((Q339+P340)-R339),Q339)</f>
        <v>100</v>
      </c>
      <c s="694" r="R340"/>
      <c s="821" r="S340"/>
      <c s="550" r="T340"/>
      <c s="550" r="U340"/>
      <c s="550" r="V340"/>
      <c s="550" r="W340"/>
      <c s="550" r="X340"/>
      <c s="550" r="Y340"/>
      <c t="str" s="470" r="Z340">
        <f>IF(ISNUMBER(S340),(Q340-S340),NA())</f>
        <v>#N/A:explicit</v>
      </c>
      <c t="str" s="470" r="AA340">
        <f>IF(ISNUMBER(T340),IF((AH$22=1),(Z340+T340),(Q340-T340)),NA())</f>
        <v>#N/A:explicit</v>
      </c>
      <c t="str" s="470" r="AB340">
        <f>IF(ISNUMBER(U340),(Q340-U340),NA())</f>
        <v>#N/A:explicit</v>
      </c>
      <c t="str" s="470" r="AC340">
        <f>IF(ISNUMBER(V340),(Q340-V340),NA())</f>
        <v>#N/A:explicit</v>
      </c>
      <c t="str" s="470" r="AD340">
        <f>IF(ISNUMBER(W340),(Q340-W340),NA())</f>
        <v>#N/A:explicit</v>
      </c>
      <c t="str" s="470" r="AE340">
        <f>IF(ISNUMBER(X340),(Q340-X340),NA())</f>
        <v>#N/A:explicit</v>
      </c>
      <c t="str" s="552" r="AF340">
        <f>IF(ISNUMBER(Z340),Z340,"---")</f>
        <v>---</v>
      </c>
      <c s="142" r="AG340"/>
      <c t="str" s="142" r="AH340">
        <f>IF(ISBLANK(L340),NA(),MIN(AF$44:AF$361))</f>
        <v>#N/A:explicit</v>
      </c>
      <c t="str" s="142" r="AI340">
        <f>IF(ISNA(AA340),Z340,AA340)</f>
        <v>#N/A:explicit</v>
      </c>
      <c s="142" r="AJ340">
        <f>MIN(AF$44:AF$361)</f>
        <v>0</v>
      </c>
      <c s="142" r="AK340"/>
      <c t="str" s="142" r="AL340">
        <f>IF(ISNUMBER(AB340),O340,"---")</f>
        <v>---</v>
      </c>
      <c t="str" s="80" r="AM340">
        <f>IF(ISNUMBER(AB340),AB340,"---")</f>
        <v>---</v>
      </c>
      <c s="80" r="AN340"/>
      <c t="str" s="142" r="AO340">
        <f>IF((M340="r"),Z340,NA())</f>
        <v>#N/A:explicit</v>
      </c>
      <c t="str" s="142" r="AP340">
        <f>IF((M340="p"),Z340,NA())</f>
        <v>#N/A:explicit</v>
      </c>
      <c t="str" s="142" r="AQ340">
        <f>IF((M340="n"),Z340,NA())</f>
        <v>#N/A:explicit</v>
      </c>
      <c t="str" s="142" r="AR340">
        <f>IF((M340="g"),Z340,NA())</f>
        <v>#N/A:explicit</v>
      </c>
      <c s="142" r="AS340"/>
      <c t="str" s="142" r="AT340">
        <f>IF((COUNTA($M340:$M$361)=0),"---",IF(AND(($M340="r"),(COUNTA($M341:$M$361)&gt;0)),(MAX(AT$44:AT339)+1),IF(OR(($M339="p"),($M339="n"),($M339="g")),"---",AT339)))</f>
        <v>---</v>
      </c>
      <c t="str" s="142" r="AU340">
        <f>IF((COUNTA($M340:$M$361)=0),"---",IF(AND(($M340="p"),(COUNTA($M341:$M$361)&gt;0)),(MAX(AU$44:AU339)+1),IF(OR(($M339="r"),($M339="n"),($M339="g")),"---",AU339)))</f>
        <v>---</v>
      </c>
      <c t="str" s="142" r="AV340">
        <f>IF((COUNTA($M340:$M$361)=0),"---",IF(AND(($M340="n"),(COUNTA($M341:$M$361)&gt;0)),(MAX(AV$44:AV339)+1),IF(OR(($M339="r"),($M339="p"),($M339="g")),"---",AV339)))</f>
        <v>---</v>
      </c>
      <c t="str" s="142" r="AW340">
        <f>IF((COUNTA($M340:$M$361)=0),"---",IF(AND(($M340="g"),(COUNTA($M341:$M$361)&gt;0)),(MAX(AW$44:AW339)+1),IF(OR(($M339="r"),($M339="p"),($M339="n")),"---",AW339)))</f>
        <v>---</v>
      </c>
      <c s="676" r="AX340">
        <f>IF((M340="p"),(1+MAX(AX$44:AX339)),0)</f>
        <v>0</v>
      </c>
      <c s="51" r="AY340"/>
      <c s="761" r="AZ340"/>
      <c s="761" r="BA340"/>
      <c s="125" r="BB340"/>
      <c s="125" r="BC340"/>
      <c s="125" r="BD340"/>
      <c s="125" r="BE340"/>
      <c s="125" r="BF340"/>
      <c s="125" r="BG340"/>
      <c s="125" r="BH340"/>
      <c s="125" r="BI340"/>
    </row>
    <row r="341">
      <c s="125" r="A341"/>
      <c s="125" r="B341"/>
      <c s="125" r="C341"/>
      <c s="125" r="D341"/>
      <c s="125" r="E341"/>
      <c s="125" r="F341"/>
      <c s="125" r="G341"/>
      <c s="125" r="H341"/>
      <c s="125" r="I341"/>
      <c s="822" r="J341"/>
      <c s="848" r="K341"/>
      <c s="550" r="L341"/>
      <c s="104" r="M341"/>
      <c s="550" r="N341"/>
      <c t="str" s="589" r="O341">
        <f>IF((AH$28=2),IF(ISBLANK(N341),O340,N341),IF(ISNUMBER(N341),(MAX(O$44:O340)+N341),O340))</f>
        <v/>
      </c>
      <c s="694" r="P341"/>
      <c s="273" r="Q341">
        <f>IF(ISNUMBER(P341),((Q340+P341)-R340),Q340)</f>
        <v>100</v>
      </c>
      <c s="694" r="R341"/>
      <c s="821" r="S341"/>
      <c s="550" r="T341"/>
      <c s="550" r="U341"/>
      <c s="550" r="V341"/>
      <c s="550" r="W341"/>
      <c s="550" r="X341"/>
      <c s="550" r="Y341"/>
      <c t="str" s="470" r="Z341">
        <f>IF(ISNUMBER(S341),(Q341-S341),NA())</f>
        <v>#N/A:explicit</v>
      </c>
      <c t="str" s="470" r="AA341">
        <f>IF(ISNUMBER(T341),IF((AH$22=1),(Z341+T341),(Q341-T341)),NA())</f>
        <v>#N/A:explicit</v>
      </c>
      <c t="str" s="470" r="AB341">
        <f>IF(ISNUMBER(U341),(Q341-U341),NA())</f>
        <v>#N/A:explicit</v>
      </c>
      <c t="str" s="470" r="AC341">
        <f>IF(ISNUMBER(V341),(Q341-V341),NA())</f>
        <v>#N/A:explicit</v>
      </c>
      <c t="str" s="470" r="AD341">
        <f>IF(ISNUMBER(W341),(Q341-W341),NA())</f>
        <v>#N/A:explicit</v>
      </c>
      <c t="str" s="470" r="AE341">
        <f>IF(ISNUMBER(X341),(Q341-X341),NA())</f>
        <v>#N/A:explicit</v>
      </c>
      <c t="str" s="552" r="AF341">
        <f>IF(ISNUMBER(Z341),Z341,"---")</f>
        <v>---</v>
      </c>
      <c s="142" r="AG341"/>
      <c t="str" s="142" r="AH341">
        <f>IF(ISBLANK(L341),NA(),MIN(AF$44:AF$361))</f>
        <v>#N/A:explicit</v>
      </c>
      <c t="str" s="142" r="AI341">
        <f>IF(ISNA(AA341),Z341,AA341)</f>
        <v>#N/A:explicit</v>
      </c>
      <c s="142" r="AJ341">
        <f>MIN(AF$44:AF$361)</f>
        <v>0</v>
      </c>
      <c s="142" r="AK341"/>
      <c t="str" s="142" r="AL341">
        <f>IF(ISNUMBER(AB341),O341,"---")</f>
        <v>---</v>
      </c>
      <c t="str" s="80" r="AM341">
        <f>IF(ISNUMBER(AB341),AB341,"---")</f>
        <v>---</v>
      </c>
      <c s="80" r="AN341"/>
      <c t="str" s="142" r="AO341">
        <f>IF((M341="r"),Z341,NA())</f>
        <v>#N/A:explicit</v>
      </c>
      <c t="str" s="142" r="AP341">
        <f>IF((M341="p"),Z341,NA())</f>
        <v>#N/A:explicit</v>
      </c>
      <c t="str" s="142" r="AQ341">
        <f>IF((M341="n"),Z341,NA())</f>
        <v>#N/A:explicit</v>
      </c>
      <c t="str" s="142" r="AR341">
        <f>IF((M341="g"),Z341,NA())</f>
        <v>#N/A:explicit</v>
      </c>
      <c s="142" r="AS341"/>
      <c t="str" s="142" r="AT341">
        <f>IF((COUNTA($M341:$M$361)=0),"---",IF(AND(($M341="r"),(COUNTA($M342:$M$361)&gt;0)),(MAX(AT$44:AT340)+1),IF(OR(($M340="p"),($M340="n"),($M340="g")),"---",AT340)))</f>
        <v>---</v>
      </c>
      <c t="str" s="142" r="AU341">
        <f>IF((COUNTA($M341:$M$361)=0),"---",IF(AND(($M341="p"),(COUNTA($M342:$M$361)&gt;0)),(MAX(AU$44:AU340)+1),IF(OR(($M340="r"),($M340="n"),($M340="g")),"---",AU340)))</f>
        <v>---</v>
      </c>
      <c t="str" s="142" r="AV341">
        <f>IF((COUNTA($M341:$M$361)=0),"---",IF(AND(($M341="n"),(COUNTA($M342:$M$361)&gt;0)),(MAX(AV$44:AV340)+1),IF(OR(($M340="r"),($M340="p"),($M340="g")),"---",AV340)))</f>
        <v>---</v>
      </c>
      <c t="str" s="142" r="AW341">
        <f>IF((COUNTA($M341:$M$361)=0),"---",IF(AND(($M341="g"),(COUNTA($M342:$M$361)&gt;0)),(MAX(AW$44:AW340)+1),IF(OR(($M340="r"),($M340="p"),($M340="n")),"---",AW340)))</f>
        <v>---</v>
      </c>
      <c s="676" r="AX341">
        <f>IF((M341="p"),(1+MAX(AX$44:AX340)),0)</f>
        <v>0</v>
      </c>
      <c s="51" r="AY341"/>
      <c s="761" r="AZ341"/>
      <c s="761" r="BA341"/>
      <c s="125" r="BB341"/>
      <c s="125" r="BC341"/>
      <c s="125" r="BD341"/>
      <c s="125" r="BE341"/>
      <c s="125" r="BF341"/>
      <c s="125" r="BG341"/>
      <c s="125" r="BH341"/>
      <c s="125" r="BI341"/>
    </row>
    <row r="342">
      <c s="125" r="A342"/>
      <c s="125" r="B342"/>
      <c s="125" r="C342"/>
      <c s="125" r="D342"/>
      <c s="125" r="E342"/>
      <c s="125" r="F342"/>
      <c s="125" r="G342"/>
      <c s="125" r="H342"/>
      <c s="125" r="I342"/>
      <c s="822" r="J342"/>
      <c s="429" r="K342"/>
      <c s="458" r="L342"/>
      <c s="104" r="M342"/>
      <c s="458" r="N342"/>
      <c t="str" s="589" r="O342">
        <f>IF((AH$28=2),IF(ISBLANK(N342),O341,N342),IF(ISNUMBER(N342),(MAX(O$44:O341)+N342),O341))</f>
        <v/>
      </c>
      <c s="228" r="P342"/>
      <c s="273" r="Q342">
        <f>IF(ISNUMBER(P342),((Q341+P342)-R341),Q341)</f>
        <v>100</v>
      </c>
      <c s="228" r="R342"/>
      <c s="610" r="S342"/>
      <c s="458" r="T342"/>
      <c s="458" r="U342"/>
      <c s="458" r="V342"/>
      <c s="458" r="W342"/>
      <c s="458" r="X342"/>
      <c s="458" r="Y342"/>
      <c t="str" s="620" r="Z342">
        <f>IF(ISNUMBER(S342),(Q342-S342),NA())</f>
        <v>#N/A:explicit</v>
      </c>
      <c t="str" s="620" r="AA342">
        <f>IF(ISNUMBER(T342),IF((AH$22=1),(Z342+T342),(Q342-T342)),NA())</f>
        <v>#N/A:explicit</v>
      </c>
      <c t="str" s="620" r="AB342">
        <f>IF(ISNUMBER(U342),(Q342-U342),NA())</f>
        <v>#N/A:explicit</v>
      </c>
      <c t="str" s="620" r="AC342">
        <f>IF(ISNUMBER(V342),(Q342-V342),NA())</f>
        <v>#N/A:explicit</v>
      </c>
      <c t="str" s="620" r="AD342">
        <f>IF(ISNUMBER(W342),(Q342-W342),NA())</f>
        <v>#N/A:explicit</v>
      </c>
      <c t="str" s="620" r="AE342">
        <f>IF(ISNUMBER(X342),(Q342-X342),NA())</f>
        <v>#N/A:explicit</v>
      </c>
      <c t="str" s="552" r="AF342">
        <f>IF(ISNUMBER(Z342),Z342,"---")</f>
        <v>---</v>
      </c>
      <c s="142" r="AG342"/>
      <c t="str" s="142" r="AH342">
        <f>IF(ISBLANK(L342),NA(),MIN(AF$44:AF$361))</f>
        <v>#N/A:explicit</v>
      </c>
      <c t="str" s="142" r="AI342">
        <f>IF(ISNA(AA342),Z342,AA342)</f>
        <v>#N/A:explicit</v>
      </c>
      <c s="142" r="AJ342">
        <f>MIN(AF$44:AF$361)</f>
        <v>0</v>
      </c>
      <c s="142" r="AK342"/>
      <c t="str" s="142" r="AL342">
        <f>IF(ISNUMBER(AB342),O342,"---")</f>
        <v>---</v>
      </c>
      <c t="str" s="80" r="AM342">
        <f>IF(ISNUMBER(AB342),AB342,"---")</f>
        <v>---</v>
      </c>
      <c s="80" r="AN342"/>
      <c t="str" s="142" r="AO342">
        <f>IF((M342="r"),Z342,NA())</f>
        <v>#N/A:explicit</v>
      </c>
      <c t="str" s="142" r="AP342">
        <f>IF((M342="p"),Z342,NA())</f>
        <v>#N/A:explicit</v>
      </c>
      <c t="str" s="142" r="AQ342">
        <f>IF((M342="n"),Z342,NA())</f>
        <v>#N/A:explicit</v>
      </c>
      <c t="str" s="142" r="AR342">
        <f>IF((M342="g"),Z342,NA())</f>
        <v>#N/A:explicit</v>
      </c>
      <c s="142" r="AS342"/>
      <c t="str" s="142" r="AT342">
        <f>IF((COUNTA($M342:$M$361)=0),"---",IF(AND(($M342="r"),(COUNTA($M343:$M$361)&gt;0)),(MAX(AT$44:AT341)+1),IF(OR(($M341="p"),($M341="n"),($M341="g")),"---",AT341)))</f>
        <v>---</v>
      </c>
      <c t="str" s="142" r="AU342">
        <f>IF((COUNTA($M342:$M$361)=0),"---",IF(AND(($M342="p"),(COUNTA($M343:$M$361)&gt;0)),(MAX(AU$44:AU341)+1),IF(OR(($M341="r"),($M341="n"),($M341="g")),"---",AU341)))</f>
        <v>---</v>
      </c>
      <c t="str" s="142" r="AV342">
        <f>IF((COUNTA($M342:$M$361)=0),"---",IF(AND(($M342="n"),(COUNTA($M343:$M$361)&gt;0)),(MAX(AV$44:AV341)+1),IF(OR(($M341="r"),($M341="p"),($M341="g")),"---",AV341)))</f>
        <v>---</v>
      </c>
      <c t="str" s="142" r="AW342">
        <f>IF((COUNTA($M342:$M$361)=0),"---",IF(AND(($M342="g"),(COUNTA($M343:$M$361)&gt;0)),(MAX(AW$44:AW341)+1),IF(OR(($M341="r"),($M341="p"),($M341="n")),"---",AW341)))</f>
        <v>---</v>
      </c>
      <c s="676" r="AX342">
        <f>IF((M342="p"),(1+MAX(AX$44:AX341)),0)</f>
        <v>0</v>
      </c>
      <c s="51" r="AY342"/>
      <c s="761" r="AZ342"/>
      <c s="761" r="BA342"/>
      <c s="125" r="BB342"/>
      <c s="125" r="BC342"/>
      <c s="125" r="BD342"/>
      <c s="125" r="BE342"/>
      <c s="125" r="BF342"/>
      <c s="125" r="BG342"/>
      <c s="125" r="BH342"/>
      <c s="125" r="BI342"/>
    </row>
    <row r="343">
      <c s="125" r="A343"/>
      <c s="125" r="B343"/>
      <c s="125" r="C343"/>
      <c s="125" r="D343"/>
      <c s="125" r="E343"/>
      <c s="125" r="F343"/>
      <c s="125" r="G343"/>
      <c s="125" r="H343"/>
      <c s="125" r="I343"/>
      <c s="822" r="J343"/>
      <c s="429" r="K343"/>
      <c s="458" r="L343"/>
      <c s="104" r="M343"/>
      <c s="458" r="N343"/>
      <c t="str" s="589" r="O343">
        <f>IF((AH$28=2),IF(ISBLANK(N343),O342,N343),IF(ISNUMBER(N343),(MAX(O$44:O342)+N343),O342))</f>
        <v/>
      </c>
      <c s="228" r="P343"/>
      <c s="273" r="Q343">
        <f>IF(ISNUMBER(P343),((Q342+P343)-R342),Q342)</f>
        <v>100</v>
      </c>
      <c s="228" r="R343"/>
      <c s="610" r="S343"/>
      <c s="458" r="T343"/>
      <c s="458" r="U343"/>
      <c s="458" r="V343"/>
      <c s="458" r="W343"/>
      <c s="458" r="X343"/>
      <c s="458" r="Y343"/>
      <c t="str" s="620" r="Z343">
        <f>IF(ISNUMBER(S343),(Q343-S343),NA())</f>
        <v>#N/A:explicit</v>
      </c>
      <c t="str" s="620" r="AA343">
        <f>IF(ISNUMBER(T343),IF((AH$22=1),(Z343+T343),(Q343-T343)),NA())</f>
        <v>#N/A:explicit</v>
      </c>
      <c t="str" s="620" r="AB343">
        <f>IF(ISNUMBER(U343),(Q343-U343),NA())</f>
        <v>#N/A:explicit</v>
      </c>
      <c t="str" s="620" r="AC343">
        <f>IF(ISNUMBER(V343),(Q343-V343),NA())</f>
        <v>#N/A:explicit</v>
      </c>
      <c t="str" s="620" r="AD343">
        <f>IF(ISNUMBER(W343),(Q343-W343),NA())</f>
        <v>#N/A:explicit</v>
      </c>
      <c t="str" s="620" r="AE343">
        <f>IF(ISNUMBER(X343),(Q343-X343),NA())</f>
        <v>#N/A:explicit</v>
      </c>
      <c t="str" s="552" r="AF343">
        <f>IF(ISNUMBER(Z343),Z343,"---")</f>
        <v>---</v>
      </c>
      <c s="142" r="AG343"/>
      <c t="str" s="142" r="AH343">
        <f>IF(ISBLANK(L343),NA(),MIN(AF$44:AF$361))</f>
        <v>#N/A:explicit</v>
      </c>
      <c t="str" s="142" r="AI343">
        <f>IF(ISNA(AA343),Z343,AA343)</f>
        <v>#N/A:explicit</v>
      </c>
      <c s="142" r="AJ343">
        <f>MIN(AF$44:AF$361)</f>
        <v>0</v>
      </c>
      <c s="142" r="AK343"/>
      <c t="str" s="142" r="AL343">
        <f>IF(ISNUMBER(AB343),O343,"---")</f>
        <v>---</v>
      </c>
      <c t="str" s="80" r="AM343">
        <f>IF(ISNUMBER(AB343),AB343,"---")</f>
        <v>---</v>
      </c>
      <c s="80" r="AN343"/>
      <c t="str" s="142" r="AO343">
        <f>IF((M343="r"),Z343,NA())</f>
        <v>#N/A:explicit</v>
      </c>
      <c t="str" s="142" r="AP343">
        <f>IF((M343="p"),Z343,NA())</f>
        <v>#N/A:explicit</v>
      </c>
      <c t="str" s="142" r="AQ343">
        <f>IF((M343="n"),Z343,NA())</f>
        <v>#N/A:explicit</v>
      </c>
      <c t="str" s="142" r="AR343">
        <f>IF((M343="g"),Z343,NA())</f>
        <v>#N/A:explicit</v>
      </c>
      <c s="142" r="AS343"/>
      <c t="str" s="142" r="AT343">
        <f>IF((COUNTA($M343:$M$361)=0),"---",IF(AND(($M343="r"),(COUNTA($M344:$M$361)&gt;0)),(MAX(AT$44:AT342)+1),IF(OR(($M342="p"),($M342="n"),($M342="g")),"---",AT342)))</f>
        <v>---</v>
      </c>
      <c t="str" s="142" r="AU343">
        <f>IF((COUNTA($M343:$M$361)=0),"---",IF(AND(($M343="p"),(COUNTA($M344:$M$361)&gt;0)),(MAX(AU$44:AU342)+1),IF(OR(($M342="r"),($M342="n"),($M342="g")),"---",AU342)))</f>
        <v>---</v>
      </c>
      <c t="str" s="142" r="AV343">
        <f>IF((COUNTA($M343:$M$361)=0),"---",IF(AND(($M343="n"),(COUNTA($M344:$M$361)&gt;0)),(MAX(AV$44:AV342)+1),IF(OR(($M342="r"),($M342="p"),($M342="g")),"---",AV342)))</f>
        <v>---</v>
      </c>
      <c t="str" s="142" r="AW343">
        <f>IF((COUNTA($M343:$M$361)=0),"---",IF(AND(($M343="g"),(COUNTA($M344:$M$361)&gt;0)),(MAX(AW$44:AW342)+1),IF(OR(($M342="r"),($M342="p"),($M342="n")),"---",AW342)))</f>
        <v>---</v>
      </c>
      <c s="676" r="AX343">
        <f>IF((M343="p"),(1+MAX(AX$44:AX342)),0)</f>
        <v>0</v>
      </c>
      <c s="51" r="AY343"/>
      <c s="761" r="AZ343"/>
      <c s="761" r="BA343"/>
      <c s="125" r="BB343"/>
      <c s="125" r="BC343"/>
      <c s="125" r="BD343"/>
      <c s="125" r="BE343"/>
      <c s="125" r="BF343"/>
      <c s="125" r="BG343"/>
      <c s="125" r="BH343"/>
      <c s="125" r="BI343"/>
    </row>
    <row r="344">
      <c s="125" r="A344"/>
      <c s="125" r="B344"/>
      <c s="125" r="C344"/>
      <c s="125" r="D344"/>
      <c s="125" r="E344"/>
      <c s="125" r="F344"/>
      <c s="125" r="G344"/>
      <c s="125" r="H344"/>
      <c s="125" r="I344"/>
      <c s="822" r="J344"/>
      <c s="429" r="K344"/>
      <c s="458" r="L344"/>
      <c s="104" r="M344"/>
      <c s="458" r="N344"/>
      <c t="str" s="589" r="O344">
        <f>IF((AH$28=2),IF(ISBLANK(N344),O343,N344),IF(ISNUMBER(N344),(MAX(O$44:O343)+N344),O343))</f>
        <v/>
      </c>
      <c s="228" r="P344"/>
      <c s="273" r="Q344">
        <f>IF(ISNUMBER(P344),((Q343+P344)-R343),Q343)</f>
        <v>100</v>
      </c>
      <c s="228" r="R344"/>
      <c s="610" r="S344"/>
      <c s="458" r="T344"/>
      <c s="458" r="U344"/>
      <c s="458" r="V344"/>
      <c s="458" r="W344"/>
      <c s="458" r="X344"/>
      <c s="458" r="Y344"/>
      <c t="str" s="620" r="Z344">
        <f>IF(ISNUMBER(S344),(Q344-S344),NA())</f>
        <v>#N/A:explicit</v>
      </c>
      <c t="str" s="620" r="AA344">
        <f>IF(ISNUMBER(T344),IF((AH$22=1),(Z344+T344),(Q344-T344)),NA())</f>
        <v>#N/A:explicit</v>
      </c>
      <c t="str" s="620" r="AB344">
        <f>IF(ISNUMBER(U344),(Q344-U344),NA())</f>
        <v>#N/A:explicit</v>
      </c>
      <c t="str" s="620" r="AC344">
        <f>IF(ISNUMBER(V344),(Q344-V344),NA())</f>
        <v>#N/A:explicit</v>
      </c>
      <c t="str" s="620" r="AD344">
        <f>IF(ISNUMBER(W344),(Q344-W344),NA())</f>
        <v>#N/A:explicit</v>
      </c>
      <c t="str" s="620" r="AE344">
        <f>IF(ISNUMBER(X344),(Q344-X344),NA())</f>
        <v>#N/A:explicit</v>
      </c>
      <c t="str" s="552" r="AF344">
        <f>IF(ISNUMBER(Z344),Z344,"---")</f>
        <v>---</v>
      </c>
      <c s="142" r="AG344"/>
      <c t="str" s="142" r="AH344">
        <f>IF(ISBLANK(L344),NA(),MIN(AF$44:AF$361))</f>
        <v>#N/A:explicit</v>
      </c>
      <c t="str" s="142" r="AI344">
        <f>IF(ISNA(AA344),Z344,AA344)</f>
        <v>#N/A:explicit</v>
      </c>
      <c s="142" r="AJ344">
        <f>MIN(AF$44:AF$361)</f>
        <v>0</v>
      </c>
      <c s="142" r="AK344"/>
      <c t="str" s="142" r="AL344">
        <f>IF(ISNUMBER(AB344),O344,"---")</f>
        <v>---</v>
      </c>
      <c t="str" s="80" r="AM344">
        <f>IF(ISNUMBER(AB344),AB344,"---")</f>
        <v>---</v>
      </c>
      <c s="80" r="AN344"/>
      <c t="str" s="142" r="AO344">
        <f>IF((M344="r"),Z344,NA())</f>
        <v>#N/A:explicit</v>
      </c>
      <c t="str" s="142" r="AP344">
        <f>IF((M344="p"),Z344,NA())</f>
        <v>#N/A:explicit</v>
      </c>
      <c t="str" s="142" r="AQ344">
        <f>IF((M344="n"),Z344,NA())</f>
        <v>#N/A:explicit</v>
      </c>
      <c t="str" s="142" r="AR344">
        <f>IF((M344="g"),Z344,NA())</f>
        <v>#N/A:explicit</v>
      </c>
      <c s="142" r="AS344"/>
      <c t="str" s="142" r="AT344">
        <f>IF((COUNTA($M344:$M$361)=0),"---",IF(AND(($M344="r"),(COUNTA($M345:$M$361)&gt;0)),(MAX(AT$44:AT343)+1),IF(OR(($M343="p"),($M343="n"),($M343="g")),"---",AT343)))</f>
        <v>---</v>
      </c>
      <c t="str" s="142" r="AU344">
        <f>IF((COUNTA($M344:$M$361)=0),"---",IF(AND(($M344="p"),(COUNTA($M345:$M$361)&gt;0)),(MAX(AU$44:AU343)+1),IF(OR(($M343="r"),($M343="n"),($M343="g")),"---",AU343)))</f>
        <v>---</v>
      </c>
      <c t="str" s="142" r="AV344">
        <f>IF((COUNTA($M344:$M$361)=0),"---",IF(AND(($M344="n"),(COUNTA($M345:$M$361)&gt;0)),(MAX(AV$44:AV343)+1),IF(OR(($M343="r"),($M343="p"),($M343="g")),"---",AV343)))</f>
        <v>---</v>
      </c>
      <c t="str" s="142" r="AW344">
        <f>IF((COUNTA($M344:$M$361)=0),"---",IF(AND(($M344="g"),(COUNTA($M345:$M$361)&gt;0)),(MAX(AW$44:AW343)+1),IF(OR(($M343="r"),($M343="p"),($M343="n")),"---",AW343)))</f>
        <v>---</v>
      </c>
      <c s="676" r="AX344">
        <f>IF((M344="p"),(1+MAX(AX$44:AX343)),0)</f>
        <v>0</v>
      </c>
      <c s="51" r="AY344"/>
      <c s="761" r="AZ344"/>
      <c s="761" r="BA344"/>
      <c s="125" r="BB344"/>
      <c s="125" r="BC344"/>
      <c s="125" r="BD344"/>
      <c s="125" r="BE344"/>
      <c s="125" r="BF344"/>
      <c s="125" r="BG344"/>
      <c s="125" r="BH344"/>
      <c s="125" r="BI344"/>
    </row>
    <row r="345">
      <c s="125" r="A345"/>
      <c s="125" r="B345"/>
      <c s="125" r="C345"/>
      <c s="125" r="D345"/>
      <c s="125" r="E345"/>
      <c s="125" r="F345"/>
      <c s="125" r="G345"/>
      <c s="125" r="H345"/>
      <c s="125" r="I345"/>
      <c s="822" r="J345"/>
      <c s="848" r="K345"/>
      <c s="550" r="L345"/>
      <c s="104" r="M345"/>
      <c s="550" r="N345"/>
      <c t="str" s="589" r="O345">
        <f>IF((AH$28=2),IF(ISBLANK(N345),O344,N345),IF(ISNUMBER(N345),(MAX(O$44:O344)+N345),O344))</f>
        <v/>
      </c>
      <c s="694" r="P345"/>
      <c s="273" r="Q345">
        <f>IF(ISNUMBER(P345),((Q344+P345)-R344),Q344)</f>
        <v>100</v>
      </c>
      <c s="694" r="R345"/>
      <c s="821" r="S345"/>
      <c s="550" r="T345"/>
      <c s="550" r="U345"/>
      <c s="550" r="V345"/>
      <c s="550" r="W345"/>
      <c s="550" r="X345"/>
      <c s="550" r="Y345"/>
      <c t="str" s="470" r="Z345">
        <f>IF(ISNUMBER(S345),(Q345-S345),NA())</f>
        <v>#N/A:explicit</v>
      </c>
      <c t="str" s="470" r="AA345">
        <f>IF(ISNUMBER(T345),IF((AH$22=1),(Z345+T345),(Q345-T345)),NA())</f>
        <v>#N/A:explicit</v>
      </c>
      <c t="str" s="470" r="AB345">
        <f>IF(ISNUMBER(U345),(Q345-U345),NA())</f>
        <v>#N/A:explicit</v>
      </c>
      <c t="str" s="470" r="AC345">
        <f>IF(ISNUMBER(V345),(Q345-V345),NA())</f>
        <v>#N/A:explicit</v>
      </c>
      <c t="str" s="470" r="AD345">
        <f>IF(ISNUMBER(W345),(Q345-W345),NA())</f>
        <v>#N/A:explicit</v>
      </c>
      <c t="str" s="470" r="AE345">
        <f>IF(ISNUMBER(X345),(Q345-X345),NA())</f>
        <v>#N/A:explicit</v>
      </c>
      <c t="str" s="552" r="AF345">
        <f>IF(ISNUMBER(Z345),Z345,"---")</f>
        <v>---</v>
      </c>
      <c s="142" r="AG345"/>
      <c t="str" s="142" r="AH345">
        <f>IF(ISBLANK(L345),NA(),MIN(AF$44:AF$361))</f>
        <v>#N/A:explicit</v>
      </c>
      <c t="str" s="142" r="AI345">
        <f>IF(ISNA(AA345),Z345,AA345)</f>
        <v>#N/A:explicit</v>
      </c>
      <c s="142" r="AJ345">
        <f>MIN(AF$44:AF$361)</f>
        <v>0</v>
      </c>
      <c s="142" r="AK345"/>
      <c t="str" s="142" r="AL345">
        <f>IF(ISNUMBER(AB345),O345,"---")</f>
        <v>---</v>
      </c>
      <c t="str" s="80" r="AM345">
        <f>IF(ISNUMBER(AB345),AB345,"---")</f>
        <v>---</v>
      </c>
      <c s="80" r="AN345"/>
      <c t="str" s="142" r="AO345">
        <f>IF((M345="r"),Z345,NA())</f>
        <v>#N/A:explicit</v>
      </c>
      <c t="str" s="142" r="AP345">
        <f>IF((M345="p"),Z345,NA())</f>
        <v>#N/A:explicit</v>
      </c>
      <c t="str" s="142" r="AQ345">
        <f>IF((M345="n"),Z345,NA())</f>
        <v>#N/A:explicit</v>
      </c>
      <c t="str" s="142" r="AR345">
        <f>IF((M345="g"),Z345,NA())</f>
        <v>#N/A:explicit</v>
      </c>
      <c s="142" r="AS345"/>
      <c t="str" s="142" r="AT345">
        <f>IF((COUNTA($M345:$M$361)=0),"---",IF(AND(($M345="r"),(COUNTA($M346:$M$361)&gt;0)),(MAX(AT$44:AT344)+1),IF(OR(($M344="p"),($M344="n"),($M344="g")),"---",AT344)))</f>
        <v>---</v>
      </c>
      <c t="str" s="142" r="AU345">
        <f>IF((COUNTA($M345:$M$361)=0),"---",IF(AND(($M345="p"),(COUNTA($M346:$M$361)&gt;0)),(MAX(AU$44:AU344)+1),IF(OR(($M344="r"),($M344="n"),($M344="g")),"---",AU344)))</f>
        <v>---</v>
      </c>
      <c t="str" s="142" r="AV345">
        <f>IF((COUNTA($M345:$M$361)=0),"---",IF(AND(($M345="n"),(COUNTA($M346:$M$361)&gt;0)),(MAX(AV$44:AV344)+1),IF(OR(($M344="r"),($M344="p"),($M344="g")),"---",AV344)))</f>
        <v>---</v>
      </c>
      <c t="str" s="142" r="AW345">
        <f>IF((COUNTA($M345:$M$361)=0),"---",IF(AND(($M345="g"),(COUNTA($M346:$M$361)&gt;0)),(MAX(AW$44:AW344)+1),IF(OR(($M344="r"),($M344="p"),($M344="n")),"---",AW344)))</f>
        <v>---</v>
      </c>
      <c s="676" r="AX345">
        <f>IF((M345="p"),(1+MAX(AX$44:AX344)),0)</f>
        <v>0</v>
      </c>
      <c s="51" r="AY345"/>
      <c s="761" r="AZ345"/>
      <c s="761" r="BA345"/>
      <c s="125" r="BB345"/>
      <c s="125" r="BC345"/>
      <c s="125" r="BD345"/>
      <c s="125" r="BE345"/>
      <c s="125" r="BF345"/>
      <c s="125" r="BG345"/>
      <c s="125" r="BH345"/>
      <c s="125" r="BI345"/>
    </row>
    <row r="346">
      <c s="125" r="A346"/>
      <c s="125" r="B346"/>
      <c s="125" r="C346"/>
      <c s="125" r="D346"/>
      <c s="125" r="E346"/>
      <c s="125" r="F346"/>
      <c s="125" r="G346"/>
      <c s="125" r="H346"/>
      <c s="125" r="I346"/>
      <c s="822" r="J346"/>
      <c s="848" r="K346"/>
      <c s="550" r="L346"/>
      <c s="104" r="M346"/>
      <c s="550" r="N346"/>
      <c t="str" s="589" r="O346">
        <f>IF((AH$28=2),IF(ISBLANK(N346),O345,N346),IF(ISNUMBER(N346),(MAX(O$44:O345)+N346),O345))</f>
        <v/>
      </c>
      <c s="694" r="P346"/>
      <c s="273" r="Q346">
        <f>IF(ISNUMBER(P346),((Q345+P346)-R345),Q345)</f>
        <v>100</v>
      </c>
      <c s="694" r="R346"/>
      <c s="821" r="S346"/>
      <c s="550" r="T346"/>
      <c s="550" r="U346"/>
      <c s="550" r="V346"/>
      <c s="550" r="W346"/>
      <c s="550" r="X346"/>
      <c s="550" r="Y346"/>
      <c t="str" s="470" r="Z346">
        <f>IF(ISNUMBER(S346),(Q346-S346),NA())</f>
        <v>#N/A:explicit</v>
      </c>
      <c t="str" s="470" r="AA346">
        <f>IF(ISNUMBER(T346),IF((AH$22=1),(Z346+T346),(Q346-T346)),NA())</f>
        <v>#N/A:explicit</v>
      </c>
      <c t="str" s="470" r="AB346">
        <f>IF(ISNUMBER(U346),(Q346-U346),NA())</f>
        <v>#N/A:explicit</v>
      </c>
      <c t="str" s="470" r="AC346">
        <f>IF(ISNUMBER(V346),(Q346-V346),NA())</f>
        <v>#N/A:explicit</v>
      </c>
      <c t="str" s="470" r="AD346">
        <f>IF(ISNUMBER(W346),(Q346-W346),NA())</f>
        <v>#N/A:explicit</v>
      </c>
      <c t="str" s="470" r="AE346">
        <f>IF(ISNUMBER(X346),(Q346-X346),NA())</f>
        <v>#N/A:explicit</v>
      </c>
      <c t="str" s="552" r="AF346">
        <f>IF(ISNUMBER(Z346),Z346,"---")</f>
        <v>---</v>
      </c>
      <c s="142" r="AG346"/>
      <c t="str" s="142" r="AH346">
        <f>IF(ISBLANK(L346),NA(),MIN(AF$44:AF$361))</f>
        <v>#N/A:explicit</v>
      </c>
      <c t="str" s="142" r="AI346">
        <f>IF(ISNA(AA346),Z346,AA346)</f>
        <v>#N/A:explicit</v>
      </c>
      <c s="142" r="AJ346">
        <f>MIN(AF$44:AF$361)</f>
        <v>0</v>
      </c>
      <c s="142" r="AK346"/>
      <c t="str" s="142" r="AL346">
        <f>IF(ISNUMBER(AB346),O346,"---")</f>
        <v>---</v>
      </c>
      <c t="str" s="80" r="AM346">
        <f>IF(ISNUMBER(AB346),AB346,"---")</f>
        <v>---</v>
      </c>
      <c s="80" r="AN346"/>
      <c t="str" s="142" r="AO346">
        <f>IF((M346="r"),Z346,NA())</f>
        <v>#N/A:explicit</v>
      </c>
      <c t="str" s="142" r="AP346">
        <f>IF((M346="p"),Z346,NA())</f>
        <v>#N/A:explicit</v>
      </c>
      <c t="str" s="142" r="AQ346">
        <f>IF((M346="n"),Z346,NA())</f>
        <v>#N/A:explicit</v>
      </c>
      <c t="str" s="142" r="AR346">
        <f>IF((M346="g"),Z346,NA())</f>
        <v>#N/A:explicit</v>
      </c>
      <c s="142" r="AS346"/>
      <c t="str" s="142" r="AT346">
        <f>IF((COUNTA($M346:$M$361)=0),"---",IF(AND(($M346="r"),(COUNTA($M347:$M$361)&gt;0)),(MAX(AT$44:AT345)+1),IF(OR(($M345="p"),($M345="n"),($M345="g")),"---",AT345)))</f>
        <v>---</v>
      </c>
      <c t="str" s="142" r="AU346">
        <f>IF((COUNTA($M346:$M$361)=0),"---",IF(AND(($M346="p"),(COUNTA($M347:$M$361)&gt;0)),(MAX(AU$44:AU345)+1),IF(OR(($M345="r"),($M345="n"),($M345="g")),"---",AU345)))</f>
        <v>---</v>
      </c>
      <c t="str" s="142" r="AV346">
        <f>IF((COUNTA($M346:$M$361)=0),"---",IF(AND(($M346="n"),(COUNTA($M347:$M$361)&gt;0)),(MAX(AV$44:AV345)+1),IF(OR(($M345="r"),($M345="p"),($M345="g")),"---",AV345)))</f>
        <v>---</v>
      </c>
      <c t="str" s="142" r="AW346">
        <f>IF((COUNTA($M346:$M$361)=0),"---",IF(AND(($M346="g"),(COUNTA($M347:$M$361)&gt;0)),(MAX(AW$44:AW345)+1),IF(OR(($M345="r"),($M345="p"),($M345="n")),"---",AW345)))</f>
        <v>---</v>
      </c>
      <c s="676" r="AX346">
        <f>IF((M346="p"),(1+MAX(AX$44:AX345)),0)</f>
        <v>0</v>
      </c>
      <c s="51" r="AY346"/>
      <c s="761" r="AZ346"/>
      <c s="761" r="BA346"/>
      <c s="125" r="BB346"/>
      <c s="125" r="BC346"/>
      <c s="125" r="BD346"/>
      <c s="125" r="BE346"/>
      <c s="125" r="BF346"/>
      <c s="125" r="BG346"/>
      <c s="125" r="BH346"/>
      <c s="125" r="BI346"/>
    </row>
    <row r="347">
      <c s="125" r="A347"/>
      <c s="125" r="B347"/>
      <c s="125" r="C347"/>
      <c s="125" r="D347"/>
      <c s="125" r="E347"/>
      <c s="125" r="F347"/>
      <c s="125" r="G347"/>
      <c s="125" r="H347"/>
      <c s="125" r="I347"/>
      <c s="822" r="J347"/>
      <c s="848" r="K347"/>
      <c s="550" r="L347"/>
      <c s="104" r="M347"/>
      <c s="550" r="N347"/>
      <c t="str" s="589" r="O347">
        <f>IF((AH$28=2),IF(ISBLANK(N347),O346,N347),IF(ISNUMBER(N347),(MAX(O$44:O346)+N347),O346))</f>
        <v/>
      </c>
      <c s="694" r="P347"/>
      <c s="273" r="Q347">
        <f>IF(ISNUMBER(P347),((Q346+P347)-R346),Q346)</f>
        <v>100</v>
      </c>
      <c s="694" r="R347"/>
      <c s="821" r="S347"/>
      <c s="550" r="T347"/>
      <c s="550" r="U347"/>
      <c s="550" r="V347"/>
      <c s="550" r="W347"/>
      <c s="550" r="X347"/>
      <c s="550" r="Y347"/>
      <c t="str" s="470" r="Z347">
        <f>IF(ISNUMBER(S347),(Q347-S347),NA())</f>
        <v>#N/A:explicit</v>
      </c>
      <c t="str" s="470" r="AA347">
        <f>IF(ISNUMBER(T347),IF((AH$22=1),(Z347+T347),(Q347-T347)),NA())</f>
        <v>#N/A:explicit</v>
      </c>
      <c t="str" s="470" r="AB347">
        <f>IF(ISNUMBER(U347),(Q347-U347),NA())</f>
        <v>#N/A:explicit</v>
      </c>
      <c t="str" s="470" r="AC347">
        <f>IF(ISNUMBER(V347),(Q347-V347),NA())</f>
        <v>#N/A:explicit</v>
      </c>
      <c t="str" s="470" r="AD347">
        <f>IF(ISNUMBER(W347),(Q347-W347),NA())</f>
        <v>#N/A:explicit</v>
      </c>
      <c t="str" s="470" r="AE347">
        <f>IF(ISNUMBER(X347),(Q347-X347),NA())</f>
        <v>#N/A:explicit</v>
      </c>
      <c t="str" s="552" r="AF347">
        <f>IF(ISNUMBER(Z347),Z347,"---")</f>
        <v>---</v>
      </c>
      <c s="142" r="AG347"/>
      <c t="str" s="142" r="AH347">
        <f>IF(ISBLANK(L347),NA(),MIN(AF$44:AF$361))</f>
        <v>#N/A:explicit</v>
      </c>
      <c t="str" s="142" r="AI347">
        <f>IF(ISNA(AA347),Z347,AA347)</f>
        <v>#N/A:explicit</v>
      </c>
      <c s="142" r="AJ347">
        <f>MIN(AF$44:AF$361)</f>
        <v>0</v>
      </c>
      <c s="142" r="AK347"/>
      <c t="str" s="142" r="AL347">
        <f>IF(ISNUMBER(AB347),O347,"---")</f>
        <v>---</v>
      </c>
      <c t="str" s="80" r="AM347">
        <f>IF(ISNUMBER(AB347),AB347,"---")</f>
        <v>---</v>
      </c>
      <c s="80" r="AN347"/>
      <c t="str" s="142" r="AO347">
        <f>IF((M347="r"),Z347,NA())</f>
        <v>#N/A:explicit</v>
      </c>
      <c t="str" s="142" r="AP347">
        <f>IF((M347="p"),Z347,NA())</f>
        <v>#N/A:explicit</v>
      </c>
      <c t="str" s="142" r="AQ347">
        <f>IF((M347="n"),Z347,NA())</f>
        <v>#N/A:explicit</v>
      </c>
      <c t="str" s="142" r="AR347">
        <f>IF((M347="g"),Z347,NA())</f>
        <v>#N/A:explicit</v>
      </c>
      <c s="142" r="AS347"/>
      <c t="str" s="142" r="AT347">
        <f>IF((COUNTA($M347:$M$361)=0),"---",IF(AND(($M347="r"),(COUNTA($M348:$M$361)&gt;0)),(MAX(AT$44:AT346)+1),IF(OR(($M346="p"),($M346="n"),($M346="g")),"---",AT346)))</f>
        <v>---</v>
      </c>
      <c t="str" s="142" r="AU347">
        <f>IF((COUNTA($M347:$M$361)=0),"---",IF(AND(($M347="p"),(COUNTA($M348:$M$361)&gt;0)),(MAX(AU$44:AU346)+1),IF(OR(($M346="r"),($M346="n"),($M346="g")),"---",AU346)))</f>
        <v>---</v>
      </c>
      <c t="str" s="142" r="AV347">
        <f>IF((COUNTA($M347:$M$361)=0),"---",IF(AND(($M347="n"),(COUNTA($M348:$M$361)&gt;0)),(MAX(AV$44:AV346)+1),IF(OR(($M346="r"),($M346="p"),($M346="g")),"---",AV346)))</f>
        <v>---</v>
      </c>
      <c t="str" s="142" r="AW347">
        <f>IF((COUNTA($M347:$M$361)=0),"---",IF(AND(($M347="g"),(COUNTA($M348:$M$361)&gt;0)),(MAX(AW$44:AW346)+1),IF(OR(($M346="r"),($M346="p"),($M346="n")),"---",AW346)))</f>
        <v>---</v>
      </c>
      <c s="676" r="AX347">
        <f>IF((M347="p"),(1+MAX(AX$44:AX346)),0)</f>
        <v>0</v>
      </c>
      <c s="51" r="AY347"/>
      <c s="761" r="AZ347"/>
      <c s="761" r="BA347"/>
      <c s="125" r="BB347"/>
      <c s="125" r="BC347"/>
      <c s="125" r="BD347"/>
      <c s="125" r="BE347"/>
      <c s="125" r="BF347"/>
      <c s="125" r="BG347"/>
      <c s="125" r="BH347"/>
      <c s="125" r="BI347"/>
    </row>
    <row r="348">
      <c s="125" r="A348"/>
      <c s="125" r="B348"/>
      <c s="125" r="C348"/>
      <c s="125" r="D348"/>
      <c s="125" r="E348"/>
      <c s="125" r="F348"/>
      <c s="125" r="G348"/>
      <c s="125" r="H348"/>
      <c s="125" r="I348"/>
      <c s="822" r="J348"/>
      <c s="429" r="K348"/>
      <c s="458" r="L348"/>
      <c s="104" r="M348"/>
      <c s="458" r="N348"/>
      <c t="str" s="589" r="O348">
        <f>IF((AH$28=2),IF(ISBLANK(N348),O347,N348),IF(ISNUMBER(N348),(MAX(O$44:O347)+N348),O347))</f>
        <v/>
      </c>
      <c s="228" r="P348"/>
      <c s="273" r="Q348">
        <f>IF(ISNUMBER(P348),((Q347+P348)-R347),Q347)</f>
        <v>100</v>
      </c>
      <c s="228" r="R348"/>
      <c s="610" r="S348"/>
      <c s="458" r="T348"/>
      <c s="458" r="U348"/>
      <c s="458" r="V348"/>
      <c s="458" r="W348"/>
      <c s="458" r="X348"/>
      <c s="458" r="Y348"/>
      <c t="str" s="620" r="Z348">
        <f>IF(ISNUMBER(S348),(Q348-S348),NA())</f>
        <v>#N/A:explicit</v>
      </c>
      <c t="str" s="620" r="AA348">
        <f>IF(ISNUMBER(T348),IF((AH$22=1),(Z348+T348),(Q348-T348)),NA())</f>
        <v>#N/A:explicit</v>
      </c>
      <c t="str" s="620" r="AB348">
        <f>IF(ISNUMBER(U348),(Q348-U348),NA())</f>
        <v>#N/A:explicit</v>
      </c>
      <c t="str" s="620" r="AC348">
        <f>IF(ISNUMBER(V348),(Q348-V348),NA())</f>
        <v>#N/A:explicit</v>
      </c>
      <c t="str" s="620" r="AD348">
        <f>IF(ISNUMBER(W348),(Q348-W348),NA())</f>
        <v>#N/A:explicit</v>
      </c>
      <c t="str" s="620" r="AE348">
        <f>IF(ISNUMBER(X348),(Q348-X348),NA())</f>
        <v>#N/A:explicit</v>
      </c>
      <c t="str" s="552" r="AF348">
        <f>IF(ISNUMBER(Z348),Z348,"---")</f>
        <v>---</v>
      </c>
      <c s="142" r="AG348"/>
      <c t="str" s="142" r="AH348">
        <f>IF(ISBLANK(L348),NA(),MIN(AF$44:AF$361))</f>
        <v>#N/A:explicit</v>
      </c>
      <c t="str" s="142" r="AI348">
        <f>IF(ISNA(AA348),Z348,AA348)</f>
        <v>#N/A:explicit</v>
      </c>
      <c s="142" r="AJ348">
        <f>MIN(AF$44:AF$361)</f>
        <v>0</v>
      </c>
      <c s="142" r="AK348"/>
      <c t="str" s="142" r="AL348">
        <f>IF(ISNUMBER(AB348),O348,"---")</f>
        <v>---</v>
      </c>
      <c t="str" s="80" r="AM348">
        <f>IF(ISNUMBER(AB348),AB348,"---")</f>
        <v>---</v>
      </c>
      <c s="80" r="AN348"/>
      <c t="str" s="142" r="AO348">
        <f>IF((M348="r"),Z348,NA())</f>
        <v>#N/A:explicit</v>
      </c>
      <c t="str" s="142" r="AP348">
        <f>IF((M348="p"),Z348,NA())</f>
        <v>#N/A:explicit</v>
      </c>
      <c t="str" s="142" r="AQ348">
        <f>IF((M348="n"),Z348,NA())</f>
        <v>#N/A:explicit</v>
      </c>
      <c t="str" s="142" r="AR348">
        <f>IF((M348="g"),Z348,NA())</f>
        <v>#N/A:explicit</v>
      </c>
      <c s="142" r="AS348"/>
      <c t="str" s="142" r="AT348">
        <f>IF((COUNTA($M348:$M$361)=0),"---",IF(AND(($M348="r"),(COUNTA($M349:$M$361)&gt;0)),(MAX(AT$44:AT347)+1),IF(OR(($M347="p"),($M347="n"),($M347="g")),"---",AT347)))</f>
        <v>---</v>
      </c>
      <c t="str" s="142" r="AU348">
        <f>IF((COUNTA($M348:$M$361)=0),"---",IF(AND(($M348="p"),(COUNTA($M349:$M$361)&gt;0)),(MAX(AU$44:AU347)+1),IF(OR(($M347="r"),($M347="n"),($M347="g")),"---",AU347)))</f>
        <v>---</v>
      </c>
      <c t="str" s="142" r="AV348">
        <f>IF((COUNTA($M348:$M$361)=0),"---",IF(AND(($M348="n"),(COUNTA($M349:$M$361)&gt;0)),(MAX(AV$44:AV347)+1),IF(OR(($M347="r"),($M347="p"),($M347="g")),"---",AV347)))</f>
        <v>---</v>
      </c>
      <c t="str" s="142" r="AW348">
        <f>IF((COUNTA($M348:$M$361)=0),"---",IF(AND(($M348="g"),(COUNTA($M349:$M$361)&gt;0)),(MAX(AW$44:AW347)+1),IF(OR(($M347="r"),($M347="p"),($M347="n")),"---",AW347)))</f>
        <v>---</v>
      </c>
      <c s="676" r="AX348">
        <f>IF((M348="p"),(1+MAX(AX$44:AX347)),0)</f>
        <v>0</v>
      </c>
      <c s="51" r="AY348"/>
      <c s="761" r="AZ348"/>
      <c s="761" r="BA348"/>
      <c s="125" r="BB348"/>
      <c s="125" r="BC348"/>
      <c s="125" r="BD348"/>
      <c s="125" r="BE348"/>
      <c s="125" r="BF348"/>
      <c s="125" r="BG348"/>
      <c s="125" r="BH348"/>
      <c s="125" r="BI348"/>
    </row>
    <row r="349">
      <c s="125" r="A349"/>
      <c s="125" r="B349"/>
      <c s="125" r="C349"/>
      <c s="125" r="D349"/>
      <c s="125" r="E349"/>
      <c s="125" r="F349"/>
      <c s="125" r="G349"/>
      <c s="125" r="H349"/>
      <c s="125" r="I349"/>
      <c s="822" r="J349"/>
      <c s="429" r="K349"/>
      <c s="458" r="L349"/>
      <c s="104" r="M349"/>
      <c s="458" r="N349"/>
      <c t="str" s="589" r="O349">
        <f>IF((AH$28=2),IF(ISBLANK(N349),O348,N349),IF(ISNUMBER(N349),(MAX(O$44:O348)+N349),O348))</f>
        <v/>
      </c>
      <c s="228" r="P349"/>
      <c s="273" r="Q349">
        <f>IF(ISNUMBER(P349),((Q348+P349)-R348),Q348)</f>
        <v>100</v>
      </c>
      <c s="228" r="R349"/>
      <c s="610" r="S349"/>
      <c s="458" r="T349"/>
      <c s="458" r="U349"/>
      <c s="458" r="V349"/>
      <c s="458" r="W349"/>
      <c s="458" r="X349"/>
      <c s="458" r="Y349"/>
      <c t="str" s="620" r="Z349">
        <f>IF(ISNUMBER(S349),(Q349-S349),NA())</f>
        <v>#N/A:explicit</v>
      </c>
      <c t="str" s="620" r="AA349">
        <f>IF(ISNUMBER(T349),IF((AH$22=1),(Z349+T349),(Q349-T349)),NA())</f>
        <v>#N/A:explicit</v>
      </c>
      <c t="str" s="620" r="AB349">
        <f>IF(ISNUMBER(U349),(Q349-U349),NA())</f>
        <v>#N/A:explicit</v>
      </c>
      <c t="str" s="620" r="AC349">
        <f>IF(ISNUMBER(V349),(Q349-V349),NA())</f>
        <v>#N/A:explicit</v>
      </c>
      <c t="str" s="620" r="AD349">
        <f>IF(ISNUMBER(W349),(Q349-W349),NA())</f>
        <v>#N/A:explicit</v>
      </c>
      <c t="str" s="620" r="AE349">
        <f>IF(ISNUMBER(X349),(Q349-X349),NA())</f>
        <v>#N/A:explicit</v>
      </c>
      <c t="str" s="552" r="AF349">
        <f>IF(ISNUMBER(Z349),Z349,"---")</f>
        <v>---</v>
      </c>
      <c s="142" r="AG349"/>
      <c t="str" s="142" r="AH349">
        <f>IF(ISBLANK(L349),NA(),MIN(AF$44:AF$361))</f>
        <v>#N/A:explicit</v>
      </c>
      <c t="str" s="142" r="AI349">
        <f>IF(ISNA(AA349),Z349,AA349)</f>
        <v>#N/A:explicit</v>
      </c>
      <c s="142" r="AJ349">
        <f>MIN(AF$44:AF$361)</f>
        <v>0</v>
      </c>
      <c s="142" r="AK349"/>
      <c t="str" s="142" r="AL349">
        <f>IF(ISNUMBER(AB349),O349,"---")</f>
        <v>---</v>
      </c>
      <c t="str" s="80" r="AM349">
        <f>IF(ISNUMBER(AB349),AB349,"---")</f>
        <v>---</v>
      </c>
      <c s="80" r="AN349"/>
      <c t="str" s="142" r="AO349">
        <f>IF((M349="r"),Z349,NA())</f>
        <v>#N/A:explicit</v>
      </c>
      <c t="str" s="142" r="AP349">
        <f>IF((M349="p"),Z349,NA())</f>
        <v>#N/A:explicit</v>
      </c>
      <c t="str" s="142" r="AQ349">
        <f>IF((M349="n"),Z349,NA())</f>
        <v>#N/A:explicit</v>
      </c>
      <c t="str" s="142" r="AR349">
        <f>IF((M349="g"),Z349,NA())</f>
        <v>#N/A:explicit</v>
      </c>
      <c s="142" r="AS349"/>
      <c t="str" s="142" r="AT349">
        <f>IF((COUNTA($M349:$M$361)=0),"---",IF(AND(($M349="r"),(COUNTA($M350:$M$361)&gt;0)),(MAX(AT$44:AT348)+1),IF(OR(($M348="p"),($M348="n"),($M348="g")),"---",AT348)))</f>
        <v>---</v>
      </c>
      <c t="str" s="142" r="AU349">
        <f>IF((COUNTA($M349:$M$361)=0),"---",IF(AND(($M349="p"),(COUNTA($M350:$M$361)&gt;0)),(MAX(AU$44:AU348)+1),IF(OR(($M348="r"),($M348="n"),($M348="g")),"---",AU348)))</f>
        <v>---</v>
      </c>
      <c t="str" s="142" r="AV349">
        <f>IF((COUNTA($M349:$M$361)=0),"---",IF(AND(($M349="n"),(COUNTA($M350:$M$361)&gt;0)),(MAX(AV$44:AV348)+1),IF(OR(($M348="r"),($M348="p"),($M348="g")),"---",AV348)))</f>
        <v>---</v>
      </c>
      <c t="str" s="142" r="AW349">
        <f>IF((COUNTA($M349:$M$361)=0),"---",IF(AND(($M349="g"),(COUNTA($M350:$M$361)&gt;0)),(MAX(AW$44:AW348)+1),IF(OR(($M348="r"),($M348="p"),($M348="n")),"---",AW348)))</f>
        <v>---</v>
      </c>
      <c s="676" r="AX349">
        <f>IF((M349="p"),(1+MAX(AX$44:AX348)),0)</f>
        <v>0</v>
      </c>
      <c s="51" r="AY349"/>
      <c s="761" r="AZ349"/>
      <c s="761" r="BA349"/>
      <c s="125" r="BB349"/>
      <c s="125" r="BC349"/>
      <c s="125" r="BD349"/>
      <c s="125" r="BE349"/>
      <c s="125" r="BF349"/>
      <c s="125" r="BG349"/>
      <c s="125" r="BH349"/>
      <c s="125" r="BI349"/>
    </row>
    <row r="350">
      <c s="125" r="A350"/>
      <c s="125" r="B350"/>
      <c s="125" r="C350"/>
      <c s="125" r="D350"/>
      <c s="125" r="E350"/>
      <c s="125" r="F350"/>
      <c s="125" r="G350"/>
      <c s="125" r="H350"/>
      <c s="125" r="I350"/>
      <c s="822" r="J350"/>
      <c s="429" r="K350"/>
      <c s="458" r="L350"/>
      <c s="104" r="M350"/>
      <c s="458" r="N350"/>
      <c t="str" s="589" r="O350">
        <f>IF((AH$28=2),IF(ISBLANK(N350),O349,N350),IF(ISNUMBER(N350),(MAX(O$44:O349)+N350),O349))</f>
        <v/>
      </c>
      <c s="228" r="P350"/>
      <c s="273" r="Q350">
        <f>IF(ISNUMBER(P350),((Q349+P350)-R349),Q349)</f>
        <v>100</v>
      </c>
      <c s="228" r="R350"/>
      <c s="610" r="S350"/>
      <c s="458" r="T350"/>
      <c s="458" r="U350"/>
      <c s="458" r="V350"/>
      <c s="458" r="W350"/>
      <c s="458" r="X350"/>
      <c s="458" r="Y350"/>
      <c t="str" s="620" r="Z350">
        <f>IF(ISNUMBER(S350),(Q350-S350),NA())</f>
        <v>#N/A:explicit</v>
      </c>
      <c t="str" s="620" r="AA350">
        <f>IF(ISNUMBER(T350),IF((AH$22=1),(Z350+T350),(Q350-T350)),NA())</f>
        <v>#N/A:explicit</v>
      </c>
      <c t="str" s="620" r="AB350">
        <f>IF(ISNUMBER(U350),(Q350-U350),NA())</f>
        <v>#N/A:explicit</v>
      </c>
      <c t="str" s="620" r="AC350">
        <f>IF(ISNUMBER(V350),(Q350-V350),NA())</f>
        <v>#N/A:explicit</v>
      </c>
      <c t="str" s="620" r="AD350">
        <f>IF(ISNUMBER(W350),(Q350-W350),NA())</f>
        <v>#N/A:explicit</v>
      </c>
      <c t="str" s="620" r="AE350">
        <f>IF(ISNUMBER(X350),(Q350-X350),NA())</f>
        <v>#N/A:explicit</v>
      </c>
      <c t="str" s="552" r="AF350">
        <f>IF(ISNUMBER(Z350),Z350,"---")</f>
        <v>---</v>
      </c>
      <c s="142" r="AG350"/>
      <c t="str" s="142" r="AH350">
        <f>IF(ISBLANK(L350),NA(),MIN(AF$44:AF$361))</f>
        <v>#N/A:explicit</v>
      </c>
      <c t="str" s="142" r="AI350">
        <f>IF(ISNA(AA350),Z350,AA350)</f>
        <v>#N/A:explicit</v>
      </c>
      <c s="142" r="AJ350">
        <f>MIN(AF$44:AF$361)</f>
        <v>0</v>
      </c>
      <c s="142" r="AK350"/>
      <c t="str" s="142" r="AL350">
        <f>IF(ISNUMBER(AB350),O350,"---")</f>
        <v>---</v>
      </c>
      <c t="str" s="80" r="AM350">
        <f>IF(ISNUMBER(AB350),AB350,"---")</f>
        <v>---</v>
      </c>
      <c s="80" r="AN350"/>
      <c t="str" s="142" r="AO350">
        <f>IF((M350="r"),Z350,NA())</f>
        <v>#N/A:explicit</v>
      </c>
      <c t="str" s="142" r="AP350">
        <f>IF((M350="p"),Z350,NA())</f>
        <v>#N/A:explicit</v>
      </c>
      <c t="str" s="142" r="AQ350">
        <f>IF((M350="n"),Z350,NA())</f>
        <v>#N/A:explicit</v>
      </c>
      <c t="str" s="142" r="AR350">
        <f>IF((M350="g"),Z350,NA())</f>
        <v>#N/A:explicit</v>
      </c>
      <c s="142" r="AS350"/>
      <c t="str" s="142" r="AT350">
        <f>IF((COUNTA($M350:$M$361)=0),"---",IF(AND(($M350="r"),(COUNTA($M351:$M$361)&gt;0)),(MAX(AT$44:AT349)+1),IF(OR(($M349="p"),($M349="n"),($M349="g")),"---",AT349)))</f>
        <v>---</v>
      </c>
      <c t="str" s="142" r="AU350">
        <f>IF((COUNTA($M350:$M$361)=0),"---",IF(AND(($M350="p"),(COUNTA($M351:$M$361)&gt;0)),(MAX(AU$44:AU349)+1),IF(OR(($M349="r"),($M349="n"),($M349="g")),"---",AU349)))</f>
        <v>---</v>
      </c>
      <c t="str" s="142" r="AV350">
        <f>IF((COUNTA($M350:$M$361)=0),"---",IF(AND(($M350="n"),(COUNTA($M351:$M$361)&gt;0)),(MAX(AV$44:AV349)+1),IF(OR(($M349="r"),($M349="p"),($M349="g")),"---",AV349)))</f>
        <v>---</v>
      </c>
      <c t="str" s="142" r="AW350">
        <f>IF((COUNTA($M350:$M$361)=0),"---",IF(AND(($M350="g"),(COUNTA($M351:$M$361)&gt;0)),(MAX(AW$44:AW349)+1),IF(OR(($M349="r"),($M349="p"),($M349="n")),"---",AW349)))</f>
        <v>---</v>
      </c>
      <c s="676" r="AX350">
        <f>IF((M350="p"),(1+MAX(AX$44:AX349)),0)</f>
        <v>0</v>
      </c>
      <c s="51" r="AY350"/>
      <c s="761" r="AZ350"/>
      <c s="761" r="BA350"/>
      <c s="125" r="BB350"/>
      <c s="125" r="BC350"/>
      <c s="125" r="BD350"/>
      <c s="125" r="BE350"/>
      <c s="125" r="BF350"/>
      <c s="125" r="BG350"/>
      <c s="125" r="BH350"/>
      <c s="125" r="BI350"/>
    </row>
    <row r="351">
      <c s="125" r="A351"/>
      <c s="125" r="B351"/>
      <c s="125" r="C351"/>
      <c s="125" r="D351"/>
      <c s="125" r="E351"/>
      <c s="125" r="F351"/>
      <c s="125" r="G351"/>
      <c s="125" r="H351"/>
      <c s="125" r="I351"/>
      <c s="822" r="J351"/>
      <c s="848" r="K351"/>
      <c s="550" r="L351"/>
      <c s="104" r="M351"/>
      <c s="550" r="N351"/>
      <c t="str" s="589" r="O351">
        <f>IF((AH$28=2),IF(ISBLANK(N351),O350,N351),IF(ISNUMBER(N351),(MAX(O$44:O350)+N351),O350))</f>
        <v/>
      </c>
      <c s="694" r="P351"/>
      <c s="273" r="Q351">
        <f>IF(ISNUMBER(P351),((Q350+P351)-R350),Q350)</f>
        <v>100</v>
      </c>
      <c s="694" r="R351"/>
      <c s="821" r="S351"/>
      <c s="550" r="T351"/>
      <c s="550" r="U351"/>
      <c s="550" r="V351"/>
      <c s="550" r="W351"/>
      <c s="550" r="X351"/>
      <c s="550" r="Y351"/>
      <c t="str" s="470" r="Z351">
        <f>IF(ISNUMBER(S351),(Q351-S351),NA())</f>
        <v>#N/A:explicit</v>
      </c>
      <c t="str" s="470" r="AA351">
        <f>IF(ISNUMBER(T351),IF((AH$22=1),(Z351+T351),(Q351-T351)),NA())</f>
        <v>#N/A:explicit</v>
      </c>
      <c t="str" s="470" r="AB351">
        <f>IF(ISNUMBER(U351),(Q351-U351),NA())</f>
        <v>#N/A:explicit</v>
      </c>
      <c t="str" s="470" r="AC351">
        <f>IF(ISNUMBER(V351),(Q351-V351),NA())</f>
        <v>#N/A:explicit</v>
      </c>
      <c t="str" s="470" r="AD351">
        <f>IF(ISNUMBER(W351),(Q351-W351),NA())</f>
        <v>#N/A:explicit</v>
      </c>
      <c t="str" s="470" r="AE351">
        <f>IF(ISNUMBER(X351),(Q351-X351),NA())</f>
        <v>#N/A:explicit</v>
      </c>
      <c t="str" s="552" r="AF351">
        <f>IF(ISNUMBER(Z351),Z351,"---")</f>
        <v>---</v>
      </c>
      <c s="142" r="AG351"/>
      <c t="str" s="142" r="AH351">
        <f>IF(ISBLANK(L351),NA(),MIN(AF$44:AF$361))</f>
        <v>#N/A:explicit</v>
      </c>
      <c t="str" s="142" r="AI351">
        <f>IF(ISNA(AA351),Z351,AA351)</f>
        <v>#N/A:explicit</v>
      </c>
      <c s="142" r="AJ351">
        <f>MIN(AF$44:AF$361)</f>
        <v>0</v>
      </c>
      <c s="142" r="AK351"/>
      <c t="str" s="142" r="AL351">
        <f>IF(ISNUMBER(AB351),O351,"---")</f>
        <v>---</v>
      </c>
      <c t="str" s="80" r="AM351">
        <f>IF(ISNUMBER(AB351),AB351,"---")</f>
        <v>---</v>
      </c>
      <c s="80" r="AN351"/>
      <c t="str" s="142" r="AO351">
        <f>IF((M351="r"),Z351,NA())</f>
        <v>#N/A:explicit</v>
      </c>
      <c t="str" s="142" r="AP351">
        <f>IF((M351="p"),Z351,NA())</f>
        <v>#N/A:explicit</v>
      </c>
      <c t="str" s="142" r="AQ351">
        <f>IF((M351="n"),Z351,NA())</f>
        <v>#N/A:explicit</v>
      </c>
      <c t="str" s="142" r="AR351">
        <f>IF((M351="g"),Z351,NA())</f>
        <v>#N/A:explicit</v>
      </c>
      <c s="142" r="AS351"/>
      <c t="str" s="142" r="AT351">
        <f>IF((COUNTA($M351:$M$361)=0),"---",IF(AND(($M351="r"),(COUNTA($M352:$M$361)&gt;0)),(MAX(AT$44:AT350)+1),IF(OR(($M350="p"),($M350="n"),($M350="g")),"---",AT350)))</f>
        <v>---</v>
      </c>
      <c t="str" s="142" r="AU351">
        <f>IF((COUNTA($M351:$M$361)=0),"---",IF(AND(($M351="p"),(COUNTA($M352:$M$361)&gt;0)),(MAX(AU$44:AU350)+1),IF(OR(($M350="r"),($M350="n"),($M350="g")),"---",AU350)))</f>
        <v>---</v>
      </c>
      <c t="str" s="142" r="AV351">
        <f>IF((COUNTA($M351:$M$361)=0),"---",IF(AND(($M351="n"),(COUNTA($M352:$M$361)&gt;0)),(MAX(AV$44:AV350)+1),IF(OR(($M350="r"),($M350="p"),($M350="g")),"---",AV350)))</f>
        <v>---</v>
      </c>
      <c t="str" s="142" r="AW351">
        <f>IF((COUNTA($M351:$M$361)=0),"---",IF(AND(($M351="g"),(COUNTA($M352:$M$361)&gt;0)),(MAX(AW$44:AW350)+1),IF(OR(($M350="r"),($M350="p"),($M350="n")),"---",AW350)))</f>
        <v>---</v>
      </c>
      <c s="676" r="AX351">
        <f>IF((M351="p"),(1+MAX(AX$44:AX350)),0)</f>
        <v>0</v>
      </c>
      <c s="51" r="AY351"/>
      <c s="761" r="AZ351"/>
      <c s="761" r="BA351"/>
      <c s="125" r="BB351"/>
      <c s="125" r="BC351"/>
      <c s="125" r="BD351"/>
      <c s="125" r="BE351"/>
      <c s="125" r="BF351"/>
      <c s="125" r="BG351"/>
      <c s="125" r="BH351"/>
      <c s="125" r="BI351"/>
    </row>
    <row r="352">
      <c s="125" r="A352"/>
      <c s="125" r="B352"/>
      <c s="125" r="C352"/>
      <c s="125" r="D352"/>
      <c s="125" r="E352"/>
      <c s="125" r="F352"/>
      <c s="125" r="G352"/>
      <c s="125" r="H352"/>
      <c s="125" r="I352"/>
      <c s="822" r="J352"/>
      <c s="848" r="K352"/>
      <c s="550" r="L352"/>
      <c s="104" r="M352"/>
      <c s="550" r="N352"/>
      <c t="str" s="589" r="O352">
        <f>IF((AH$28=2),IF(ISBLANK(N352),O351,N352),IF(ISNUMBER(N352),(MAX(O$44:O351)+N352),O351))</f>
        <v/>
      </c>
      <c s="694" r="P352"/>
      <c s="273" r="Q352">
        <f>IF(ISNUMBER(P352),((Q351+P352)-R351),Q351)</f>
        <v>100</v>
      </c>
      <c s="694" r="R352"/>
      <c s="821" r="S352"/>
      <c s="550" r="T352"/>
      <c s="550" r="U352"/>
      <c s="550" r="V352"/>
      <c s="550" r="W352"/>
      <c s="550" r="X352"/>
      <c s="550" r="Y352"/>
      <c t="str" s="470" r="Z352">
        <f>IF(ISNUMBER(S352),(Q352-S352),NA())</f>
        <v>#N/A:explicit</v>
      </c>
      <c t="str" s="470" r="AA352">
        <f>IF(ISNUMBER(T352),IF((AH$22=1),(Z352+T352),(Q352-T352)),NA())</f>
        <v>#N/A:explicit</v>
      </c>
      <c t="str" s="470" r="AB352">
        <f>IF(ISNUMBER(U352),(Q352-U352),NA())</f>
        <v>#N/A:explicit</v>
      </c>
      <c t="str" s="470" r="AC352">
        <f>IF(ISNUMBER(V352),(Q352-V352),NA())</f>
        <v>#N/A:explicit</v>
      </c>
      <c t="str" s="470" r="AD352">
        <f>IF(ISNUMBER(W352),(Q352-W352),NA())</f>
        <v>#N/A:explicit</v>
      </c>
      <c t="str" s="470" r="AE352">
        <f>IF(ISNUMBER(X352),(Q352-X352),NA())</f>
        <v>#N/A:explicit</v>
      </c>
      <c t="str" s="552" r="AF352">
        <f>IF(ISNUMBER(Z352),Z352,"---")</f>
        <v>---</v>
      </c>
      <c s="142" r="AG352"/>
      <c t="str" s="142" r="AH352">
        <f>IF(ISBLANK(L352),NA(),MIN(AF$44:AF$361))</f>
        <v>#N/A:explicit</v>
      </c>
      <c t="str" s="142" r="AI352">
        <f>IF(ISNA(AA352),Z352,AA352)</f>
        <v>#N/A:explicit</v>
      </c>
      <c s="142" r="AJ352">
        <f>MIN(AF$44:AF$361)</f>
        <v>0</v>
      </c>
      <c s="142" r="AK352"/>
      <c t="str" s="142" r="AL352">
        <f>IF(ISNUMBER(AB352),O352,"---")</f>
        <v>---</v>
      </c>
      <c t="str" s="80" r="AM352">
        <f>IF(ISNUMBER(AB352),AB352,"---")</f>
        <v>---</v>
      </c>
      <c s="80" r="AN352"/>
      <c t="str" s="142" r="AO352">
        <f>IF((M352="r"),Z352,NA())</f>
        <v>#N/A:explicit</v>
      </c>
      <c t="str" s="142" r="AP352">
        <f>IF((M352="p"),Z352,NA())</f>
        <v>#N/A:explicit</v>
      </c>
      <c t="str" s="142" r="AQ352">
        <f>IF((M352="n"),Z352,NA())</f>
        <v>#N/A:explicit</v>
      </c>
      <c t="str" s="142" r="AR352">
        <f>IF((M352="g"),Z352,NA())</f>
        <v>#N/A:explicit</v>
      </c>
      <c s="142" r="AS352"/>
      <c t="str" s="142" r="AT352">
        <f>IF((COUNTA($M352:$M$361)=0),"---",IF(AND(($M352="r"),(COUNTA($M353:$M$361)&gt;0)),(MAX(AT$44:AT351)+1),IF(OR(($M351="p"),($M351="n"),($M351="g")),"---",AT351)))</f>
        <v>---</v>
      </c>
      <c t="str" s="142" r="AU352">
        <f>IF((COUNTA($M352:$M$361)=0),"---",IF(AND(($M352="p"),(COUNTA($M353:$M$361)&gt;0)),(MAX(AU$44:AU351)+1),IF(OR(($M351="r"),($M351="n"),($M351="g")),"---",AU351)))</f>
        <v>---</v>
      </c>
      <c t="str" s="142" r="AV352">
        <f>IF((COUNTA($M352:$M$361)=0),"---",IF(AND(($M352="n"),(COUNTA($M353:$M$361)&gt;0)),(MAX(AV$44:AV351)+1),IF(OR(($M351="r"),($M351="p"),($M351="g")),"---",AV351)))</f>
        <v>---</v>
      </c>
      <c t="str" s="142" r="AW352">
        <f>IF((COUNTA($M352:$M$361)=0),"---",IF(AND(($M352="g"),(COUNTA($M353:$M$361)&gt;0)),(MAX(AW$44:AW351)+1),IF(OR(($M351="r"),($M351="p"),($M351="n")),"---",AW351)))</f>
        <v>---</v>
      </c>
      <c s="676" r="AX352">
        <f>IF((M352="p"),(1+MAX(AX$44:AX351)),0)</f>
        <v>0</v>
      </c>
      <c s="51" r="AY352"/>
      <c s="761" r="AZ352"/>
      <c s="761" r="BA352"/>
      <c s="125" r="BB352"/>
      <c s="125" r="BC352"/>
      <c s="125" r="BD352"/>
      <c s="125" r="BE352"/>
      <c s="125" r="BF352"/>
      <c s="125" r="BG352"/>
      <c s="125" r="BH352"/>
      <c s="125" r="BI352"/>
    </row>
    <row r="353">
      <c s="125" r="A353"/>
      <c s="125" r="B353"/>
      <c s="125" r="C353"/>
      <c s="125" r="D353"/>
      <c s="125" r="E353"/>
      <c s="125" r="F353"/>
      <c s="125" r="G353"/>
      <c s="125" r="H353"/>
      <c s="125" r="I353"/>
      <c s="822" r="J353"/>
      <c s="848" r="K353"/>
      <c s="550" r="L353"/>
      <c s="104" r="M353"/>
      <c s="550" r="N353"/>
      <c t="str" s="589" r="O353">
        <f>IF((AH$28=2),IF(ISBLANK(N353),O352,N353),IF(ISNUMBER(N353),(MAX(O$44:O352)+N353),O352))</f>
        <v/>
      </c>
      <c s="694" r="P353"/>
      <c s="273" r="Q353">
        <f>IF(ISNUMBER(P353),((Q352+P353)-R352),Q352)</f>
        <v>100</v>
      </c>
      <c s="694" r="R353"/>
      <c s="821" r="S353"/>
      <c s="550" r="T353"/>
      <c s="550" r="U353"/>
      <c s="550" r="V353"/>
      <c s="550" r="W353"/>
      <c s="550" r="X353"/>
      <c s="550" r="Y353"/>
      <c t="str" s="470" r="Z353">
        <f>IF(ISNUMBER(S353),(Q353-S353),NA())</f>
        <v>#N/A:explicit</v>
      </c>
      <c t="str" s="470" r="AA353">
        <f>IF(ISNUMBER(T353),IF((AH$22=1),(Z353+T353),(Q353-T353)),NA())</f>
        <v>#N/A:explicit</v>
      </c>
      <c t="str" s="470" r="AB353">
        <f>IF(ISNUMBER(U353),(Q353-U353),NA())</f>
        <v>#N/A:explicit</v>
      </c>
      <c t="str" s="470" r="AC353">
        <f>IF(ISNUMBER(V353),(Q353-V353),NA())</f>
        <v>#N/A:explicit</v>
      </c>
      <c t="str" s="470" r="AD353">
        <f>IF(ISNUMBER(W353),(Q353-W353),NA())</f>
        <v>#N/A:explicit</v>
      </c>
      <c t="str" s="470" r="AE353">
        <f>IF(ISNUMBER(X353),(Q353-X353),NA())</f>
        <v>#N/A:explicit</v>
      </c>
      <c t="str" s="552" r="AF353">
        <f>IF(ISNUMBER(Z353),Z353,"---")</f>
        <v>---</v>
      </c>
      <c s="142" r="AG353"/>
      <c t="str" s="142" r="AH353">
        <f>IF(ISBLANK(L353),NA(),MIN(AF$44:AF$361))</f>
        <v>#N/A:explicit</v>
      </c>
      <c t="str" s="142" r="AI353">
        <f>IF(ISNA(AA353),Z353,AA353)</f>
        <v>#N/A:explicit</v>
      </c>
      <c s="142" r="AJ353">
        <f>MIN(AF$44:AF$361)</f>
        <v>0</v>
      </c>
      <c s="142" r="AK353"/>
      <c t="str" s="142" r="AL353">
        <f>IF(ISNUMBER(AB353),O353,"---")</f>
        <v>---</v>
      </c>
      <c t="str" s="80" r="AM353">
        <f>IF(ISNUMBER(AB353),AB353,"---")</f>
        <v>---</v>
      </c>
      <c s="80" r="AN353"/>
      <c t="str" s="142" r="AO353">
        <f>IF((M353="r"),Z353,NA())</f>
        <v>#N/A:explicit</v>
      </c>
      <c t="str" s="142" r="AP353">
        <f>IF((M353="p"),Z353,NA())</f>
        <v>#N/A:explicit</v>
      </c>
      <c t="str" s="142" r="AQ353">
        <f>IF((M353="n"),Z353,NA())</f>
        <v>#N/A:explicit</v>
      </c>
      <c t="str" s="142" r="AR353">
        <f>IF((M353="g"),Z353,NA())</f>
        <v>#N/A:explicit</v>
      </c>
      <c s="142" r="AS353"/>
      <c t="str" s="142" r="AT353">
        <f>IF((COUNTA($M353:$M$361)=0),"---",IF(AND(($M353="r"),(COUNTA($M354:$M$361)&gt;0)),(MAX(AT$44:AT352)+1),IF(OR(($M352="p"),($M352="n"),($M352="g")),"---",AT352)))</f>
        <v>---</v>
      </c>
      <c t="str" s="142" r="AU353">
        <f>IF((COUNTA($M353:$M$361)=0),"---",IF(AND(($M353="p"),(COUNTA($M354:$M$361)&gt;0)),(MAX(AU$44:AU352)+1),IF(OR(($M352="r"),($M352="n"),($M352="g")),"---",AU352)))</f>
        <v>---</v>
      </c>
      <c t="str" s="142" r="AV353">
        <f>IF((COUNTA($M353:$M$361)=0),"---",IF(AND(($M353="n"),(COUNTA($M354:$M$361)&gt;0)),(MAX(AV$44:AV352)+1),IF(OR(($M352="r"),($M352="p"),($M352="g")),"---",AV352)))</f>
        <v>---</v>
      </c>
      <c t="str" s="142" r="AW353">
        <f>IF((COUNTA($M353:$M$361)=0),"---",IF(AND(($M353="g"),(COUNTA($M354:$M$361)&gt;0)),(MAX(AW$44:AW352)+1),IF(OR(($M352="r"),($M352="p"),($M352="n")),"---",AW352)))</f>
        <v>---</v>
      </c>
      <c s="676" r="AX353">
        <f>IF((M353="p"),(1+MAX(AX$44:AX352)),0)</f>
        <v>0</v>
      </c>
      <c s="51" r="AY353"/>
      <c s="761" r="AZ353"/>
      <c s="761" r="BA353"/>
      <c s="125" r="BB353"/>
      <c s="125" r="BC353"/>
      <c s="125" r="BD353"/>
      <c s="125" r="BE353"/>
      <c s="125" r="BF353"/>
      <c s="125" r="BG353"/>
      <c s="125" r="BH353"/>
      <c s="125" r="BI353"/>
    </row>
    <row r="354">
      <c s="125" r="A354"/>
      <c s="125" r="B354"/>
      <c s="125" r="C354"/>
      <c s="125" r="D354"/>
      <c s="125" r="E354"/>
      <c s="125" r="F354"/>
      <c s="125" r="G354"/>
      <c s="125" r="H354"/>
      <c s="125" r="I354"/>
      <c s="822" r="J354"/>
      <c s="429" r="K354"/>
      <c s="458" r="L354"/>
      <c s="104" r="M354"/>
      <c s="458" r="N354"/>
      <c t="str" s="589" r="O354">
        <f>IF((AH$28=2),IF(ISBLANK(N354),O353,N354),IF(ISNUMBER(N354),(MAX(O$44:O353)+N354),O353))</f>
        <v/>
      </c>
      <c s="228" r="P354"/>
      <c s="273" r="Q354">
        <f>IF(ISNUMBER(P354),((Q353+P354)-R353),Q353)</f>
        <v>100</v>
      </c>
      <c s="228" r="R354"/>
      <c s="610" r="S354"/>
      <c s="458" r="T354"/>
      <c s="458" r="U354"/>
      <c s="458" r="V354"/>
      <c s="458" r="W354"/>
      <c s="458" r="X354"/>
      <c s="458" r="Y354"/>
      <c t="str" s="620" r="Z354">
        <f>IF(ISNUMBER(S354),(Q354-S354),NA())</f>
        <v>#N/A:explicit</v>
      </c>
      <c t="str" s="620" r="AA354">
        <f>IF(ISNUMBER(T354),IF((AH$22=1),(Z354+T354),(Q354-T354)),NA())</f>
        <v>#N/A:explicit</v>
      </c>
      <c t="str" s="620" r="AB354">
        <f>IF(ISNUMBER(U354),(Q354-U354),NA())</f>
        <v>#N/A:explicit</v>
      </c>
      <c t="str" s="620" r="AC354">
        <f>IF(ISNUMBER(V354),(Q354-V354),NA())</f>
        <v>#N/A:explicit</v>
      </c>
      <c t="str" s="620" r="AD354">
        <f>IF(ISNUMBER(W354),(Q354-W354),NA())</f>
        <v>#N/A:explicit</v>
      </c>
      <c t="str" s="620" r="AE354">
        <f>IF(ISNUMBER(X354),(Q354-X354),NA())</f>
        <v>#N/A:explicit</v>
      </c>
      <c t="str" s="552" r="AF354">
        <f>IF(ISNUMBER(Z354),Z354,"---")</f>
        <v>---</v>
      </c>
      <c s="142" r="AG354"/>
      <c t="str" s="142" r="AH354">
        <f>IF(ISBLANK(L354),NA(),MIN(AF$44:AF$361))</f>
        <v>#N/A:explicit</v>
      </c>
      <c t="str" s="142" r="AI354">
        <f>IF(ISNA(AA354),Z354,AA354)</f>
        <v>#N/A:explicit</v>
      </c>
      <c s="142" r="AJ354">
        <f>MIN(AF$44:AF$361)</f>
        <v>0</v>
      </c>
      <c s="142" r="AK354"/>
      <c t="str" s="142" r="AL354">
        <f>IF(ISNUMBER(AB354),O354,"---")</f>
        <v>---</v>
      </c>
      <c t="str" s="80" r="AM354">
        <f>IF(ISNUMBER(AB354),AB354,"---")</f>
        <v>---</v>
      </c>
      <c s="80" r="AN354"/>
      <c t="str" s="142" r="AO354">
        <f>IF((M354="r"),Z354,NA())</f>
        <v>#N/A:explicit</v>
      </c>
      <c t="str" s="142" r="AP354">
        <f>IF((M354="p"),Z354,NA())</f>
        <v>#N/A:explicit</v>
      </c>
      <c t="str" s="142" r="AQ354">
        <f>IF((M354="n"),Z354,NA())</f>
        <v>#N/A:explicit</v>
      </c>
      <c t="str" s="142" r="AR354">
        <f>IF((M354="g"),Z354,NA())</f>
        <v>#N/A:explicit</v>
      </c>
      <c s="142" r="AS354"/>
      <c t="str" s="142" r="AT354">
        <f>IF((COUNTA($M354:$M$361)=0),"---",IF(AND(($M354="r"),(COUNTA($M355:$M$361)&gt;0)),(MAX(AT$44:AT353)+1),IF(OR(($M353="p"),($M353="n"),($M353="g")),"---",AT353)))</f>
        <v>---</v>
      </c>
      <c t="str" s="142" r="AU354">
        <f>IF((COUNTA($M354:$M$361)=0),"---",IF(AND(($M354="p"),(COUNTA($M355:$M$361)&gt;0)),(MAX(AU$44:AU353)+1),IF(OR(($M353="r"),($M353="n"),($M353="g")),"---",AU353)))</f>
        <v>---</v>
      </c>
      <c t="str" s="142" r="AV354">
        <f>IF((COUNTA($M354:$M$361)=0),"---",IF(AND(($M354="n"),(COUNTA($M355:$M$361)&gt;0)),(MAX(AV$44:AV353)+1),IF(OR(($M353="r"),($M353="p"),($M353="g")),"---",AV353)))</f>
        <v>---</v>
      </c>
      <c t="str" s="142" r="AW354">
        <f>IF((COUNTA($M354:$M$361)=0),"---",IF(AND(($M354="g"),(COUNTA($M355:$M$361)&gt;0)),(MAX(AW$44:AW353)+1),IF(OR(($M353="r"),($M353="p"),($M353="n")),"---",AW353)))</f>
        <v>---</v>
      </c>
      <c s="676" r="AX354">
        <f>IF((M354="p"),(1+MAX(AX$44:AX353)),0)</f>
        <v>0</v>
      </c>
      <c s="51" r="AY354"/>
      <c s="761" r="AZ354"/>
      <c s="761" r="BA354"/>
      <c s="125" r="BB354"/>
      <c s="125" r="BC354"/>
      <c s="125" r="BD354"/>
      <c s="125" r="BE354"/>
      <c s="125" r="BF354"/>
      <c s="125" r="BG354"/>
      <c s="125" r="BH354"/>
      <c s="125" r="BI354"/>
    </row>
    <row r="355">
      <c s="125" r="A355"/>
      <c s="125" r="B355"/>
      <c s="125" r="C355"/>
      <c s="125" r="D355"/>
      <c s="125" r="E355"/>
      <c s="125" r="F355"/>
      <c s="125" r="G355"/>
      <c s="125" r="H355"/>
      <c s="125" r="I355"/>
      <c s="822" r="J355"/>
      <c s="429" r="K355"/>
      <c s="458" r="L355"/>
      <c s="104" r="M355"/>
      <c s="458" r="N355"/>
      <c t="str" s="589" r="O355">
        <f>IF((AH$28=2),IF(ISBLANK(N355),O354,N355),IF(ISNUMBER(N355),(MAX(O$44:O354)+N355),O354))</f>
        <v/>
      </c>
      <c s="228" r="P355"/>
      <c s="273" r="Q355">
        <f>IF(ISNUMBER(P355),((Q354+P355)-R354),Q354)</f>
        <v>100</v>
      </c>
      <c s="228" r="R355"/>
      <c s="610" r="S355"/>
      <c s="458" r="T355"/>
      <c s="458" r="U355"/>
      <c s="458" r="V355"/>
      <c s="458" r="W355"/>
      <c s="458" r="X355"/>
      <c s="458" r="Y355"/>
      <c t="str" s="620" r="Z355">
        <f>IF(ISNUMBER(S355),(Q355-S355),NA())</f>
        <v>#N/A:explicit</v>
      </c>
      <c t="str" s="620" r="AA355">
        <f>IF(ISNUMBER(T355),IF((AH$22=1),(Z355+T355),(Q355-T355)),NA())</f>
        <v>#N/A:explicit</v>
      </c>
      <c t="str" s="620" r="AB355">
        <f>IF(ISNUMBER(U355),(Q355-U355),NA())</f>
        <v>#N/A:explicit</v>
      </c>
      <c t="str" s="620" r="AC355">
        <f>IF(ISNUMBER(V355),(Q355-V355),NA())</f>
        <v>#N/A:explicit</v>
      </c>
      <c t="str" s="620" r="AD355">
        <f>IF(ISNUMBER(W355),(Q355-W355),NA())</f>
        <v>#N/A:explicit</v>
      </c>
      <c t="str" s="620" r="AE355">
        <f>IF(ISNUMBER(X355),(Q355-X355),NA())</f>
        <v>#N/A:explicit</v>
      </c>
      <c t="str" s="552" r="AF355">
        <f>IF(ISNUMBER(Z355),Z355,"---")</f>
        <v>---</v>
      </c>
      <c s="142" r="AG355"/>
      <c t="str" s="142" r="AH355">
        <f>IF(ISBLANK(L355),NA(),MIN(AF$44:AF$361))</f>
        <v>#N/A:explicit</v>
      </c>
      <c t="str" s="142" r="AI355">
        <f>IF(ISNA(AA355),Z355,AA355)</f>
        <v>#N/A:explicit</v>
      </c>
      <c s="142" r="AJ355">
        <f>MIN(AF$44:AF$361)</f>
        <v>0</v>
      </c>
      <c s="142" r="AK355"/>
      <c t="str" s="142" r="AL355">
        <f>IF(ISNUMBER(AB355),O355,"---")</f>
        <v>---</v>
      </c>
      <c t="str" s="80" r="AM355">
        <f>IF(ISNUMBER(AB355),AB355,"---")</f>
        <v>---</v>
      </c>
      <c s="80" r="AN355"/>
      <c t="str" s="142" r="AO355">
        <f>IF((M355="r"),Z355,NA())</f>
        <v>#N/A:explicit</v>
      </c>
      <c t="str" s="142" r="AP355">
        <f>IF((M355="p"),Z355,NA())</f>
        <v>#N/A:explicit</v>
      </c>
      <c t="str" s="142" r="AQ355">
        <f>IF((M355="n"),Z355,NA())</f>
        <v>#N/A:explicit</v>
      </c>
      <c t="str" s="142" r="AR355">
        <f>IF((M355="g"),Z355,NA())</f>
        <v>#N/A:explicit</v>
      </c>
      <c s="142" r="AS355"/>
      <c t="str" s="142" r="AT355">
        <f>IF((COUNTA($M355:$M$361)=0),"---",IF(AND(($M355="r"),(COUNTA($M356:$M$361)&gt;0)),(MAX(AT$44:AT354)+1),IF(OR(($M354="p"),($M354="n"),($M354="g")),"---",AT354)))</f>
        <v>---</v>
      </c>
      <c t="str" s="142" r="AU355">
        <f>IF((COUNTA($M355:$M$361)=0),"---",IF(AND(($M355="p"),(COUNTA($M356:$M$361)&gt;0)),(MAX(AU$44:AU354)+1),IF(OR(($M354="r"),($M354="n"),($M354="g")),"---",AU354)))</f>
        <v>---</v>
      </c>
      <c t="str" s="142" r="AV355">
        <f>IF((COUNTA($M355:$M$361)=0),"---",IF(AND(($M355="n"),(COUNTA($M356:$M$361)&gt;0)),(MAX(AV$44:AV354)+1),IF(OR(($M354="r"),($M354="p"),($M354="g")),"---",AV354)))</f>
        <v>---</v>
      </c>
      <c t="str" s="142" r="AW355">
        <f>IF((COUNTA($M355:$M$361)=0),"---",IF(AND(($M355="g"),(COUNTA($M356:$M$361)&gt;0)),(MAX(AW$44:AW354)+1),IF(OR(($M354="r"),($M354="p"),($M354="n")),"---",AW354)))</f>
        <v>---</v>
      </c>
      <c s="676" r="AX355">
        <f>IF((M355="p"),(1+MAX(AX$44:AX354)),0)</f>
        <v>0</v>
      </c>
      <c s="51" r="AY355"/>
      <c s="761" r="AZ355"/>
      <c s="761" r="BA355"/>
      <c s="125" r="BB355"/>
      <c s="125" r="BC355"/>
      <c s="125" r="BD355"/>
      <c s="125" r="BE355"/>
      <c s="125" r="BF355"/>
      <c s="125" r="BG355"/>
      <c s="125" r="BH355"/>
      <c s="125" r="BI355"/>
    </row>
    <row r="356">
      <c s="125" r="A356"/>
      <c s="125" r="B356"/>
      <c s="125" r="C356"/>
      <c s="125" r="D356"/>
      <c s="125" r="E356"/>
      <c s="125" r="F356"/>
      <c s="125" r="G356"/>
      <c s="125" r="H356"/>
      <c s="125" r="I356"/>
      <c s="822" r="J356"/>
      <c s="429" r="K356"/>
      <c s="458" r="L356"/>
      <c s="104" r="M356"/>
      <c s="458" r="N356"/>
      <c t="str" s="589" r="O356">
        <f>IF((AH$28=2),IF(ISBLANK(N356),O355,N356),IF(ISNUMBER(N356),(MAX(O$44:O355)+N356),O355))</f>
        <v/>
      </c>
      <c s="228" r="P356"/>
      <c s="273" r="Q356">
        <f>IF(ISNUMBER(P356),((Q355+P356)-R355),Q355)</f>
        <v>100</v>
      </c>
      <c s="228" r="R356"/>
      <c s="610" r="S356"/>
      <c s="458" r="T356"/>
      <c s="458" r="U356"/>
      <c s="458" r="V356"/>
      <c s="458" r="W356"/>
      <c s="458" r="X356"/>
      <c s="458" r="Y356"/>
      <c t="str" s="620" r="Z356">
        <f>IF(ISNUMBER(S356),(Q356-S356),NA())</f>
        <v>#N/A:explicit</v>
      </c>
      <c t="str" s="620" r="AA356">
        <f>IF(ISNUMBER(T356),IF((AH$22=1),(Z356+T356),(Q356-T356)),NA())</f>
        <v>#N/A:explicit</v>
      </c>
      <c t="str" s="620" r="AB356">
        <f>IF(ISNUMBER(U356),(Q356-U356),NA())</f>
        <v>#N/A:explicit</v>
      </c>
      <c t="str" s="620" r="AC356">
        <f>IF(ISNUMBER(V356),(Q356-V356),NA())</f>
        <v>#N/A:explicit</v>
      </c>
      <c t="str" s="620" r="AD356">
        <f>IF(ISNUMBER(W356),(Q356-W356),NA())</f>
        <v>#N/A:explicit</v>
      </c>
      <c t="str" s="620" r="AE356">
        <f>IF(ISNUMBER(X356),(Q356-X356),NA())</f>
        <v>#N/A:explicit</v>
      </c>
      <c t="str" s="552" r="AF356">
        <f>IF(ISNUMBER(Z356),Z356,"---")</f>
        <v>---</v>
      </c>
      <c s="142" r="AG356"/>
      <c t="str" s="142" r="AH356">
        <f>IF(ISBLANK(L356),NA(),MIN(AF$44:AF$361))</f>
        <v>#N/A:explicit</v>
      </c>
      <c t="str" s="142" r="AI356">
        <f>IF(ISNA(AA356),Z356,AA356)</f>
        <v>#N/A:explicit</v>
      </c>
      <c s="142" r="AJ356">
        <f>MIN(AF$44:AF$361)</f>
        <v>0</v>
      </c>
      <c s="142" r="AK356"/>
      <c t="str" s="142" r="AL356">
        <f>IF(ISNUMBER(AB356),O356,"---")</f>
        <v>---</v>
      </c>
      <c t="str" s="80" r="AM356">
        <f>IF(ISNUMBER(AB356),AB356,"---")</f>
        <v>---</v>
      </c>
      <c s="80" r="AN356"/>
      <c t="str" s="142" r="AO356">
        <f>IF((M356="r"),Z356,NA())</f>
        <v>#N/A:explicit</v>
      </c>
      <c t="str" s="142" r="AP356">
        <f>IF((M356="p"),Z356,NA())</f>
        <v>#N/A:explicit</v>
      </c>
      <c t="str" s="142" r="AQ356">
        <f>IF((M356="n"),Z356,NA())</f>
        <v>#N/A:explicit</v>
      </c>
      <c t="str" s="142" r="AR356">
        <f>IF((M356="g"),Z356,NA())</f>
        <v>#N/A:explicit</v>
      </c>
      <c s="142" r="AS356"/>
      <c t="str" s="142" r="AT356">
        <f>IF((COUNTA($M356:$M$361)=0),"---",IF(AND(($M356="r"),(COUNTA($M357:$M$361)&gt;0)),(MAX(AT$44:AT355)+1),IF(OR(($M355="p"),($M355="n"),($M355="g")),"---",AT355)))</f>
        <v>---</v>
      </c>
      <c t="str" s="142" r="AU356">
        <f>IF((COUNTA($M356:$M$361)=0),"---",IF(AND(($M356="p"),(COUNTA($M357:$M$361)&gt;0)),(MAX(AU$44:AU355)+1),IF(OR(($M355="r"),($M355="n"),($M355="g")),"---",AU355)))</f>
        <v>---</v>
      </c>
      <c t="str" s="142" r="AV356">
        <f>IF((COUNTA($M356:$M$361)=0),"---",IF(AND(($M356="n"),(COUNTA($M357:$M$361)&gt;0)),(MAX(AV$44:AV355)+1),IF(OR(($M355="r"),($M355="p"),($M355="g")),"---",AV355)))</f>
        <v>---</v>
      </c>
      <c t="str" s="142" r="AW356">
        <f>IF((COUNTA($M356:$M$361)=0),"---",IF(AND(($M356="g"),(COUNTA($M357:$M$361)&gt;0)),(MAX(AW$44:AW355)+1),IF(OR(($M355="r"),($M355="p"),($M355="n")),"---",AW355)))</f>
        <v>---</v>
      </c>
      <c s="676" r="AX356">
        <f>IF((M356="p"),(1+MAX(AX$44:AX355)),0)</f>
        <v>0</v>
      </c>
      <c s="51" r="AY356"/>
      <c s="761" r="AZ356"/>
      <c s="761" r="BA356"/>
      <c s="125" r="BB356"/>
      <c s="125" r="BC356"/>
      <c s="125" r="BD356"/>
      <c s="125" r="BE356"/>
      <c s="125" r="BF356"/>
      <c s="125" r="BG356"/>
      <c s="125" r="BH356"/>
      <c s="125" r="BI356"/>
    </row>
    <row r="357">
      <c s="125" r="A357"/>
      <c s="125" r="B357"/>
      <c s="125" r="C357"/>
      <c s="125" r="D357"/>
      <c s="125" r="E357"/>
      <c s="125" r="F357"/>
      <c s="125" r="G357"/>
      <c s="125" r="H357"/>
      <c s="125" r="I357"/>
      <c s="822" r="J357"/>
      <c s="848" r="K357"/>
      <c s="550" r="L357"/>
      <c s="104" r="M357"/>
      <c s="550" r="N357"/>
      <c t="str" s="589" r="O357">
        <f>IF((AH$28=2),IF(ISBLANK(N357),O356,N357),IF(ISNUMBER(N357),(MAX(O$44:O356)+N357),O356))</f>
        <v/>
      </c>
      <c s="694" r="P357"/>
      <c s="273" r="Q357">
        <f>IF(ISNUMBER(P357),((Q356+P357)-R356),Q356)</f>
        <v>100</v>
      </c>
      <c s="694" r="R357"/>
      <c s="821" r="S357"/>
      <c s="550" r="T357"/>
      <c s="550" r="U357"/>
      <c s="550" r="V357"/>
      <c s="550" r="W357"/>
      <c s="550" r="X357"/>
      <c s="550" r="Y357"/>
      <c t="str" s="470" r="Z357">
        <f>IF(ISNUMBER(S357),(Q357-S357),NA())</f>
        <v>#N/A:explicit</v>
      </c>
      <c t="str" s="470" r="AA357">
        <f>IF(ISNUMBER(T357),IF((AH$22=1),(Z357+T357),(Q357-T357)),NA())</f>
        <v>#N/A:explicit</v>
      </c>
      <c t="str" s="470" r="AB357">
        <f>IF(ISNUMBER(U357),(Q357-U357),NA())</f>
        <v>#N/A:explicit</v>
      </c>
      <c t="str" s="470" r="AC357">
        <f>IF(ISNUMBER(V357),(Q357-V357),NA())</f>
        <v>#N/A:explicit</v>
      </c>
      <c t="str" s="470" r="AD357">
        <f>IF(ISNUMBER(W357),(Q357-W357),NA())</f>
        <v>#N/A:explicit</v>
      </c>
      <c t="str" s="470" r="AE357">
        <f>IF(ISNUMBER(X357),(Q357-X357),NA())</f>
        <v>#N/A:explicit</v>
      </c>
      <c t="str" s="552" r="AF357">
        <f>IF(ISNUMBER(Z357),Z357,"---")</f>
        <v>---</v>
      </c>
      <c s="142" r="AG357"/>
      <c t="str" s="142" r="AH357">
        <f>IF(ISBLANK(L357),NA(),MIN(AF$44:AF$361))</f>
        <v>#N/A:explicit</v>
      </c>
      <c t="str" s="142" r="AI357">
        <f>IF(ISNA(AA357),Z357,AA357)</f>
        <v>#N/A:explicit</v>
      </c>
      <c s="142" r="AJ357">
        <f>MIN(AF$44:AF$361)</f>
        <v>0</v>
      </c>
      <c s="142" r="AK357"/>
      <c t="str" s="142" r="AL357">
        <f>IF(ISNUMBER(AB357),O357,"---")</f>
        <v>---</v>
      </c>
      <c t="str" s="80" r="AM357">
        <f>IF(ISNUMBER(AB357),AB357,"---")</f>
        <v>---</v>
      </c>
      <c s="80" r="AN357"/>
      <c t="str" s="142" r="AO357">
        <f>IF((M357="r"),Z357,NA())</f>
        <v>#N/A:explicit</v>
      </c>
      <c t="str" s="142" r="AP357">
        <f>IF((M357="p"),Z357,NA())</f>
        <v>#N/A:explicit</v>
      </c>
      <c t="str" s="142" r="AQ357">
        <f>IF((M357="n"),Z357,NA())</f>
        <v>#N/A:explicit</v>
      </c>
      <c t="str" s="142" r="AR357">
        <f>IF((M357="g"),Z357,NA())</f>
        <v>#N/A:explicit</v>
      </c>
      <c s="142" r="AS357"/>
      <c t="str" s="142" r="AT357">
        <f>IF((COUNTA($M357:$M$361)=0),"---",IF(AND(($M357="r"),(COUNTA($M358:$M$361)&gt;0)),(MAX(AT$44:AT356)+1),IF(OR(($M356="p"),($M356="n"),($M356="g")),"---",AT356)))</f>
        <v>---</v>
      </c>
      <c t="str" s="142" r="AU357">
        <f>IF((COUNTA($M357:$M$361)=0),"---",IF(AND(($M357="p"),(COUNTA($M358:$M$361)&gt;0)),(MAX(AU$44:AU356)+1),IF(OR(($M356="r"),($M356="n"),($M356="g")),"---",AU356)))</f>
        <v>---</v>
      </c>
      <c t="str" s="142" r="AV357">
        <f>IF((COUNTA($M357:$M$361)=0),"---",IF(AND(($M357="n"),(COUNTA($M358:$M$361)&gt;0)),(MAX(AV$44:AV356)+1),IF(OR(($M356="r"),($M356="p"),($M356="g")),"---",AV356)))</f>
        <v>---</v>
      </c>
      <c t="str" s="142" r="AW357">
        <f>IF((COUNTA($M357:$M$361)=0),"---",IF(AND(($M357="g"),(COUNTA($M358:$M$361)&gt;0)),(MAX(AW$44:AW356)+1),IF(OR(($M356="r"),($M356="p"),($M356="n")),"---",AW356)))</f>
        <v>---</v>
      </c>
      <c s="676" r="AX357">
        <f>IF((M357="p"),(1+MAX(AX$44:AX356)),0)</f>
        <v>0</v>
      </c>
      <c s="51" r="AY357"/>
      <c s="761" r="AZ357"/>
      <c s="761" r="BA357"/>
      <c s="125" r="BB357"/>
      <c s="125" r="BC357"/>
      <c s="125" r="BD357"/>
      <c s="125" r="BE357"/>
      <c s="125" r="BF357"/>
      <c s="125" r="BG357"/>
      <c s="125" r="BH357"/>
      <c s="125" r="BI357"/>
    </row>
    <row r="358">
      <c s="125" r="A358"/>
      <c s="125" r="B358"/>
      <c s="125" r="C358"/>
      <c s="125" r="D358"/>
      <c s="125" r="E358"/>
      <c s="125" r="F358"/>
      <c s="125" r="G358"/>
      <c s="125" r="H358"/>
      <c s="125" r="I358"/>
      <c s="822" r="J358"/>
      <c s="848" r="K358"/>
      <c s="550" r="L358"/>
      <c s="104" r="M358"/>
      <c s="550" r="N358"/>
      <c t="str" s="589" r="O358">
        <f>IF((AH$28=2),IF(ISBLANK(N358),O357,N358),IF(ISNUMBER(N358),(MAX(O$44:O357)+N358),O357))</f>
        <v/>
      </c>
      <c s="694" r="P358"/>
      <c s="273" r="Q358">
        <f>IF(ISNUMBER(P358),((Q357+P358)-R357),Q357)</f>
        <v>100</v>
      </c>
      <c s="694" r="R358"/>
      <c s="821" r="S358"/>
      <c s="550" r="T358"/>
      <c s="550" r="U358"/>
      <c s="550" r="V358"/>
      <c s="550" r="W358"/>
      <c s="550" r="X358"/>
      <c s="550" r="Y358"/>
      <c t="str" s="470" r="Z358">
        <f>IF(ISNUMBER(S358),(Q358-S358),NA())</f>
        <v>#N/A:explicit</v>
      </c>
      <c t="str" s="470" r="AA358">
        <f>IF(ISNUMBER(T358),IF((AH$22=1),(Z358+T358),(Q358-T358)),NA())</f>
        <v>#N/A:explicit</v>
      </c>
      <c t="str" s="470" r="AB358">
        <f>IF(ISNUMBER(U358),(Q358-U358),NA())</f>
        <v>#N/A:explicit</v>
      </c>
      <c t="str" s="470" r="AC358">
        <f>IF(ISNUMBER(V358),(Q358-V358),NA())</f>
        <v>#N/A:explicit</v>
      </c>
      <c t="str" s="470" r="AD358">
        <f>IF(ISNUMBER(W358),(Q358-W358),NA())</f>
        <v>#N/A:explicit</v>
      </c>
      <c t="str" s="470" r="AE358">
        <f>IF(ISNUMBER(X358),(Q358-X358),NA())</f>
        <v>#N/A:explicit</v>
      </c>
      <c t="str" s="552" r="AF358">
        <f>IF(ISNUMBER(Z358),Z358,"---")</f>
        <v>---</v>
      </c>
      <c s="142" r="AG358"/>
      <c t="str" s="142" r="AH358">
        <f>IF(ISBLANK(L358),NA(),MIN(AF$44:AF$361))</f>
        <v>#N/A:explicit</v>
      </c>
      <c t="str" s="142" r="AI358">
        <f>IF(ISNA(AA358),Z358,AA358)</f>
        <v>#N/A:explicit</v>
      </c>
      <c s="142" r="AJ358">
        <f>MIN(AF$44:AF$361)</f>
        <v>0</v>
      </c>
      <c s="142" r="AK358"/>
      <c t="str" s="142" r="AL358">
        <f>IF(ISNUMBER(AB358),O358,"---")</f>
        <v>---</v>
      </c>
      <c t="str" s="80" r="AM358">
        <f>IF(ISNUMBER(AB358),AB358,"---")</f>
        <v>---</v>
      </c>
      <c s="80" r="AN358"/>
      <c t="str" s="142" r="AO358">
        <f>IF((M358="r"),Z358,NA())</f>
        <v>#N/A:explicit</v>
      </c>
      <c t="str" s="142" r="AP358">
        <f>IF((M358="p"),Z358,NA())</f>
        <v>#N/A:explicit</v>
      </c>
      <c t="str" s="142" r="AQ358">
        <f>IF((M358="n"),Z358,NA())</f>
        <v>#N/A:explicit</v>
      </c>
      <c t="str" s="142" r="AR358">
        <f>IF((M358="g"),Z358,NA())</f>
        <v>#N/A:explicit</v>
      </c>
      <c s="142" r="AS358"/>
      <c t="str" s="142" r="AT358">
        <f>IF((COUNTA($M358:$M$361)=0),"---",IF(AND(($M358="r"),(COUNTA($M359:$M$361)&gt;0)),(MAX(AT$44:AT357)+1),IF(OR(($M357="p"),($M357="n"),($M357="g")),"---",AT357)))</f>
        <v>---</v>
      </c>
      <c t="str" s="142" r="AU358">
        <f>IF((COUNTA($M358:$M$361)=0),"---",IF(AND(($M358="p"),(COUNTA($M359:$M$361)&gt;0)),(MAX(AU$44:AU357)+1),IF(OR(($M357="r"),($M357="n"),($M357="g")),"---",AU357)))</f>
        <v>---</v>
      </c>
      <c t="str" s="142" r="AV358">
        <f>IF((COUNTA($M358:$M$361)=0),"---",IF(AND(($M358="n"),(COUNTA($M359:$M$361)&gt;0)),(MAX(AV$44:AV357)+1),IF(OR(($M357="r"),($M357="p"),($M357="g")),"---",AV357)))</f>
        <v>---</v>
      </c>
      <c t="str" s="142" r="AW358">
        <f>IF((COUNTA($M358:$M$361)=0),"---",IF(AND(($M358="g"),(COUNTA($M359:$M$361)&gt;0)),(MAX(AW$44:AW357)+1),IF(OR(($M357="r"),($M357="p"),($M357="n")),"---",AW357)))</f>
        <v>---</v>
      </c>
      <c s="676" r="AX358">
        <f>IF((M358="p"),(1+MAX(AX$44:AX357)),0)</f>
        <v>0</v>
      </c>
      <c s="51" r="AY358"/>
      <c s="761" r="AZ358"/>
      <c s="761" r="BA358"/>
      <c s="125" r="BB358"/>
      <c s="125" r="BC358"/>
      <c s="125" r="BD358"/>
      <c s="125" r="BE358"/>
      <c s="125" r="BF358"/>
      <c s="125" r="BG358"/>
      <c s="125" r="BH358"/>
      <c s="125" r="BI358"/>
    </row>
    <row r="359">
      <c s="125" r="A359"/>
      <c s="125" r="B359"/>
      <c s="125" r="C359"/>
      <c s="125" r="D359"/>
      <c s="125" r="E359"/>
      <c s="125" r="F359"/>
      <c s="125" r="G359"/>
      <c s="125" r="H359"/>
      <c s="125" r="I359"/>
      <c s="822" r="J359"/>
      <c s="848" r="K359"/>
      <c s="550" r="L359"/>
      <c s="104" r="M359"/>
      <c s="550" r="N359"/>
      <c t="str" s="589" r="O359">
        <f>IF((AH$28=2),IF(ISBLANK(N359),O358,N359),IF(ISNUMBER(N359),(MAX(O$44:O358)+N359),O358))</f>
        <v/>
      </c>
      <c s="694" r="P359"/>
      <c s="273" r="Q359">
        <f>IF(ISNUMBER(P359),((Q358+P359)-R358),Q358)</f>
        <v>100</v>
      </c>
      <c s="694" r="R359"/>
      <c s="821" r="S359"/>
      <c s="550" r="T359"/>
      <c s="550" r="U359"/>
      <c s="550" r="V359"/>
      <c s="550" r="W359"/>
      <c s="550" r="X359"/>
      <c s="550" r="Y359"/>
      <c t="str" s="470" r="Z359">
        <f>IF(ISNUMBER(S359),(Q359-S359),NA())</f>
        <v>#N/A:explicit</v>
      </c>
      <c t="str" s="470" r="AA359">
        <f>IF(ISNUMBER(T359),IF((AH$22=1),(Z359+T359),(Q359-T359)),NA())</f>
        <v>#N/A:explicit</v>
      </c>
      <c t="str" s="470" r="AB359">
        <f>IF(ISNUMBER(U359),(Q359-U359),NA())</f>
        <v>#N/A:explicit</v>
      </c>
      <c t="str" s="470" r="AC359">
        <f>IF(ISNUMBER(V359),(Q359-V359),NA())</f>
        <v>#N/A:explicit</v>
      </c>
      <c t="str" s="470" r="AD359">
        <f>IF(ISNUMBER(W359),(Q359-W359),NA())</f>
        <v>#N/A:explicit</v>
      </c>
      <c t="str" s="470" r="AE359">
        <f>IF(ISNUMBER(X359),(Q359-X359),NA())</f>
        <v>#N/A:explicit</v>
      </c>
      <c t="str" s="552" r="AF359">
        <f>IF(ISNUMBER(Z359),Z359,"---")</f>
        <v>---</v>
      </c>
      <c s="142" r="AG359"/>
      <c t="str" s="142" r="AH359">
        <f>IF(ISBLANK(L359),NA(),MIN(AF$44:AF$361))</f>
        <v>#N/A:explicit</v>
      </c>
      <c t="str" s="142" r="AI359">
        <f>IF(ISNA(AA359),Z359,AA359)</f>
        <v>#N/A:explicit</v>
      </c>
      <c s="142" r="AJ359">
        <f>MIN(AF$44:AF$361)</f>
        <v>0</v>
      </c>
      <c s="142" r="AK359"/>
      <c t="str" s="142" r="AL359">
        <f>IF(ISNUMBER(AB359),O359,"---")</f>
        <v>---</v>
      </c>
      <c t="str" s="80" r="AM359">
        <f>IF(ISNUMBER(AB359),AB359,"---")</f>
        <v>---</v>
      </c>
      <c s="80" r="AN359"/>
      <c t="str" s="142" r="AO359">
        <f>IF((M359="r"),Z359,NA())</f>
        <v>#N/A:explicit</v>
      </c>
      <c t="str" s="142" r="AP359">
        <f>IF((M359="p"),Z359,NA())</f>
        <v>#N/A:explicit</v>
      </c>
      <c t="str" s="142" r="AQ359">
        <f>IF((M359="n"),Z359,NA())</f>
        <v>#N/A:explicit</v>
      </c>
      <c t="str" s="142" r="AR359">
        <f>IF((M359="g"),Z359,NA())</f>
        <v>#N/A:explicit</v>
      </c>
      <c s="142" r="AS359"/>
      <c t="str" s="142" r="AT359">
        <f>IF((COUNTA($M359:$M$361)=0),"---",IF(AND(($M359="r"),(COUNTA($M360:$M$361)&gt;0)),(MAX(AT$44:AT358)+1),IF(OR(($M358="p"),($M358="n"),($M358="g")),"---",AT358)))</f>
        <v>---</v>
      </c>
      <c t="str" s="142" r="AU359">
        <f>IF((COUNTA($M359:$M$361)=0),"---",IF(AND(($M359="p"),(COUNTA($M360:$M$361)&gt;0)),(MAX(AU$44:AU358)+1),IF(OR(($M358="r"),($M358="n"),($M358="g")),"---",AU358)))</f>
        <v>---</v>
      </c>
      <c t="str" s="142" r="AV359">
        <f>IF((COUNTA($M359:$M$361)=0),"---",IF(AND(($M359="n"),(COUNTA($M360:$M$361)&gt;0)),(MAX(AV$44:AV358)+1),IF(OR(($M358="r"),($M358="p"),($M358="g")),"---",AV358)))</f>
        <v>---</v>
      </c>
      <c t="str" s="142" r="AW359">
        <f>IF((COUNTA($M359:$M$361)=0),"---",IF(AND(($M359="g"),(COUNTA($M360:$M$361)&gt;0)),(MAX(AW$44:AW358)+1),IF(OR(($M358="r"),($M358="p"),($M358="n")),"---",AW358)))</f>
        <v>---</v>
      </c>
      <c s="676" r="AX359">
        <f>IF((M359="p"),(1+MAX(AX$44:AX358)),0)</f>
        <v>0</v>
      </c>
      <c s="51" r="AY359"/>
      <c s="761" r="AZ359"/>
      <c s="761" r="BA359"/>
      <c s="125" r="BB359"/>
      <c s="125" r="BC359"/>
      <c s="125" r="BD359"/>
      <c s="125" r="BE359"/>
      <c s="125" r="BF359"/>
      <c s="125" r="BG359"/>
      <c s="125" r="BH359"/>
      <c s="125" r="BI359"/>
    </row>
    <row r="360">
      <c s="125" r="A360"/>
      <c s="125" r="B360"/>
      <c s="125" r="C360"/>
      <c s="125" r="D360"/>
      <c s="125" r="E360"/>
      <c s="125" r="F360"/>
      <c s="125" r="G360"/>
      <c s="125" r="H360"/>
      <c s="125" r="I360"/>
      <c s="822" r="J360"/>
      <c s="429" r="K360"/>
      <c s="458" r="L360"/>
      <c s="104" r="M360"/>
      <c s="458" r="N360"/>
      <c t="str" s="589" r="O360">
        <f>IF((AH$28=2),IF(ISBLANK(N360),O359,N360),IF(ISNUMBER(N360),(MAX(O$44:O359)+N360),O359))</f>
        <v/>
      </c>
      <c s="228" r="P360"/>
      <c s="273" r="Q360">
        <f>IF(ISNUMBER(P360),((Q359+P360)-R359),Q359)</f>
        <v>100</v>
      </c>
      <c s="228" r="R360"/>
      <c s="610" r="S360"/>
      <c s="458" r="T360"/>
      <c s="458" r="U360"/>
      <c s="458" r="V360"/>
      <c s="458" r="W360"/>
      <c s="458" r="X360"/>
      <c s="458" r="Y360"/>
      <c t="str" s="620" r="Z360">
        <f>IF(ISNUMBER(S360),(Q360-S360),NA())</f>
        <v>#N/A:explicit</v>
      </c>
      <c t="str" s="620" r="AA360">
        <f>IF(ISNUMBER(T360),IF((AH$22=1),(Z360+T360),(Q360-T360)),NA())</f>
        <v>#N/A:explicit</v>
      </c>
      <c t="str" s="620" r="AB360">
        <f>IF(ISNUMBER(U360),(Q360-U360),NA())</f>
        <v>#N/A:explicit</v>
      </c>
      <c t="str" s="620" r="AC360">
        <f>IF(ISNUMBER(V360),(Q360-V360),NA())</f>
        <v>#N/A:explicit</v>
      </c>
      <c t="str" s="620" r="AD360">
        <f>IF(ISNUMBER(W360),(Q360-W360),NA())</f>
        <v>#N/A:explicit</v>
      </c>
      <c t="str" s="620" r="AE360">
        <f>IF(ISNUMBER(X360),(Q360-X360),NA())</f>
        <v>#N/A:explicit</v>
      </c>
      <c t="str" s="552" r="AF360">
        <f>IF(ISNUMBER(Z360),Z360,"---")</f>
        <v>---</v>
      </c>
      <c s="142" r="AG360"/>
      <c t="str" s="142" r="AH360">
        <f>IF(ISBLANK(L360),NA(),MIN(AF$44:AF$361))</f>
        <v>#N/A:explicit</v>
      </c>
      <c t="str" s="142" r="AI360">
        <f>IF(ISNA(AA360),Z360,AA360)</f>
        <v>#N/A:explicit</v>
      </c>
      <c s="142" r="AJ360">
        <f>MIN(AF$44:AF$361)</f>
        <v>0</v>
      </c>
      <c s="142" r="AK360"/>
      <c t="str" s="142" r="AL360">
        <f>IF(ISNUMBER(AB360),O360,"---")</f>
        <v>---</v>
      </c>
      <c t="str" s="80" r="AM360">
        <f>IF(ISNUMBER(AB360),AB360,"---")</f>
        <v>---</v>
      </c>
      <c s="80" r="AN360"/>
      <c t="str" s="142" r="AO360">
        <f>IF((M360="r"),Z360,NA())</f>
        <v>#N/A:explicit</v>
      </c>
      <c t="str" s="142" r="AP360">
        <f>IF((M360="p"),Z360,NA())</f>
        <v>#N/A:explicit</v>
      </c>
      <c t="str" s="142" r="AQ360">
        <f>IF((M360="n"),Z360,NA())</f>
        <v>#N/A:explicit</v>
      </c>
      <c t="str" s="142" r="AR360">
        <f>IF((M360="g"),Z360,NA())</f>
        <v>#N/A:explicit</v>
      </c>
      <c s="142" r="AS360"/>
      <c t="str" s="142" r="AT360">
        <f>IF((COUNTA($M360:$M$361)=0),"---",IF(AND(($M360="r"),(COUNTA($M361:$M$361)&gt;0)),(MAX(AT$44:AT359)+1),IF(OR(($M359="p"),($M359="n"),($M359="g")),"---",AT359)))</f>
        <v>---</v>
      </c>
      <c t="str" s="142" r="AU360">
        <f>IF((COUNTA($M360:$M$361)=0),"---",IF(AND(($M360="p"),(COUNTA($M361:$M$361)&gt;0)),(MAX(AU$44:AU359)+1),IF(OR(($M359="r"),($M359="n"),($M359="g")),"---",AU359)))</f>
        <v>---</v>
      </c>
      <c t="str" s="142" r="AV360">
        <f>IF((COUNTA($M360:$M$361)=0),"---",IF(AND(($M360="n"),(COUNTA($M361:$M$361)&gt;0)),(MAX(AV$44:AV359)+1),IF(OR(($M359="r"),($M359="p"),($M359="g")),"---",AV359)))</f>
        <v>---</v>
      </c>
      <c t="str" s="142" r="AW360">
        <f>IF((COUNTA($M360:$M$361)=0),"---",IF(AND(($M360="g"),(COUNTA($M361:$M$361)&gt;0)),(MAX(AW$44:AW359)+1),IF(OR(($M359="r"),($M359="p"),($M359="n")),"---",AW359)))</f>
        <v>---</v>
      </c>
      <c s="676" r="AX360">
        <f>IF((M360="p"),(1+MAX(AX$44:AX359)),0)</f>
        <v>0</v>
      </c>
      <c s="51" r="AY360"/>
      <c s="761" r="AZ360"/>
      <c s="761" r="BA360"/>
      <c s="125" r="BB360"/>
      <c s="125" r="BC360"/>
      <c s="125" r="BD360"/>
      <c s="125" r="BE360"/>
      <c s="125" r="BF360"/>
      <c s="125" r="BG360"/>
      <c s="125" r="BH360"/>
      <c s="125" r="BI360"/>
    </row>
    <row customHeight="1" r="361" ht="13.5">
      <c s="125" r="A361"/>
      <c s="125" r="B361"/>
      <c s="125" r="C361"/>
      <c s="125" r="D361"/>
      <c s="125" r="E361"/>
      <c s="125" r="F361"/>
      <c s="125" r="G361"/>
      <c s="125" r="H361"/>
      <c s="125" r="I361"/>
      <c s="822" r="J361"/>
      <c s="429" r="K361"/>
      <c s="458" r="L361"/>
      <c s="104" r="M361"/>
      <c s="458" r="N361"/>
      <c t="str" s="589" r="O361">
        <f>IF((AH$28=2),IF(ISBLANK(N361),O360,N361),IF(ISNUMBER(N361),(MAX(O$44:O360)+N361),O360))</f>
        <v/>
      </c>
      <c s="228" r="P361"/>
      <c s="273" r="Q361">
        <f>IF(ISNUMBER(P361),((Q360+P361)-R360),Q360)</f>
        <v>100</v>
      </c>
      <c s="228" r="R361"/>
      <c s="610" r="S361"/>
      <c s="458" r="T361"/>
      <c s="458" r="U361"/>
      <c s="458" r="V361"/>
      <c s="458" r="W361"/>
      <c s="458" r="X361"/>
      <c s="458" r="Y361"/>
      <c t="str" s="620" r="Z361">
        <f>IF(ISNUMBER(S361),(Q361-S361),NA())</f>
        <v>#N/A:explicit</v>
      </c>
      <c t="str" s="620" r="AA361">
        <f>IF(ISNUMBER(T361),IF((AH$22=1),(Z361+T361),(Q361-T361)),NA())</f>
        <v>#N/A:explicit</v>
      </c>
      <c t="str" s="620" r="AB361">
        <f>IF(ISNUMBER(U361),(Q361-U361),NA())</f>
        <v>#N/A:explicit</v>
      </c>
      <c t="str" s="620" r="AC361">
        <f>IF(ISNUMBER(V361),(Q361-V361),NA())</f>
        <v>#N/A:explicit</v>
      </c>
      <c t="str" s="620" r="AD361">
        <f>IF(ISNUMBER(W361),(Q361-W361),NA())</f>
        <v>#N/A:explicit</v>
      </c>
      <c t="str" s="620" r="AE361">
        <f>IF(ISNUMBER(X361),(Q361-X361),NA())</f>
        <v>#N/A:explicit</v>
      </c>
      <c t="str" s="713" r="AF361">
        <f>IF(ISNUMBER(Z361),Z361,"---")</f>
        <v>---</v>
      </c>
      <c s="315" r="AG361"/>
      <c t="str" s="315" r="AH361">
        <f>IF(ISBLANK(L361),NA(),MIN(AF$44:AF$361))</f>
        <v>#N/A:explicit</v>
      </c>
      <c t="str" s="315" r="AI361">
        <f>IF(ISNA(AA361),Z361,AA361)</f>
        <v>#N/A:explicit</v>
      </c>
      <c s="315" r="AJ361">
        <f>MIN(AF$44:AF$361)</f>
        <v>0</v>
      </c>
      <c s="315" r="AK361"/>
      <c t="str" s="315" r="AL361">
        <f>IF(ISNUMBER(AB361),O361,"---")</f>
        <v>---</v>
      </c>
      <c t="str" s="876" r="AM361">
        <f>IF(ISNUMBER(AB361),AB361,"---")</f>
        <v>---</v>
      </c>
      <c s="876" r="AN361"/>
      <c t="str" s="315" r="AO361">
        <f>IF((M361="r"),Z361,NA())</f>
        <v>#N/A:explicit</v>
      </c>
      <c t="str" s="315" r="AP361">
        <f>IF((M361="p"),Z361,NA())</f>
        <v>#N/A:explicit</v>
      </c>
      <c t="str" s="315" r="AQ361">
        <f>IF((M361="n"),Z361,NA())</f>
        <v>#N/A:explicit</v>
      </c>
      <c t="str" s="315" r="AR361">
        <f>IF((M361="g"),Z361,NA())</f>
        <v>#N/A:explicit</v>
      </c>
      <c s="315" r="AS361"/>
      <c t="str" s="315" r="AT361">
        <f>IF((COUNTA($M361:$M$361)=0),"---",IF(AND(($M361="r"),(COUNTA($M$361:$M362)&gt;0)),(MAX(AT$44:AT360)+1),IF(OR(($M360="p"),($M360="n"),($M360="g")),"---",AT360)))</f>
        <v>---</v>
      </c>
      <c t="str" s="315" r="AU361">
        <f>IF((COUNTA($M361:$M$361)=0),"---",IF(AND(($M361="p"),(COUNTA($M$361:$M362)&gt;0)),(MAX(AU$44:AU360)+1),IF(OR(($M360="r"),($M360="n"),($M360="g")),"---",AU360)))</f>
        <v>---</v>
      </c>
      <c t="str" s="315" r="AV361">
        <f>IF((COUNTA($M361:$M$361)=0),"---",IF(AND(($M361="n"),(COUNTA($M$361:$M362)&gt;0)),(MAX(AV$44:AV360)+1),IF(OR(($M360="r"),($M360="p"),($M360="g")),"---",AV360)))</f>
        <v>---</v>
      </c>
      <c t="str" s="315" r="AW361">
        <f>IF((COUNTA($M361:$M$361)=0),"---",IF(AND(($M361="g"),(COUNTA($M$361:$M362)&gt;0)),(MAX(AW$44:AW360)+1),IF(OR(($M360="r"),($M360="p"),($M360="n")),"---",AW360)))</f>
        <v>---</v>
      </c>
      <c s="179" r="AX361">
        <f>IF((M361="p"),(1+MAX(AX$44:AX360)),0)</f>
        <v>0</v>
      </c>
      <c s="51" r="AY361"/>
      <c s="761" r="AZ361"/>
      <c s="761" r="BA361"/>
      <c s="125" r="BB361"/>
      <c s="125" r="BC361"/>
      <c s="125" r="BD361"/>
      <c s="125" r="BE361"/>
      <c s="125" r="BF361"/>
      <c s="125" r="BG361"/>
      <c s="125" r="BH361"/>
      <c s="125" r="BI361"/>
    </row>
    <row customHeight="1" r="362" ht="13.5">
      <c s="125" r="A362"/>
      <c s="125" r="B362"/>
      <c s="125" r="C362"/>
      <c s="125" r="D362"/>
      <c s="125" r="E362"/>
      <c s="125" r="F362"/>
      <c s="125" r="G362"/>
      <c s="125" r="H362"/>
      <c s="125" r="I362"/>
      <c s="125" r="J362"/>
      <c s="442" r="K362"/>
      <c s="442" r="L362"/>
      <c s="442" r="M362"/>
      <c s="442" r="N362"/>
      <c s="442" r="O362"/>
      <c s="130" r="P362"/>
      <c s="130" r="Q362"/>
      <c s="130" r="R362"/>
      <c s="130" r="S362"/>
      <c s="442" r="T362"/>
      <c s="130" r="U362"/>
      <c s="130" r="V362"/>
      <c s="130" r="W362"/>
      <c s="130" r="X362"/>
      <c s="442" r="Y362"/>
      <c s="442" r="Z362"/>
      <c s="442" r="AA362"/>
      <c s="442" r="AB362"/>
      <c s="442" r="AC362"/>
      <c s="442" r="AD362"/>
      <c s="442" r="AE362"/>
      <c s="442" r="AF362"/>
      <c s="442" r="AG362"/>
      <c s="442" r="AH362"/>
      <c s="442" r="AI362"/>
      <c s="442" r="AJ362"/>
      <c s="442" r="AK362"/>
      <c s="442" r="AL362"/>
      <c s="442" r="AM362"/>
      <c s="442" r="AN362"/>
      <c s="442" r="AO362"/>
      <c s="442" r="AP362"/>
      <c s="442" r="AQ362"/>
      <c s="442" r="AR362"/>
      <c s="442" r="AS362"/>
      <c s="442" r="AT362"/>
      <c s="442" r="AU362"/>
      <c s="442" r="AV362"/>
      <c s="442" r="AW362"/>
      <c s="130" r="AX362"/>
      <c s="125" r="AY362"/>
      <c s="761" r="AZ362"/>
      <c s="761" r="BA362"/>
      <c s="125" r="BB362"/>
      <c s="125" r="BC362"/>
      <c s="125" r="BD362"/>
      <c s="125" r="BE362"/>
      <c s="125" r="BF362"/>
      <c s="125" r="BG362"/>
      <c s="125" r="BH362"/>
      <c s="125" r="BI362"/>
    </row>
  </sheetData>
  <mergeCells count="10">
    <mergeCell ref="Z30:AA30"/>
    <mergeCell ref="Z31:AA31"/>
    <mergeCell ref="N32:O32"/>
    <mergeCell ref="Q32:R32"/>
    <mergeCell ref="T32:U32"/>
    <mergeCell ref="W32:X32"/>
    <mergeCell ref="M39:M42"/>
    <mergeCell ref="D48:I50"/>
    <mergeCell ref="D54:I54"/>
    <mergeCell ref="D55:I56"/>
  </mergeCells>
  <dataValidations>
    <dataValidation showErrorMessage="1" sqref="E30 G30:H30 E37:E42 F37 G38:H41 BC40:BD41 F42 BC43:BD44 P44:P361 R44:Y361 BC46:BD47 BC49:BD50 BC52:BD53 BC55:BD56 BC58:BD59" allowBlank="1" prompt=": " type="whole" operator="notEqual" showInputMessage="1">
      <formula1>-431.2126</formula1>
    </dataValidation>
    <dataValidation showErrorMessage="1" sqref="N44:N361" allowBlank="1" prompt=": " type="whole" operator="greaterThanOrEqual" showInputMessage="1">
      <formula1>0</formula1>
    </dataValidation>
  </dataValidations>
  <legacy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4" style="125" width="9.14"/>
    <col min="5" customWidth="1" max="5" style="125" width="10.86"/>
    <col min="6" customWidth="1" max="25" style="125" width="9.14"/>
    <col min="26" customWidth="1" max="26" style="125" width="7.71"/>
    <col min="27" customWidth="1" max="37" style="125" width="0.14"/>
    <col min="38" customWidth="1" max="38" style="125" width="7.71"/>
    <col min="39" customWidth="1" max="39" style="125" width="9.14"/>
  </cols>
  <sheetData>
    <row r="1">
      <c s="125" r="A1"/>
      <c s="125" r="B1"/>
      <c s="125" r="C1"/>
      <c s="125" r="D1"/>
      <c s="125" r="E1"/>
      <c s="125" r="F1"/>
      <c s="125" r="G1"/>
      <c s="125" r="H1"/>
      <c s="125" r="I1"/>
      <c s="125" r="J1"/>
      <c s="125" r="K1"/>
      <c s="125" r="L1"/>
      <c s="125" r="M1"/>
      <c s="125" r="N1"/>
      <c s="125" r="O1"/>
      <c s="125" r="P1"/>
      <c s="125" r="Q1"/>
      <c s="125" r="R1"/>
      <c s="125" r="S1"/>
      <c s="125" r="T1"/>
      <c s="125" r="U1"/>
      <c s="125" r="V1"/>
      <c s="125" r="W1"/>
      <c s="125" r="X1"/>
      <c s="125" r="Y1"/>
      <c s="125" r="Z1"/>
      <c s="125" r="AA1"/>
      <c s="125" r="AB1"/>
      <c s="125" r="AC1"/>
      <c s="125" r="AD1"/>
      <c s="125" r="AE1"/>
      <c s="125" r="AF1"/>
      <c s="125" r="AG1"/>
      <c s="125" r="AH1"/>
      <c s="125" r="AI1"/>
      <c s="125" r="AJ1"/>
      <c s="125" r="AK1"/>
      <c s="125" r="AL1"/>
      <c s="125" r="AM1"/>
    </row>
    <row r="2">
      <c s="125" r="A2"/>
      <c s="125" r="B2"/>
      <c s="125" r="C2"/>
      <c s="125" r="D2"/>
      <c s="125" r="E2"/>
      <c s="125" r="F2"/>
      <c s="125" r="G2"/>
      <c s="125" r="H2"/>
      <c s="125" r="I2"/>
      <c s="125" r="J2"/>
      <c s="125" r="K2"/>
      <c s="125" r="L2"/>
      <c s="125" r="M2"/>
      <c s="125" r="N2"/>
      <c s="125" r="O2"/>
      <c s="125" r="P2"/>
      <c s="125" r="Q2"/>
      <c s="125" r="R2"/>
      <c s="125" r="S2"/>
      <c s="125" r="T2"/>
      <c s="125" r="U2"/>
      <c s="125" r="V2"/>
      <c s="125" r="W2"/>
      <c s="125" r="X2"/>
      <c s="125" r="Y2"/>
      <c s="125" r="Z2"/>
      <c s="125" r="AA2"/>
      <c s="125" r="AB2"/>
      <c s="125" r="AC2"/>
      <c s="125" r="AD2"/>
      <c s="125" r="AE2"/>
      <c s="125" r="AF2"/>
      <c s="125" r="AG2"/>
      <c s="125" r="AH2"/>
      <c s="125" r="AI2"/>
      <c s="125" r="AJ2"/>
      <c s="125" r="AK2"/>
      <c s="125" r="AL2"/>
      <c s="125" r="AM2"/>
    </row>
    <row r="3">
      <c s="845" r="A3"/>
      <c s="457" r="B3"/>
      <c s="457" r="C3"/>
      <c s="457" r="D3"/>
      <c s="457" r="E3"/>
      <c s="457" r="F3"/>
      <c s="457" r="G3"/>
      <c s="457" r="H3"/>
      <c s="457" r="I3"/>
      <c s="125" r="J3"/>
      <c s="457" r="K3"/>
      <c s="361" r="L3"/>
      <c s="361" r="M3"/>
      <c s="361" r="N3"/>
      <c s="361" r="O3"/>
      <c s="361" r="P3"/>
      <c s="361" r="Q3"/>
      <c s="361" r="R3"/>
      <c s="361" r="S3"/>
      <c s="125" r="T3"/>
      <c s="854" r="U3"/>
      <c s="854" r="V3"/>
      <c s="854" r="W3"/>
      <c s="854" r="X3"/>
      <c s="854" r="Y3"/>
      <c s="125" r="Z3"/>
      <c s="607" r="AA3"/>
      <c s="607" r="AB3"/>
      <c s="607" r="AC3"/>
      <c s="607" r="AD3"/>
      <c s="607" r="AE3"/>
      <c s="361" r="AF3"/>
      <c s="361" r="AG3"/>
      <c s="361" r="AH3"/>
      <c s="361" r="AI3"/>
      <c s="361" r="AJ3"/>
      <c s="361" r="AK3"/>
      <c s="125" r="AL3"/>
      <c s="125" r="AM3"/>
    </row>
    <row customHeight="1" r="4" ht="13.5">
      <c s="822" r="A4"/>
      <c t="s" s="632" r="B4">
        <v>405</v>
      </c>
      <c s="313" r="C4"/>
      <c s="313" r="D4"/>
      <c s="313" r="E4"/>
      <c s="313" r="F4"/>
      <c s="313" r="G4"/>
      <c s="313" r="H4"/>
      <c s="188" r="I4"/>
      <c s="702" r="J4"/>
      <c s="178" r="K4"/>
      <c s="640" r="L4"/>
      <c s="640" r="M4"/>
      <c s="640" r="N4"/>
      <c s="640" r="O4"/>
      <c s="640" r="P4"/>
      <c s="640" r="Q4"/>
      <c s="640" r="R4"/>
      <c s="688" r="S4"/>
      <c s="702" r="T4"/>
      <c s="27" r="U4"/>
      <c s="216" r="V4"/>
      <c s="216" r="W4"/>
      <c s="216" r="X4"/>
      <c s="841" r="Y4"/>
      <c s="702" r="Z4"/>
      <c s="178" r="AA4"/>
      <c s="640" r="AB4"/>
      <c s="640" r="AC4"/>
      <c s="640" r="AD4"/>
      <c s="640" r="AE4"/>
      <c s="640" r="AF4"/>
      <c s="640" r="AG4"/>
      <c s="640" r="AH4"/>
      <c s="640" r="AI4"/>
      <c s="640" r="AJ4"/>
      <c s="688" r="AK4"/>
      <c s="51" r="AL4"/>
      <c s="125" r="AM4"/>
    </row>
    <row r="5">
      <c s="822" r="A5"/>
      <c s="332" r="B5"/>
      <c s="149" r="C5"/>
      <c s="149" r="D5"/>
      <c s="149" r="E5"/>
      <c s="149" r="F5"/>
      <c s="149" r="G5"/>
      <c s="149" r="H5"/>
      <c s="602" r="I5"/>
      <c s="702" r="J5"/>
      <c s="908" r="K5"/>
      <c s="551" r="L5"/>
      <c s="551" r="M5"/>
      <c s="551" r="N5"/>
      <c s="551" r="O5"/>
      <c s="551" r="P5"/>
      <c s="551" r="Q5"/>
      <c s="551" r="R5"/>
      <c s="671" r="S5"/>
      <c s="702" r="T5"/>
      <c s="811" r="U5"/>
      <c s="879" r="V5"/>
      <c s="879" r="W5"/>
      <c s="879" r="X5"/>
      <c s="703" r="Y5"/>
      <c s="702" r="Z5"/>
      <c s="908" r="AA5"/>
      <c t="s" s="468" r="AB5">
        <v>406</v>
      </c>
      <c t="s" s="819" r="AC5">
        <v>407</v>
      </c>
      <c s="124" r="AD5"/>
      <c t="s" s="25" r="AE5">
        <v>356</v>
      </c>
      <c s="124" r="AF5"/>
      <c s="25" r="AG5"/>
      <c s="25" r="AH5"/>
      <c s="25" r="AI5"/>
      <c s="25" r="AJ5"/>
      <c s="648" r="AK5"/>
      <c s="113" r="AL5"/>
      <c s="125" r="AM5"/>
    </row>
    <row r="6">
      <c s="822" r="A6"/>
      <c s="406" r="B6"/>
      <c t="s" s="729" r="C6">
        <v>312</v>
      </c>
      <c s="566" r="D6"/>
      <c s="566" r="E6"/>
      <c s="566" r="F6"/>
      <c s="529" r="G6"/>
      <c s="529" r="H6"/>
      <c s="418" r="I6"/>
      <c s="702" r="J6"/>
      <c s="908" r="K6"/>
      <c s="551" r="L6"/>
      <c s="551" r="M6"/>
      <c s="551" r="N6"/>
      <c s="551" r="O6"/>
      <c s="551" r="P6"/>
      <c s="551" r="Q6"/>
      <c s="551" r="R6"/>
      <c s="671" r="S6"/>
      <c s="702" r="T6"/>
      <c s="811" r="U6"/>
      <c s="879" r="V6"/>
      <c s="879" r="W6"/>
      <c s="879" r="X6"/>
      <c s="703" r="Y6"/>
      <c s="702" r="Z6"/>
      <c s="891" r="AA6"/>
      <c s="677" r="AB6">
        <f>AB12+(MAX(AB11:AC11)/2)</f>
        <v>0</v>
      </c>
      <c s="286" r="AC6">
        <f>AC12+(MAX($AB11:AC$11)/2)</f>
        <v>0</v>
      </c>
      <c s="124" r="AD6"/>
      <c s="52" r="AE6">
        <f>Summary!J4</f>
        <v>1</v>
      </c>
      <c s="124" r="AF6"/>
      <c s="124" r="AG6"/>
      <c s="124" r="AH6"/>
      <c s="124" r="AI6"/>
      <c s="124" r="AJ6"/>
      <c s="501" r="AK6"/>
      <c s="51" r="AL6"/>
      <c s="125" r="AM6"/>
    </row>
    <row r="7">
      <c s="822" r="A7"/>
      <c s="406" r="B7"/>
      <c s="756" r="C7"/>
      <c t="s" s="756" r="D7">
        <v>408</v>
      </c>
      <c s="756" r="E7"/>
      <c s="756" r="F7"/>
      <c s="756" r="G7"/>
      <c s="756" r="H7"/>
      <c s="418" r="I7"/>
      <c s="702" r="J7"/>
      <c s="908" r="K7"/>
      <c s="551" r="L7"/>
      <c s="551" r="M7"/>
      <c s="551" r="N7"/>
      <c s="551" r="O7"/>
      <c s="551" r="P7"/>
      <c s="551" r="Q7"/>
      <c s="551" r="R7"/>
      <c s="671" r="S7"/>
      <c s="702" r="T7"/>
      <c s="811" r="U7"/>
      <c s="879" r="V7"/>
      <c s="879" r="W7"/>
      <c s="879" r="X7"/>
      <c s="703" r="Y7"/>
      <c s="702" r="Z7"/>
      <c s="891" r="AA7"/>
      <c s="286" r="AB7">
        <f>AB12-(MAX(AB11:AC11)/2)</f>
        <v>0</v>
      </c>
      <c s="286" r="AC7">
        <f>AC12-(MAX(AB11:AC11)/2)</f>
        <v>0</v>
      </c>
      <c s="124" r="AD7"/>
      <c s="124" r="AE7"/>
      <c s="124" r="AF7"/>
      <c s="124" r="AG7"/>
      <c s="124" r="AH7"/>
      <c s="124" r="AI7"/>
      <c s="124" r="AJ7"/>
      <c s="501" r="AK7"/>
      <c s="51" r="AL7"/>
      <c s="125" r="AM7"/>
    </row>
    <row r="8">
      <c s="822" r="A8"/>
      <c s="406" r="B8"/>
      <c s="886" r="C8"/>
      <c t="s" s="886" r="D8">
        <v>409</v>
      </c>
      <c s="886" r="E8"/>
      <c s="886" r="F8"/>
      <c s="886" r="G8"/>
      <c s="886" r="H8"/>
      <c s="418" r="I8"/>
      <c s="702" r="J8"/>
      <c s="908" r="K8"/>
      <c s="551" r="L8"/>
      <c s="551" r="M8"/>
      <c s="551" r="N8"/>
      <c s="551" r="O8"/>
      <c s="551" r="P8"/>
      <c s="551" r="Q8"/>
      <c s="551" r="R8"/>
      <c s="671" r="S8"/>
      <c s="702" r="T8"/>
      <c s="811" r="U8"/>
      <c s="879" r="V8"/>
      <c s="879" r="W8"/>
      <c s="879" r="X8"/>
      <c s="703" r="Y8"/>
      <c s="702" r="Z8"/>
      <c s="891" r="AA8"/>
      <c s="348" r="AB8"/>
      <c s="348" r="AC8"/>
      <c s="124" r="AD8"/>
      <c s="124" r="AE8"/>
      <c s="124" r="AF8"/>
      <c s="124" r="AG8"/>
      <c s="124" r="AH8"/>
      <c s="124" r="AI8"/>
      <c s="124" r="AJ8"/>
      <c s="501" r="AK8"/>
      <c s="51" r="AL8"/>
      <c s="125" r="AM8"/>
    </row>
    <row r="9">
      <c s="822" r="A9"/>
      <c s="406" r="B9"/>
      <c s="886" r="C9"/>
      <c s="886" r="D9"/>
      <c s="886" r="E9"/>
      <c s="886" r="F9"/>
      <c s="886" r="G9"/>
      <c s="886" r="H9"/>
      <c s="418" r="I9"/>
      <c s="702" r="J9"/>
      <c s="908" r="K9"/>
      <c s="551" r="L9"/>
      <c s="551" r="M9"/>
      <c s="551" r="N9"/>
      <c s="551" r="O9"/>
      <c s="551" r="P9"/>
      <c s="551" r="Q9"/>
      <c s="551" r="R9"/>
      <c s="671" r="S9"/>
      <c s="702" r="T9"/>
      <c s="811" r="U9"/>
      <c s="879" r="V9"/>
      <c s="879" r="W9"/>
      <c s="879" r="X9"/>
      <c s="703" r="Y9"/>
      <c s="702" r="Z9"/>
      <c t="s" s="891" r="AA9">
        <v>77</v>
      </c>
      <c s="348" r="AB9">
        <f>IF(ISNUMBER(F63),MAX(Y16:Y333,AI16:AI333,AK16:AK333),MAX(Y16:Y333))</f>
        <v>0</v>
      </c>
      <c s="348" r="AC9">
        <f>IF(ISNUMBER(F63),MAX(X16:X333,AH16:AH333,AJ16:AJ333),MAX(X16:X333))</f>
        <v>0</v>
      </c>
      <c s="124" r="AD9"/>
      <c s="124" r="AE9"/>
      <c s="124" r="AF9"/>
      <c s="124" r="AG9"/>
      <c s="124" r="AH9"/>
      <c s="124" r="AI9"/>
      <c s="124" r="AJ9"/>
      <c s="501" r="AK9"/>
      <c s="51" r="AL9"/>
      <c s="125" r="AM9"/>
    </row>
    <row r="10">
      <c s="822" r="A10"/>
      <c s="406" r="B10"/>
      <c s="886" r="C10"/>
      <c t="s" s="886" r="D10">
        <v>410</v>
      </c>
      <c s="886" r="E10"/>
      <c s="886" r="F10"/>
      <c s="886" r="G10"/>
      <c s="886" r="H10"/>
      <c s="418" r="I10"/>
      <c s="702" r="J10"/>
      <c s="908" r="K10"/>
      <c s="551" r="L10"/>
      <c s="551" r="M10"/>
      <c s="551" r="N10"/>
      <c s="551" r="O10"/>
      <c s="551" r="P10"/>
      <c s="551" r="Q10"/>
      <c s="551" r="R10"/>
      <c s="671" r="S10"/>
      <c s="702" r="T10"/>
      <c s="811" r="U10"/>
      <c s="879" r="V10"/>
      <c s="879" r="W10"/>
      <c s="879" r="X10"/>
      <c s="703" r="Y10"/>
      <c s="702" r="Z10"/>
      <c t="s" s="891" r="AA10">
        <v>76</v>
      </c>
      <c s="348" r="AB10">
        <f>IF(ISNUMBER(F63),MIN(Y16:Y333,AI16:AI333,AK16:AK333),MIN(Y16:Y333))</f>
        <v>0</v>
      </c>
      <c s="348" r="AC10">
        <f>IF(ISNUMBER(F63),MIN(X16:X333,AH16:AH333,AJ16:AJ333),MIN(X16:X333))</f>
        <v>0</v>
      </c>
      <c s="124" r="AD10"/>
      <c s="124" r="AE10"/>
      <c s="124" r="AF10"/>
      <c s="124" r="AG10"/>
      <c s="124" r="AH10"/>
      <c s="124" r="AI10"/>
      <c s="124" r="AJ10"/>
      <c s="501" r="AK10"/>
      <c s="51" r="AL10"/>
      <c s="125" r="AM10"/>
    </row>
    <row r="11">
      <c s="822" r="A11"/>
      <c s="406" r="B11"/>
      <c s="886" r="C11"/>
      <c t="s" s="886" r="D11">
        <v>411</v>
      </c>
      <c s="886" r="E11"/>
      <c s="886" r="F11"/>
      <c s="886" r="G11"/>
      <c s="886" r="H11"/>
      <c s="418" r="I11"/>
      <c s="702" r="J11"/>
      <c s="908" r="K11"/>
      <c s="551" r="L11"/>
      <c s="551" r="M11"/>
      <c s="551" r="N11"/>
      <c s="551" r="O11"/>
      <c s="551" r="P11"/>
      <c s="551" r="Q11"/>
      <c s="551" r="R11"/>
      <c s="671" r="S11"/>
      <c s="702" r="T11"/>
      <c s="811" r="U11"/>
      <c s="879" r="V11"/>
      <c s="879" r="W11"/>
      <c s="879" r="X11"/>
      <c s="703" r="Y11"/>
      <c s="702" r="Z11"/>
      <c t="s" s="891" r="AA11">
        <v>412</v>
      </c>
      <c s="348" r="AB11">
        <f>AB9-AB10</f>
        <v>0</v>
      </c>
      <c s="348" r="AC11">
        <f>AC9-AC10</f>
        <v>0</v>
      </c>
      <c s="124" r="AD11"/>
      <c s="124" r="AE11"/>
      <c s="124" r="AF11"/>
      <c s="124" r="AG11"/>
      <c s="124" r="AH11"/>
      <c s="124" r="AI11"/>
      <c s="124" r="AJ11"/>
      <c s="501" r="AK11"/>
      <c s="51" r="AL11"/>
      <c s="125" r="AM11"/>
    </row>
    <row r="12">
      <c s="822" r="A12"/>
      <c s="406" r="B12"/>
      <c s="886" r="C12"/>
      <c s="886" r="D12"/>
      <c s="886" r="E12"/>
      <c s="886" r="F12"/>
      <c s="886" r="G12"/>
      <c s="886" r="H12"/>
      <c s="418" r="I12"/>
      <c s="702" r="J12"/>
      <c s="908" r="K12"/>
      <c s="551" r="L12"/>
      <c s="551" r="M12"/>
      <c s="551" r="N12"/>
      <c s="551" r="O12"/>
      <c s="551" r="P12"/>
      <c s="551" r="Q12"/>
      <c s="551" r="R12"/>
      <c s="671" r="S12"/>
      <c s="702" r="T12"/>
      <c s="161" r="U12"/>
      <c s="229" r="V12"/>
      <c s="229" r="W12"/>
      <c s="229" r="X12"/>
      <c s="337" r="Y12"/>
      <c s="702" r="Z12"/>
      <c t="s" s="891" r="AA12">
        <v>413</v>
      </c>
      <c s="348" r="AB12">
        <f>(AB9+AB10)/2</f>
        <v>0</v>
      </c>
      <c s="633" r="AC12">
        <f>(AC9+AC10)/2</f>
        <v>0</v>
      </c>
      <c s="124" r="AD12"/>
      <c s="124" r="AE12"/>
      <c s="124" r="AF12"/>
      <c s="124" r="AG12"/>
      <c s="124" r="AH12"/>
      <c s="124" r="AI12"/>
      <c s="124" r="AJ12"/>
      <c s="501" r="AK12"/>
      <c s="51" r="AL12"/>
      <c s="125" r="AM12"/>
    </row>
    <row r="13">
      <c s="822" r="A13"/>
      <c s="406" r="B13"/>
      <c s="886" r="C13"/>
      <c t="s" s="886" r="D13">
        <v>414</v>
      </c>
      <c s="886" r="E13"/>
      <c s="886" r="F13"/>
      <c s="886" r="G13"/>
      <c s="886" r="H13"/>
      <c s="418" r="I13"/>
      <c s="702" r="J13"/>
      <c s="908" r="K13"/>
      <c s="551" r="L13"/>
      <c s="551" r="M13"/>
      <c s="551" r="N13"/>
      <c s="551" r="O13"/>
      <c s="551" r="P13"/>
      <c s="551" r="Q13"/>
      <c s="551" r="R13"/>
      <c s="671" r="S13"/>
      <c s="702" r="T13"/>
      <c s="178" r="U13"/>
      <c s="736" r="V13"/>
      <c s="736" r="W13"/>
      <c s="640" r="X13"/>
      <c s="688" r="Y13"/>
      <c s="702" r="Z13"/>
      <c s="908" r="AA13"/>
      <c s="551" r="AB13"/>
      <c s="551" r="AC13"/>
      <c s="644" r="AD13"/>
      <c s="644" r="AE13"/>
      <c s="644" r="AF13"/>
      <c s="124" r="AG13"/>
      <c s="124" r="AH13"/>
      <c s="124" r="AI13"/>
      <c s="124" r="AJ13"/>
      <c s="501" r="AK13"/>
      <c s="51" r="AL13"/>
      <c s="125" r="AM13"/>
    </row>
    <row r="14">
      <c s="822" r="A14"/>
      <c s="406" r="B14"/>
      <c s="886" r="C14"/>
      <c t="s" s="886" r="D14">
        <v>415</v>
      </c>
      <c s="886" r="E14"/>
      <c s="886" r="F14"/>
      <c s="886" r="G14"/>
      <c s="886" r="H14"/>
      <c s="418" r="I14"/>
      <c s="702" r="J14"/>
      <c s="908" r="K14"/>
      <c s="551" r="L14"/>
      <c s="551" r="M14"/>
      <c s="551" r="N14"/>
      <c s="551" r="O14"/>
      <c s="551" r="P14"/>
      <c s="551" r="Q14"/>
      <c s="551" r="R14"/>
      <c s="671" r="S14"/>
      <c s="702" r="T14"/>
      <c t="s" s="289" r="U14">
        <v>371</v>
      </c>
      <c s="52" r="V14"/>
      <c t="str" s="52" r="W14">
        <f>Profile!Y41</f>
        <v>azimuth</v>
      </c>
      <c s="124" r="X14"/>
      <c s="501" r="Y14"/>
      <c s="702" r="Z14"/>
      <c s="891" r="AA14"/>
      <c s="551" r="AB14"/>
      <c s="551" r="AC14"/>
      <c s="124" r="AD14"/>
      <c s="124" r="AE14"/>
      <c s="124" r="AF14"/>
      <c s="25" r="AG14"/>
      <c t="s" s="609" r="AH14">
        <v>416</v>
      </c>
      <c t="s" s="609" r="AI14">
        <v>417</v>
      </c>
      <c t="s" s="609" r="AJ14">
        <v>418</v>
      </c>
      <c t="s" s="554" r="AK14">
        <v>419</v>
      </c>
      <c s="51" r="AL14"/>
      <c s="125" r="AM14"/>
    </row>
    <row r="15">
      <c s="822" r="A15"/>
      <c s="406" r="B15"/>
      <c s="886" r="C15"/>
      <c s="886" r="D15"/>
      <c s="88" r="E15"/>
      <c s="886" r="F15"/>
      <c s="886" r="G15"/>
      <c s="886" r="H15"/>
      <c s="418" r="I15"/>
      <c s="702" r="J15"/>
      <c s="908" r="K15"/>
      <c s="551" r="L15"/>
      <c s="551" r="M15"/>
      <c s="551" r="N15"/>
      <c s="551" r="O15"/>
      <c s="551" r="P15"/>
      <c s="551" r="Q15"/>
      <c s="551" r="R15"/>
      <c s="671" r="S15"/>
      <c s="702" r="T15"/>
      <c t="s" s="40" r="U15">
        <v>420</v>
      </c>
      <c t="s" s="680" r="V15">
        <v>367</v>
      </c>
      <c t="str" s="680" r="W15">
        <f>Profile!Y42</f>
        <v>AZ</v>
      </c>
      <c t="s" s="830" r="X15">
        <v>421</v>
      </c>
      <c t="s" s="709" r="Y15">
        <v>422</v>
      </c>
      <c s="702" r="Z15"/>
      <c s="763" r="AA15"/>
      <c s="348" r="AB15">
        <f>SUM(AB17:AB333)</f>
        <v>0</v>
      </c>
      <c s="348" r="AC15">
        <f>SUM(AC17:AC333)</f>
        <v>0</v>
      </c>
      <c s="609" r="AD15"/>
      <c s="609" r="AE15"/>
      <c s="609" r="AF15"/>
      <c s="609" r="AG15"/>
      <c s="124" r="AH15"/>
      <c s="124" r="AI15"/>
      <c t="b" s="124" r="AJ15">
        <v>1</v>
      </c>
      <c t="b" s="648" r="AK15">
        <v>1</v>
      </c>
      <c s="51" r="AL15"/>
      <c s="125" r="AM15"/>
    </row>
    <row customHeight="1" r="16" ht="13.5">
      <c s="822" r="A16"/>
      <c s="406" r="B16"/>
      <c s="886" r="C16"/>
      <c t="s" s="174" r="D16">
        <v>423</v>
      </c>
      <c t="s" s="6" r="E16">
        <v>424</v>
      </c>
      <c s="90" r="F16"/>
      <c s="886" r="G16"/>
      <c s="886" r="H16"/>
      <c s="418" r="I16"/>
      <c s="702" r="J16"/>
      <c s="908" r="K16"/>
      <c s="551" r="L16"/>
      <c s="551" r="M16"/>
      <c s="551" r="N16"/>
      <c s="551" r="O16"/>
      <c s="551" r="P16"/>
      <c s="551" r="Q16"/>
      <c s="551" r="R16"/>
      <c s="671" r="S16"/>
      <c s="702" r="T16"/>
      <c t="str" s="739" r="U16">
        <f>IF((Profile!L44&gt;0),Profile!L44,"")</f>
        <v/>
      </c>
      <c t="str" s="274" r="V16">
        <f>Profile!O44</f>
        <v/>
      </c>
      <c s="274" r="W16"/>
      <c s="85" r="X16">
        <v>0</v>
      </c>
      <c s="317" r="Y16">
        <v>0</v>
      </c>
      <c s="702" r="Z16"/>
      <c s="289" r="AA16"/>
      <c s="605" r="AB16">
        <v>0</v>
      </c>
      <c s="605" r="AC16">
        <v>0</v>
      </c>
      <c s="348" r="AD16">
        <f>IF((AJ$15=TRUE),X16,NA())</f>
        <v>0</v>
      </c>
      <c s="348" r="AE16">
        <f>IF((AJ$15=TRUE),Y16,NA())</f>
        <v>0</v>
      </c>
      <c t="str" s="348" r="AF16">
        <f>IF(Profile!L44,Y16,NA())</f>
        <v>#N/A:explicit</v>
      </c>
      <c s="348" r="AG16">
        <f>Profile!T44*E$40</f>
        <v>0</v>
      </c>
      <c t="str" s="348" r="AH16">
        <f>IF((AK15=TRUE),(X16+((F$63/2)*COS(RADIANS(Profile!Y45)))),0)</f>
        <v>#VALUE!:notNumber:For input string: "---"</v>
      </c>
      <c t="str" s="348" r="AI16">
        <f>IF((AK15=TRUE),(Y16-((F$63/2)*SIN(RADIANS(Profile!Y45)))),0)</f>
        <v>#VALUE!:notNumber:For input string: "---"</v>
      </c>
      <c t="str" s="348" r="AJ16">
        <f>IF((AK15=TRUE),(X16-((F$63/2)*COS(RADIANS(Profile!Y45)))),0)</f>
        <v>#VALUE!:notNumber:For input string: "---"</v>
      </c>
      <c t="str" s="799" r="AK16">
        <f>IF((AK15=TRUE),(Y16+((F$63/2)*SIN(RADIANS(Profile!Y45)))),0)</f>
        <v>#VALUE!:notNumber:For input string: "---"</v>
      </c>
      <c s="51" r="AL16"/>
      <c s="125" r="AM16"/>
    </row>
    <row r="17">
      <c s="822" r="A17"/>
      <c s="406" r="B17"/>
      <c s="886" r="C17"/>
      <c s="886" r="D17"/>
      <c s="377" r="E17"/>
      <c s="886" r="F17"/>
      <c s="886" r="G17"/>
      <c s="886" r="H17"/>
      <c s="418" r="I17"/>
      <c s="702" r="J17"/>
      <c s="908" r="K17"/>
      <c s="551" r="L17"/>
      <c s="551" r="M17"/>
      <c s="551" r="N17"/>
      <c s="551" r="O17"/>
      <c s="551" r="P17"/>
      <c s="551" r="Q17"/>
      <c s="551" r="R17"/>
      <c s="671" r="S17"/>
      <c s="702" r="T17"/>
      <c t="str" s="309" r="U17">
        <f>IF((Profile!L45&gt;0),Profile!L45,"")</f>
        <v/>
      </c>
      <c t="str" s="861" r="V17">
        <f>IF((Profile!O45&gt;0),Profile!O45,"---")</f>
        <v>---</v>
      </c>
      <c t="str" s="861" r="W17">
        <f>Profile!Y45</f>
        <v/>
      </c>
      <c s="239" r="X17">
        <f>AB17</f>
        <v>0</v>
      </c>
      <c s="796" r="Y17">
        <f>AC17</f>
        <v>0</v>
      </c>
      <c s="702" r="Z17"/>
      <c s="289" r="AA17">
        <f>IF(Profile!Y45,IF((Profile!O45=0),0,(Profile!O45-MAX(Profile!O$44:O44))),0)</f>
        <v>0</v>
      </c>
      <c s="605" r="AB17">
        <f>SIN(RADIANS(Profile!Y45))*AA17</f>
        <v>0</v>
      </c>
      <c s="605" r="AC17">
        <f>COS(RADIANS(Profile!Y45))*AA17</f>
        <v>0</v>
      </c>
      <c s="348" r="AD17">
        <f>IF((AJ$15=TRUE),X17,NA())</f>
        <v>0</v>
      </c>
      <c s="348" r="AE17">
        <f>IF((AJ$15=TRUE),Y17,NA())</f>
        <v>0</v>
      </c>
      <c t="str" s="348" r="AF17">
        <f>IF(Profile!L45,Y17,NA())</f>
        <v>#N/A:explicit</v>
      </c>
      <c s="348" r="AG17">
        <f>Profile!T45*E$40</f>
        <v>0</v>
      </c>
      <c t="str" s="348" r="AH17">
        <f>IF((AK$15=TRUE),IF(ISNUMBER(Profile!Y45),IF(ISNUMBER(Profile!Y46),(((X17+((F$63/2)*COS(RADIANS(Profile!Y46))))+(X17+((F$63/2)*COS(RADIANS(Profile!Y45)))))/2),(X17+((F$63/2)*COS(RADIANS(Profile!Y45))))),AH16),0)</f>
        <v>#VALUE!:notNumber:For input string: "---"</v>
      </c>
      <c t="str" s="348" r="AI17">
        <f>IF((AK$15=TRUE),IF(ISNUMBER(Profile!Y45),IF(ISNUMBER(Profile!Y46),(((Y17-((F$63/2)*SIN(RADIANS(Profile!Y46))))+(Y17-((F$63/2)*SIN(RADIANS(Profile!Y45)))))/2),(Y17-((F$63/2)*SIN(RADIANS(Profile!Y45))))),AI16),0)</f>
        <v>#VALUE!:notNumber:For input string: "---"</v>
      </c>
      <c t="str" s="348" r="AJ17">
        <f>IF((AK$15=TRUE),IF(ISNUMBER(Profile!Y45),IF(ISNUMBER(Profile!Y46),(((X17-((F$63/2)*COS(RADIANS(Profile!Y46))))+(X17-((F$63/2)*COS(RADIANS(Profile!Y45)))))/2),(X17-((F$63/2)*COS(RADIANS(Profile!Y45))))),AJ16),0)</f>
        <v>#VALUE!:notNumber:For input string: "---"</v>
      </c>
      <c t="str" s="799" r="AK17">
        <f>IF((AK$15=TRUE),IF(ISNUMBER(Profile!Y45),IF(ISNUMBER(Profile!Y46),(((Y17+((F$63/2)*SIN(RADIANS(Profile!Y46))))+(Y17+((F$63/2)*SIN(RADIANS(Profile!Y45)))))/2),(Y17+((F$63/2)*SIN(RADIANS(Profile!Y45))))),AK16),0)</f>
        <v>#VALUE!:notNumber:For input string: "---"</v>
      </c>
      <c s="51" r="AL17"/>
      <c s="125" r="AM17"/>
    </row>
    <row r="18">
      <c s="822" r="A18"/>
      <c s="406" r="B18"/>
      <c t="s" s="729" r="C18">
        <v>425</v>
      </c>
      <c s="566" r="D18"/>
      <c s="566" r="E18"/>
      <c s="566" r="F18"/>
      <c t="s" s="529" r="G18">
        <v>76</v>
      </c>
      <c t="s" s="529" r="H18">
        <v>77</v>
      </c>
      <c s="418" r="I18"/>
      <c s="702" r="J18"/>
      <c s="908" r="K18"/>
      <c s="551" r="L18"/>
      <c s="551" r="M18"/>
      <c s="551" r="N18"/>
      <c s="551" r="O18"/>
      <c s="551" r="P18"/>
      <c s="551" r="Q18"/>
      <c s="551" r="R18"/>
      <c s="671" r="S18"/>
      <c s="702" r="T18"/>
      <c t="str" s="309" r="U18">
        <f>IF((Profile!L46&gt;0),Profile!L46,"")</f>
        <v/>
      </c>
      <c t="str" s="861" r="V18">
        <f>IF((Profile!O46&gt;0),Profile!O46,"---")</f>
        <v>---</v>
      </c>
      <c t="str" s="861" r="W18">
        <f>IF((Profile!Y46=0),IF((Profile!Y45=0),"---",IF((Profile!Y47=0),"---",Profile!Y46)),Profile!Y46)</f>
        <v>---</v>
      </c>
      <c s="239" r="X18">
        <f>AB18+X17</f>
        <v>0</v>
      </c>
      <c s="796" r="Y18">
        <f>AC18+Y17</f>
        <v>0</v>
      </c>
      <c s="702" r="Z18"/>
      <c s="289" r="AA18">
        <f>IF(Profile!Y46,IF((Profile!O46=0),0,(Profile!O46-MAX(Profile!O$44:O45))),0)</f>
        <v>0</v>
      </c>
      <c s="605" r="AB18">
        <f>SIN(RADIANS(Profile!Y46))*AA18</f>
        <v>0</v>
      </c>
      <c s="605" r="AC18">
        <f>COS(RADIANS(Profile!Y46))*AA18</f>
        <v>0</v>
      </c>
      <c s="348" r="AD18">
        <f>IF((AJ$15=TRUE),X18,NA())</f>
        <v>0</v>
      </c>
      <c s="348" r="AE18">
        <f>IF((AJ$15=TRUE),Y18,NA())</f>
        <v>0</v>
      </c>
      <c t="str" s="348" r="AF18">
        <f>IF(Profile!L46,Y18,NA())</f>
        <v>#N/A:explicit</v>
      </c>
      <c s="348" r="AG18">
        <f>Profile!T46*E$40</f>
        <v>0</v>
      </c>
      <c t="str" s="348" r="AH18">
        <f>IF((AK$15=TRUE),IF(ISNUMBER(Profile!Y46),IF(ISNUMBER(Profile!Y47),(((X18+((F$63/2)*COS(RADIANS(Profile!Y47))))+(X18+((F$63/2)*COS(RADIANS(Profile!Y46)))))/2),(X18+((F$63/2)*COS(RADIANS(Profile!Y46))))),AH17),0)</f>
        <v>#VALUE!:notNumber:For input string: "---"</v>
      </c>
      <c t="str" s="348" r="AI18">
        <f>IF((AK$15=TRUE),IF(ISNUMBER(Profile!Y46),IF(ISNUMBER(Profile!Y47),(((Y18-((F$63/2)*SIN(RADIANS(Profile!Y47))))+(Y18-((F$63/2)*SIN(RADIANS(Profile!Y46)))))/2),(Y18-((F$63/2)*SIN(RADIANS(Profile!Y46))))),AI17),0)</f>
        <v>#VALUE!:notNumber:For input string: "---"</v>
      </c>
      <c t="str" s="348" r="AJ18">
        <f>IF((AK$15=TRUE),IF(ISNUMBER(Profile!Y46),IF(ISNUMBER(Profile!Y47),(((X18-((F$63/2)*COS(RADIANS(Profile!Y47))))+(X18-((F$63/2)*COS(RADIANS(Profile!Y46)))))/2),(X18-((F$63/2)*COS(RADIANS(Profile!Y46))))),AJ17),0)</f>
        <v>#VALUE!:notNumber:For input string: "---"</v>
      </c>
      <c t="str" s="799" r="AK18">
        <f>IF((AK$15=TRUE),IF(ISNUMBER(Profile!Y46),IF(ISNUMBER(Profile!Y47),(((Y18+((F$63/2)*SIN(RADIANS(Profile!Y47))))+(Y18+((F$63/2)*SIN(RADIANS(Profile!Y46)))))/2),(Y18+((F$63/2)*SIN(RADIANS(Profile!Y46))))),AK17),0)</f>
        <v>#VALUE!:notNumber:For input string: "---"</v>
      </c>
      <c s="51" r="AL18"/>
      <c s="125" r="AM18"/>
    </row>
    <row r="19">
      <c s="822" r="A19"/>
      <c s="406" r="B19"/>
      <c s="756" r="C19"/>
      <c t="str" s="7" r="D19">
        <f>"meander length "&amp;IF((AE6=2),"(m)","(ft)")</f>
        <v>meander length (ft)</v>
      </c>
      <c s="458" r="E19"/>
      <c s="764" r="F19"/>
      <c s="458" r="G19"/>
      <c s="458" r="H19"/>
      <c s="734" r="I19"/>
      <c s="702" r="J19"/>
      <c s="908" r="K19"/>
      <c s="551" r="L19"/>
      <c s="551" r="M19"/>
      <c s="551" r="N19"/>
      <c s="551" r="O19"/>
      <c s="551" r="P19"/>
      <c s="551" r="Q19"/>
      <c s="551" r="R19"/>
      <c s="671" r="S19"/>
      <c s="702" r="T19"/>
      <c t="str" s="309" r="U19">
        <f>IF((Profile!L47&gt;0),Profile!L47,"")</f>
        <v/>
      </c>
      <c t="str" s="861" r="V19">
        <f>IF((Profile!O47&gt;0),Profile!O47,"---")</f>
        <v>---</v>
      </c>
      <c t="str" s="861" r="W19">
        <f>IF((Profile!Y47=0),IF((Profile!Y46=0),"---",IF((Profile!Y48=0),"---",Profile!Y47)),Profile!Y47)</f>
        <v>---</v>
      </c>
      <c s="239" r="X19">
        <f>AB19+X18</f>
        <v>0</v>
      </c>
      <c s="796" r="Y19">
        <f>AC19+Y18</f>
        <v>0</v>
      </c>
      <c s="702" r="Z19"/>
      <c s="289" r="AA19">
        <f>IF(Profile!Y47,IF((Profile!O47=0),0,(Profile!O47-MAX(Profile!O$44:O46))),0)</f>
        <v>0</v>
      </c>
      <c s="605" r="AB19">
        <f>SIN(RADIANS(Profile!Y47))*AA19</f>
        <v>0</v>
      </c>
      <c s="605" r="AC19">
        <f>COS(RADIANS(Profile!Y47))*AA19</f>
        <v>0</v>
      </c>
      <c s="348" r="AD19">
        <f>IF((AJ$15=TRUE),X19,NA())</f>
        <v>0</v>
      </c>
      <c s="348" r="AE19">
        <f>IF((AJ$15=TRUE),Y19,NA())</f>
        <v>0</v>
      </c>
      <c t="str" s="348" r="AF19">
        <f>IF(Profile!L47,Y19,NA())</f>
        <v>#N/A:explicit</v>
      </c>
      <c s="348" r="AG19">
        <f>Profile!T47*E$40</f>
        <v>0</v>
      </c>
      <c t="str" s="348" r="AH19">
        <f>IF((AK$15=TRUE),IF(ISNUMBER(Profile!Y47),IF(ISNUMBER(Profile!Y48),(((X19+((F$63/2)*COS(RADIANS(Profile!Y48))))+(X19+((F$63/2)*COS(RADIANS(Profile!Y47)))))/2),(X19+((F$63/2)*COS(RADIANS(Profile!Y47))))),AH18),0)</f>
        <v>#VALUE!:notNumber:For input string: "---"</v>
      </c>
      <c t="str" s="348" r="AI19">
        <f>IF((AK$15=TRUE),IF(ISNUMBER(Profile!Y47),IF(ISNUMBER(Profile!Y48),(((Y19-((F$63/2)*SIN(RADIANS(Profile!Y48))))+(Y19-((F$63/2)*SIN(RADIANS(Profile!Y47)))))/2),(Y19-((F$63/2)*SIN(RADIANS(Profile!Y47))))),AI18),0)</f>
        <v>#VALUE!:notNumber:For input string: "---"</v>
      </c>
      <c t="str" s="348" r="AJ19">
        <f>IF((AK$15=TRUE),IF(ISNUMBER(Profile!Y47),IF(ISNUMBER(Profile!Y48),(((X19-((F$63/2)*COS(RADIANS(Profile!Y48))))+(X19-((F$63/2)*COS(RADIANS(Profile!Y47)))))/2),(X19-((F$63/2)*COS(RADIANS(Profile!Y47))))),AJ18),0)</f>
        <v>#VALUE!:notNumber:For input string: "---"</v>
      </c>
      <c t="str" s="799" r="AK19">
        <f>IF((AK$15=TRUE),IF(ISNUMBER(Profile!Y47),IF(ISNUMBER(Profile!Y48),(((Y19+((F$63/2)*SIN(RADIANS(Profile!Y48))))+(Y19+((F$63/2)*SIN(RADIANS(Profile!Y47)))))/2),(Y19+((F$63/2)*SIN(RADIANS(Profile!Y47))))),AK18),0)</f>
        <v>#VALUE!:notNumber:For input string: "---"</v>
      </c>
      <c s="51" r="AL19"/>
      <c s="125" r="AM19"/>
    </row>
    <row r="20">
      <c s="822" r="A20"/>
      <c s="406" r="B20"/>
      <c s="886" r="C20"/>
      <c s="886" r="D20"/>
      <c s="756" r="E20"/>
      <c s="886" r="F20"/>
      <c s="756" r="G20"/>
      <c s="756" r="H20"/>
      <c s="418" r="I20"/>
      <c s="702" r="J20"/>
      <c s="908" r="K20"/>
      <c s="551" r="L20"/>
      <c s="551" r="M20"/>
      <c s="551" r="N20"/>
      <c s="551" r="O20"/>
      <c s="551" r="P20"/>
      <c s="551" r="Q20"/>
      <c s="551" r="R20"/>
      <c s="671" r="S20"/>
      <c s="702" r="T20"/>
      <c t="str" s="309" r="U20">
        <f>IF((Profile!L48&gt;0),Profile!L48,"")</f>
        <v/>
      </c>
      <c t="str" s="861" r="V20">
        <f>IF((Profile!O48&gt;0),Profile!O48,"---")</f>
        <v>---</v>
      </c>
      <c t="str" s="861" r="W20">
        <f>IF((Profile!Y48=0),IF((Profile!Y47=0),"---",IF((Profile!Y49=0),"---",Profile!Y48)),Profile!Y48)</f>
        <v>---</v>
      </c>
      <c s="239" r="X20">
        <f>AB20+X19</f>
        <v>0</v>
      </c>
      <c s="796" r="Y20">
        <f>AC20+Y19</f>
        <v>0</v>
      </c>
      <c s="702" r="Z20"/>
      <c s="289" r="AA20">
        <f>IF(Profile!Y48,IF((Profile!O48=0),0,(Profile!O48-MAX(Profile!O$44:O47))),0)</f>
        <v>0</v>
      </c>
      <c s="605" r="AB20">
        <f>SIN(RADIANS(Profile!Y48))*AA20</f>
        <v>0</v>
      </c>
      <c s="605" r="AC20">
        <f>COS(RADIANS(Profile!Y48))*AA20</f>
        <v>0</v>
      </c>
      <c s="348" r="AD20">
        <f>IF((AJ$15=TRUE),X20,NA())</f>
        <v>0</v>
      </c>
      <c s="348" r="AE20">
        <f>IF((AJ$15=TRUE),Y20,NA())</f>
        <v>0</v>
      </c>
      <c t="str" s="348" r="AF20">
        <f>IF(Profile!L48,Y20,NA())</f>
        <v>#N/A:explicit</v>
      </c>
      <c s="348" r="AG20">
        <f>Profile!T48*E$40</f>
        <v>0</v>
      </c>
      <c t="str" s="348" r="AH20">
        <f>IF((AK$15=TRUE),IF(ISNUMBER(Profile!Y48),IF(ISNUMBER(Profile!Y49),(((X20+((F$63/2)*COS(RADIANS(Profile!Y49))))+(X20+((F$63/2)*COS(RADIANS(Profile!Y48)))))/2),(X20+((F$63/2)*COS(RADIANS(Profile!Y48))))),AH19),0)</f>
        <v>#VALUE!:notNumber:For input string: "---"</v>
      </c>
      <c t="str" s="348" r="AI20">
        <f>IF((AK$15=TRUE),IF(ISNUMBER(Profile!Y48),IF(ISNUMBER(Profile!Y49),(((Y20-((F$63/2)*SIN(RADIANS(Profile!Y49))))+(Y20-((F$63/2)*SIN(RADIANS(Profile!Y48)))))/2),(Y20-((F$63/2)*SIN(RADIANS(Profile!Y48))))),AI19),0)</f>
        <v>#VALUE!:notNumber:For input string: "---"</v>
      </c>
      <c t="str" s="348" r="AJ20">
        <f>IF((AK$15=TRUE),IF(ISNUMBER(Profile!Y48),IF(ISNUMBER(Profile!Y49),(((X20-((F$63/2)*COS(RADIANS(Profile!Y49))))+(X20-((F$63/2)*COS(RADIANS(Profile!Y48)))))/2),(X20-((F$63/2)*COS(RADIANS(Profile!Y48))))),AJ19),0)</f>
        <v>#VALUE!:notNumber:For input string: "---"</v>
      </c>
      <c t="str" s="799" r="AK20">
        <f>IF((AK$15=TRUE),IF(ISNUMBER(Profile!Y48),IF(ISNUMBER(Profile!Y49),(((Y20+((F$63/2)*SIN(RADIANS(Profile!Y49))))+(Y20+((F$63/2)*SIN(RADIANS(Profile!Y48)))))/2),(Y20+((F$63/2)*SIN(RADIANS(Profile!Y48))))),AK19),0)</f>
        <v>#VALUE!:notNumber:For input string: "---"</v>
      </c>
      <c s="51" r="AL20"/>
      <c s="125" r="AM20"/>
    </row>
    <row r="21">
      <c s="822" r="A21"/>
      <c s="406" r="B21"/>
      <c s="886" r="C21"/>
      <c s="886" r="D21"/>
      <c s="886" r="E21"/>
      <c s="886" r="F21"/>
      <c s="886" r="G21"/>
      <c s="886" r="H21"/>
      <c s="418" r="I21"/>
      <c s="702" r="J21"/>
      <c s="908" r="K21"/>
      <c s="551" r="L21"/>
      <c s="551" r="M21"/>
      <c s="551" r="N21"/>
      <c s="551" r="O21"/>
      <c s="551" r="P21"/>
      <c s="551" r="Q21"/>
      <c s="551" r="R21"/>
      <c s="671" r="S21"/>
      <c s="702" r="T21"/>
      <c t="str" s="309" r="U21">
        <f>IF((Profile!L49&gt;0),Profile!L49,"")</f>
        <v/>
      </c>
      <c t="str" s="861" r="V21">
        <f>IF((Profile!O49&gt;0),Profile!O49,"---")</f>
        <v>---</v>
      </c>
      <c t="str" s="861" r="W21">
        <f>IF((Profile!Y49=0),IF((Profile!Y48=0),"---",IF((Profile!Y50=0),"---",Profile!Y49)),Profile!Y49)</f>
        <v>---</v>
      </c>
      <c s="239" r="X21">
        <f>AB21+X20</f>
        <v>0</v>
      </c>
      <c s="796" r="Y21">
        <f>AC21+Y20</f>
        <v>0</v>
      </c>
      <c s="702" r="Z21"/>
      <c s="289" r="AA21">
        <f>IF(Profile!Y49,IF((Profile!O49=0),0,(Profile!O49-MAX(Profile!O$44:O48))),0)</f>
        <v>0</v>
      </c>
      <c s="605" r="AB21">
        <f>SIN(RADIANS(Profile!Y49))*AA21</f>
        <v>0</v>
      </c>
      <c s="605" r="AC21">
        <f>COS(RADIANS(Profile!Y49))*AA21</f>
        <v>0</v>
      </c>
      <c s="348" r="AD21">
        <f>IF((AJ$15=TRUE),X21,NA())</f>
        <v>0</v>
      </c>
      <c s="348" r="AE21">
        <f>IF((AJ$15=TRUE),Y21,NA())</f>
        <v>0</v>
      </c>
      <c t="str" s="348" r="AF21">
        <f>IF(Profile!L49,Y21,NA())</f>
        <v>#N/A:explicit</v>
      </c>
      <c s="348" r="AG21">
        <f>Profile!T49*E$40</f>
        <v>0</v>
      </c>
      <c t="str" s="348" r="AH21">
        <f>IF((AK$15=TRUE),IF(ISNUMBER(Profile!Y49),IF(ISNUMBER(Profile!Y50),(((X21+((F$63/2)*COS(RADIANS(Profile!Y50))))+(X21+((F$63/2)*COS(RADIANS(Profile!Y49)))))/2),(X21+((F$63/2)*COS(RADIANS(Profile!Y49))))),AH20),0)</f>
        <v>#VALUE!:notNumber:For input string: "---"</v>
      </c>
      <c t="str" s="348" r="AI21">
        <f>IF((AK$15=TRUE),IF(ISNUMBER(Profile!Y49),IF(ISNUMBER(Profile!Y50),(((Y21-((F$63/2)*SIN(RADIANS(Profile!Y50))))+(Y21-((F$63/2)*SIN(RADIANS(Profile!Y49)))))/2),(Y21-((F$63/2)*SIN(RADIANS(Profile!Y49))))),AI20),0)</f>
        <v>#VALUE!:notNumber:For input string: "---"</v>
      </c>
      <c t="str" s="348" r="AJ21">
        <f>IF((AK$15=TRUE),IF(ISNUMBER(Profile!Y49),IF(ISNUMBER(Profile!Y50),(((X21-((F$63/2)*COS(RADIANS(Profile!Y50))))+(X21-((F$63/2)*COS(RADIANS(Profile!Y49)))))/2),(X21-((F$63/2)*COS(RADIANS(Profile!Y49))))),AJ20),0)</f>
        <v>#VALUE!:notNumber:For input string: "---"</v>
      </c>
      <c t="str" s="799" r="AK21">
        <f>IF((AK$15=TRUE),IF(ISNUMBER(Profile!Y49),IF(ISNUMBER(Profile!Y50),(((Y21+((F$63/2)*SIN(RADIANS(Profile!Y50))))+(Y21+((F$63/2)*SIN(RADIANS(Profile!Y49)))))/2),(Y21+((F$63/2)*SIN(RADIANS(Profile!Y49))))),AK20),0)</f>
        <v>#VALUE!:notNumber:For input string: "---"</v>
      </c>
      <c s="51" r="AL21"/>
      <c s="125" r="AM21"/>
    </row>
    <row r="22">
      <c s="822" r="A22"/>
      <c s="406" r="B22"/>
      <c t="s" s="729" r="C22">
        <v>426</v>
      </c>
      <c s="566" r="D22"/>
      <c s="566" r="E22"/>
      <c s="566" r="F22"/>
      <c s="566" r="G22"/>
      <c s="566" r="H22"/>
      <c s="418" r="I22"/>
      <c s="702" r="J22"/>
      <c s="908" r="K22"/>
      <c s="551" r="L22"/>
      <c s="551" r="M22"/>
      <c s="551" r="N22"/>
      <c s="551" r="O22"/>
      <c s="551" r="P22"/>
      <c s="551" r="Q22"/>
      <c s="551" r="R22"/>
      <c s="671" r="S22"/>
      <c s="702" r="T22"/>
      <c t="str" s="309" r="U22">
        <f>IF((Profile!L50&gt;0),Profile!L50,"")</f>
        <v/>
      </c>
      <c t="str" s="861" r="V22">
        <f>IF((Profile!O50&gt;0),Profile!O50,"---")</f>
        <v>---</v>
      </c>
      <c t="str" s="861" r="W22">
        <f>IF((Profile!Y50=0),IF((Profile!Y49=0),"---",IF((Profile!Y51=0),"---",Profile!Y50)),Profile!Y50)</f>
        <v>---</v>
      </c>
      <c s="239" r="X22">
        <f>AB22+X21</f>
        <v>0</v>
      </c>
      <c s="796" r="Y22">
        <f>AC22+Y21</f>
        <v>0</v>
      </c>
      <c s="702" r="Z22"/>
      <c s="289" r="AA22">
        <f>IF(Profile!Y50,IF((Profile!O50=0),0,(Profile!O50-MAX(Profile!O$44:O49))),0)</f>
        <v>0</v>
      </c>
      <c s="605" r="AB22">
        <f>SIN(RADIANS(Profile!Y50))*AA22</f>
        <v>0</v>
      </c>
      <c s="605" r="AC22">
        <f>COS(RADIANS(Profile!Y50))*AA22</f>
        <v>0</v>
      </c>
      <c s="348" r="AD22">
        <f>IF((AJ$15=TRUE),X22,NA())</f>
        <v>0</v>
      </c>
      <c s="348" r="AE22">
        <f>IF((AJ$15=TRUE),Y22,NA())</f>
        <v>0</v>
      </c>
      <c t="str" s="348" r="AF22">
        <f>IF(Profile!L50,Y22,NA())</f>
        <v>#N/A:explicit</v>
      </c>
      <c s="348" r="AG22">
        <f>Profile!T50*E$40</f>
        <v>0</v>
      </c>
      <c t="str" s="348" r="AH22">
        <f>IF((AK$15=TRUE),IF(ISNUMBER(Profile!Y50),IF(ISNUMBER(Profile!Y51),(((X22+((F$63/2)*COS(RADIANS(Profile!Y51))))+(X22+((F$63/2)*COS(RADIANS(Profile!Y50)))))/2),(X22+((F$63/2)*COS(RADIANS(Profile!Y50))))),AH21),0)</f>
        <v>#VALUE!:notNumber:For input string: "---"</v>
      </c>
      <c t="str" s="348" r="AI22">
        <f>IF((AK$15=TRUE),IF(ISNUMBER(Profile!Y50),IF(ISNUMBER(Profile!Y51),(((Y22-((F$63/2)*SIN(RADIANS(Profile!Y51))))+(Y22-((F$63/2)*SIN(RADIANS(Profile!Y50)))))/2),(Y22-((F$63/2)*SIN(RADIANS(Profile!Y50))))),AI21),0)</f>
        <v>#VALUE!:notNumber:For input string: "---"</v>
      </c>
      <c t="str" s="348" r="AJ22">
        <f>IF((AK$15=TRUE),IF(ISNUMBER(Profile!Y50),IF(ISNUMBER(Profile!Y51),(((X22-((F$63/2)*COS(RADIANS(Profile!Y51))))+(X22-((F$63/2)*COS(RADIANS(Profile!Y50)))))/2),(X22-((F$63/2)*COS(RADIANS(Profile!Y50))))),AJ21),0)</f>
        <v>#VALUE!:notNumber:For input string: "---"</v>
      </c>
      <c t="str" s="799" r="AK22">
        <f>IF((AK$15=TRUE),IF(ISNUMBER(Profile!Y50),IF(ISNUMBER(Profile!Y51),(((Y22+((F$63/2)*SIN(RADIANS(Profile!Y51))))+(Y22+((F$63/2)*SIN(RADIANS(Profile!Y50)))))/2),(Y22+((F$63/2)*SIN(RADIANS(Profile!Y50))))),AK21),0)</f>
        <v>#VALUE!:notNumber:For input string: "---"</v>
      </c>
      <c s="51" r="AL22"/>
      <c s="125" r="AM22"/>
    </row>
    <row r="23">
      <c s="822" r="A23"/>
      <c s="406" r="B23"/>
      <c s="756" r="C23"/>
      <c t="str" s="7" r="D23">
        <f>"belt width "&amp;IF((AE6=2),"(m)","(ft)")</f>
        <v>belt width (ft)</v>
      </c>
      <c s="458" r="E23"/>
      <c s="510" r="F23"/>
      <c s="458" r="G23"/>
      <c s="458" r="H23"/>
      <c s="734" r="I23"/>
      <c s="702" r="J23"/>
      <c s="908" r="K23"/>
      <c s="551" r="L23"/>
      <c s="551" r="M23"/>
      <c s="551" r="N23"/>
      <c s="551" r="O23"/>
      <c s="551" r="P23"/>
      <c s="551" r="Q23"/>
      <c s="551" r="R23"/>
      <c s="671" r="S23"/>
      <c s="702" r="T23"/>
      <c t="str" s="309" r="U23">
        <f>IF((Profile!L51&gt;0),Profile!L51,"")</f>
        <v/>
      </c>
      <c t="str" s="861" r="V23">
        <f>IF((Profile!O51&gt;0),Profile!O51,"---")</f>
        <v>---</v>
      </c>
      <c t="str" s="861" r="W23">
        <f>IF((Profile!Y51=0),IF((Profile!Y50=0),"---",IF((Profile!Y52=0),"---",Profile!Y51)),Profile!Y51)</f>
        <v>---</v>
      </c>
      <c s="239" r="X23">
        <f>AB23+X22</f>
        <v>0</v>
      </c>
      <c s="796" r="Y23">
        <f>AC23+Y22</f>
        <v>0</v>
      </c>
      <c s="702" r="Z23"/>
      <c s="289" r="AA23">
        <f>IF(Profile!Y51,IF((Profile!O51=0),0,(Profile!O51-MAX(Profile!O$44:O50))),0)</f>
        <v>0</v>
      </c>
      <c s="605" r="AB23">
        <f>SIN(RADIANS(Profile!Y51))*AA23</f>
        <v>0</v>
      </c>
      <c s="605" r="AC23">
        <f>COS(RADIANS(Profile!Y51))*AA23</f>
        <v>0</v>
      </c>
      <c s="348" r="AD23">
        <f>IF((AJ$15=TRUE),X23,NA())</f>
        <v>0</v>
      </c>
      <c s="348" r="AE23">
        <f>IF((AJ$15=TRUE),Y23,NA())</f>
        <v>0</v>
      </c>
      <c t="str" s="348" r="AF23">
        <f>IF(Profile!L51,Y23,NA())</f>
        <v>#N/A:explicit</v>
      </c>
      <c s="348" r="AG23">
        <f>Profile!T51*E$40</f>
        <v>0</v>
      </c>
      <c t="str" s="348" r="AH23">
        <f>IF((AK$15=TRUE),IF(ISNUMBER(Profile!Y51),IF(ISNUMBER(Profile!Y52),(((X23+((F$63/2)*COS(RADIANS(Profile!Y52))))+(X23+((F$63/2)*COS(RADIANS(Profile!Y51)))))/2),(X23+((F$63/2)*COS(RADIANS(Profile!Y51))))),AH22),0)</f>
        <v>#VALUE!:notNumber:For input string: "---"</v>
      </c>
      <c t="str" s="348" r="AI23">
        <f>IF((AK$15=TRUE),IF(ISNUMBER(Profile!Y51),IF(ISNUMBER(Profile!Y52),(((Y23-((F$63/2)*SIN(RADIANS(Profile!Y52))))+(Y23-((F$63/2)*SIN(RADIANS(Profile!Y51)))))/2),(Y23-((F$63/2)*SIN(RADIANS(Profile!Y51))))),AI22),0)</f>
        <v>#VALUE!:notNumber:For input string: "---"</v>
      </c>
      <c t="str" s="348" r="AJ23">
        <f>IF((AK$15=TRUE),IF(ISNUMBER(Profile!Y51),IF(ISNUMBER(Profile!Y52),(((X23-((F$63/2)*COS(RADIANS(Profile!Y52))))+(X23-((F$63/2)*COS(RADIANS(Profile!Y51)))))/2),(X23-((F$63/2)*COS(RADIANS(Profile!Y51))))),AJ22),0)</f>
        <v>#VALUE!:notNumber:For input string: "---"</v>
      </c>
      <c t="str" s="799" r="AK23">
        <f>IF((AK$15=TRUE),IF(ISNUMBER(Profile!Y51),IF(ISNUMBER(Profile!Y52),(((Y23+((F$63/2)*SIN(RADIANS(Profile!Y52))))+(Y23+((F$63/2)*SIN(RADIANS(Profile!Y51)))))/2),(Y23+((F$63/2)*SIN(RADIANS(Profile!Y51))))),AK22),0)</f>
        <v>#VALUE!:notNumber:For input string: "---"</v>
      </c>
      <c s="51" r="AL23"/>
      <c s="125" r="AM23"/>
    </row>
    <row r="24">
      <c s="822" r="A24"/>
      <c s="406" r="B24"/>
      <c s="886" r="C24"/>
      <c s="886" r="D24"/>
      <c s="127" r="E24"/>
      <c s="886" r="F24"/>
      <c s="127" r="G24"/>
      <c s="127" r="H24"/>
      <c s="418" r="I24"/>
      <c s="702" r="J24"/>
      <c s="908" r="K24"/>
      <c s="551" r="L24"/>
      <c s="551" r="M24"/>
      <c s="551" r="N24"/>
      <c s="551" r="O24"/>
      <c s="551" r="P24"/>
      <c s="551" r="Q24"/>
      <c s="551" r="R24"/>
      <c s="671" r="S24"/>
      <c s="702" r="T24"/>
      <c t="str" s="309" r="U24">
        <f>IF((Profile!L52&gt;0),Profile!L52,"")</f>
        <v/>
      </c>
      <c t="str" s="861" r="V24">
        <f>IF((Profile!O52&gt;0),Profile!O52,"---")</f>
        <v>---</v>
      </c>
      <c t="str" s="861" r="W24">
        <f>IF((Profile!Y52=0),IF((Profile!Y51=0),"---",IF((Profile!Y53=0),"---",Profile!Y52)),Profile!Y52)</f>
        <v>---</v>
      </c>
      <c s="239" r="X24">
        <f>AB24+X23</f>
        <v>0</v>
      </c>
      <c s="796" r="Y24">
        <f>AC24+Y23</f>
        <v>0</v>
      </c>
      <c s="702" r="Z24"/>
      <c s="289" r="AA24">
        <f>IF(Profile!Y52,IF((Profile!O52=0),0,(Profile!O52-MAX(Profile!O$44:O51))),0)</f>
        <v>0</v>
      </c>
      <c s="605" r="AB24">
        <f>SIN(RADIANS(Profile!Y52))*AA24</f>
        <v>0</v>
      </c>
      <c s="605" r="AC24">
        <f>COS(RADIANS(Profile!Y52))*AA24</f>
        <v>0</v>
      </c>
      <c s="348" r="AD24">
        <f>IF((AJ$15=TRUE),X24,NA())</f>
        <v>0</v>
      </c>
      <c s="348" r="AE24">
        <f>IF((AJ$15=TRUE),Y24,NA())</f>
        <v>0</v>
      </c>
      <c t="str" s="348" r="AF24">
        <f>IF(Profile!L52,Y24,NA())</f>
        <v>#N/A:explicit</v>
      </c>
      <c s="348" r="AG24">
        <f>Profile!T52*E$40</f>
        <v>0</v>
      </c>
      <c t="str" s="348" r="AH24">
        <f>IF((AK$15=TRUE),IF(ISNUMBER(Profile!Y52),IF(ISNUMBER(Profile!Y53),(((X24+((F$63/2)*COS(RADIANS(Profile!Y53))))+(X24+((F$63/2)*COS(RADIANS(Profile!Y52)))))/2),(X24+((F$63/2)*COS(RADIANS(Profile!Y52))))),AH23),0)</f>
        <v>#VALUE!:notNumber:For input string: "---"</v>
      </c>
      <c t="str" s="348" r="AI24">
        <f>IF((AK$15=TRUE),IF(ISNUMBER(Profile!Y52),IF(ISNUMBER(Profile!Y53),(((Y24-((F$63/2)*SIN(RADIANS(Profile!Y53))))+(Y24-((F$63/2)*SIN(RADIANS(Profile!Y52)))))/2),(Y24-((F$63/2)*SIN(RADIANS(Profile!Y52))))),AI23),0)</f>
        <v>#VALUE!:notNumber:For input string: "---"</v>
      </c>
      <c t="str" s="348" r="AJ24">
        <f>IF((AK$15=TRUE),IF(ISNUMBER(Profile!Y52),IF(ISNUMBER(Profile!Y53),(((X24-((F$63/2)*COS(RADIANS(Profile!Y53))))+(X24-((F$63/2)*COS(RADIANS(Profile!Y52)))))/2),(X24-((F$63/2)*COS(RADIANS(Profile!Y52))))),AJ23),0)</f>
        <v>#VALUE!:notNumber:For input string: "---"</v>
      </c>
      <c t="str" s="799" r="AK24">
        <f>IF((AK$15=TRUE),IF(ISNUMBER(Profile!Y52),IF(ISNUMBER(Profile!Y53),(((Y24+((F$63/2)*SIN(RADIANS(Profile!Y53))))+(Y24+((F$63/2)*SIN(RADIANS(Profile!Y52)))))/2),(Y24+((F$63/2)*SIN(RADIANS(Profile!Y52))))),AK23),0)</f>
        <v>#VALUE!:notNumber:For input string: "---"</v>
      </c>
      <c s="51" r="AL24"/>
      <c s="125" r="AM24"/>
    </row>
    <row r="25">
      <c s="822" r="A25"/>
      <c s="406" r="B25"/>
      <c s="886" r="C25"/>
      <c t="str" s="836" r="D25">
        <f>"amplitude "&amp;IF((AE6=2),"(m)","(ft)")</f>
        <v>amplitude (ft)</v>
      </c>
      <c s="458" r="E25"/>
      <c s="734" r="F25"/>
      <c s="458" r="G25"/>
      <c s="458" r="H25"/>
      <c s="734" r="I25"/>
      <c s="702" r="J25"/>
      <c s="908" r="K25"/>
      <c s="551" r="L25"/>
      <c s="551" r="M25"/>
      <c s="551" r="N25"/>
      <c s="551" r="O25"/>
      <c s="551" r="P25"/>
      <c s="551" r="Q25"/>
      <c s="551" r="R25"/>
      <c s="671" r="S25"/>
      <c s="702" r="T25"/>
      <c t="str" s="309" r="U25">
        <f>IF((Profile!L53&gt;0),Profile!L53,"")</f>
        <v/>
      </c>
      <c t="str" s="861" r="V25">
        <f>IF((Profile!O53&gt;0),Profile!O53,"---")</f>
        <v>---</v>
      </c>
      <c t="str" s="861" r="W25">
        <f>IF((Profile!Y53=0),IF((Profile!Y52=0),"---",IF((Profile!Y54=0),"---",Profile!Y53)),Profile!Y53)</f>
        <v>---</v>
      </c>
      <c s="239" r="X25">
        <f>AB25+X24</f>
        <v>0</v>
      </c>
      <c s="796" r="Y25">
        <f>AC25+Y24</f>
        <v>0</v>
      </c>
      <c s="702" r="Z25"/>
      <c s="289" r="AA25">
        <f>IF(Profile!Y53,IF((Profile!O53=0),0,(Profile!O53-MAX(Profile!O$44:O52))),0)</f>
        <v>0</v>
      </c>
      <c s="605" r="AB25">
        <f>SIN(RADIANS(Profile!Y53))*AA25</f>
        <v>0</v>
      </c>
      <c s="605" r="AC25">
        <f>COS(RADIANS(Profile!Y53))*AA25</f>
        <v>0</v>
      </c>
      <c s="348" r="AD25">
        <f>IF((AJ$15=TRUE),X25,NA())</f>
        <v>0</v>
      </c>
      <c s="348" r="AE25">
        <f>IF((AJ$15=TRUE),Y25,NA())</f>
        <v>0</v>
      </c>
      <c t="str" s="348" r="AF25">
        <f>IF(Profile!L53,Y25,NA())</f>
        <v>#N/A:explicit</v>
      </c>
      <c s="348" r="AG25">
        <f>Profile!T53*E$40</f>
        <v>0</v>
      </c>
      <c t="str" s="348" r="AH25">
        <f>IF((AK$15=TRUE),IF(ISNUMBER(Profile!Y53),IF(ISNUMBER(Profile!Y54),(((X25+((F$63/2)*COS(RADIANS(Profile!Y54))))+(X25+((F$63/2)*COS(RADIANS(Profile!Y53)))))/2),(X25+((F$63/2)*COS(RADIANS(Profile!Y53))))),AH24),0)</f>
        <v>#VALUE!:notNumber:For input string: "---"</v>
      </c>
      <c t="str" s="348" r="AI25">
        <f>IF((AK$15=TRUE),IF(ISNUMBER(Profile!Y53),IF(ISNUMBER(Profile!Y54),(((Y25-((F$63/2)*SIN(RADIANS(Profile!Y54))))+(Y25-((F$63/2)*SIN(RADIANS(Profile!Y53)))))/2),(Y25-((F$63/2)*SIN(RADIANS(Profile!Y53))))),AI24),0)</f>
        <v>#VALUE!:notNumber:For input string: "---"</v>
      </c>
      <c t="str" s="348" r="AJ25">
        <f>IF((AK$15=TRUE),IF(ISNUMBER(Profile!Y53),IF(ISNUMBER(Profile!Y54),(((X25-((F$63/2)*COS(RADIANS(Profile!Y54))))+(X25-((F$63/2)*COS(RADIANS(Profile!Y53)))))/2),(X25-((F$63/2)*COS(RADIANS(Profile!Y53))))),AJ24),0)</f>
        <v>#VALUE!:notNumber:For input string: "---"</v>
      </c>
      <c t="str" s="799" r="AK25">
        <f>IF((AK$15=TRUE),IF(ISNUMBER(Profile!Y53),IF(ISNUMBER(Profile!Y54),(((Y25+((F$63/2)*SIN(RADIANS(Profile!Y54))))+(Y25+((F$63/2)*SIN(RADIANS(Profile!Y53)))))/2),(Y25+((F$63/2)*SIN(RADIANS(Profile!Y53))))),AK24),0)</f>
        <v>#VALUE!:notNumber:For input string: "---"</v>
      </c>
      <c s="51" r="AL25"/>
      <c s="125" r="AM25"/>
    </row>
    <row r="26">
      <c s="822" r="A26"/>
      <c s="406" r="B26"/>
      <c s="886" r="C26"/>
      <c s="886" r="D26"/>
      <c s="756" r="E26"/>
      <c s="886" r="F26"/>
      <c s="756" r="G26"/>
      <c s="756" r="H26"/>
      <c s="418" r="I26"/>
      <c s="702" r="J26"/>
      <c s="908" r="K26"/>
      <c s="551" r="L26"/>
      <c s="551" r="M26"/>
      <c s="551" r="N26"/>
      <c s="551" r="O26"/>
      <c s="551" r="P26"/>
      <c s="551" r="Q26"/>
      <c s="551" r="R26"/>
      <c s="671" r="S26"/>
      <c s="702" r="T26"/>
      <c t="str" s="309" r="U26">
        <f>IF((Profile!L54&gt;0),Profile!L54,"")</f>
        <v/>
      </c>
      <c t="str" s="861" r="V26">
        <f>IF((Profile!O54&gt;0),Profile!O54,"---")</f>
        <v>---</v>
      </c>
      <c t="str" s="861" r="W26">
        <f>IF((Profile!Y54=0),IF((Profile!Y53=0),"---",IF((Profile!Y55=0),"---",Profile!Y54)),Profile!Y54)</f>
        <v>---</v>
      </c>
      <c s="239" r="X26">
        <f>AB26+X25</f>
        <v>0</v>
      </c>
      <c s="796" r="Y26">
        <f>AC26+Y25</f>
        <v>0</v>
      </c>
      <c s="702" r="Z26"/>
      <c s="289" r="AA26">
        <f>IF(Profile!Y54,IF((Profile!O54=0),0,(Profile!O54-MAX(Profile!O$44:O53))),0)</f>
        <v>0</v>
      </c>
      <c s="605" r="AB26">
        <f>SIN(RADIANS(Profile!Y54))*AA26</f>
        <v>0</v>
      </c>
      <c s="605" r="AC26">
        <f>COS(RADIANS(Profile!Y54))*AA26</f>
        <v>0</v>
      </c>
      <c s="348" r="AD26">
        <f>IF((AJ$15=TRUE),X26,NA())</f>
        <v>0</v>
      </c>
      <c s="348" r="AE26">
        <f>IF((AJ$15=TRUE),Y26,NA())</f>
        <v>0</v>
      </c>
      <c t="str" s="348" r="AF26">
        <f>IF(Profile!L54,Y26,NA())</f>
        <v>#N/A:explicit</v>
      </c>
      <c s="348" r="AG26">
        <f>Profile!T54*E$40</f>
        <v>0</v>
      </c>
      <c t="str" s="348" r="AH26">
        <f>IF((AK$15=TRUE),IF(ISNUMBER(Profile!Y54),IF(ISNUMBER(Profile!Y55),(((X26+((F$63/2)*COS(RADIANS(Profile!Y55))))+(X26+((F$63/2)*COS(RADIANS(Profile!Y54)))))/2),(X26+((F$63/2)*COS(RADIANS(Profile!Y54))))),AH25),0)</f>
        <v>#VALUE!:notNumber:For input string: "---"</v>
      </c>
      <c t="str" s="348" r="AI26">
        <f>IF((AK$15=TRUE),IF(ISNUMBER(Profile!Y54),IF(ISNUMBER(Profile!Y55),(((Y26-((F$63/2)*SIN(RADIANS(Profile!Y55))))+(Y26-((F$63/2)*SIN(RADIANS(Profile!Y54)))))/2),(Y26-((F$63/2)*SIN(RADIANS(Profile!Y54))))),AI25),0)</f>
        <v>#VALUE!:notNumber:For input string: "---"</v>
      </c>
      <c t="str" s="348" r="AJ26">
        <f>IF((AK$15=TRUE),IF(ISNUMBER(Profile!Y54),IF(ISNUMBER(Profile!Y55),(((X26-((F$63/2)*COS(RADIANS(Profile!Y55))))+(X26-((F$63/2)*COS(RADIANS(Profile!Y54)))))/2),(X26-((F$63/2)*COS(RADIANS(Profile!Y54))))),AJ25),0)</f>
        <v>#VALUE!:notNumber:For input string: "---"</v>
      </c>
      <c t="str" s="799" r="AK26">
        <f>IF((AK$15=TRUE),IF(ISNUMBER(Profile!Y54),IF(ISNUMBER(Profile!Y55),(((Y26+((F$63/2)*SIN(RADIANS(Profile!Y55))))+(Y26+((F$63/2)*SIN(RADIANS(Profile!Y54)))))/2),(Y26+((F$63/2)*SIN(RADIANS(Profile!Y54))))),AK25),0)</f>
        <v>#VALUE!:notNumber:For input string: "---"</v>
      </c>
      <c s="51" r="AL26"/>
      <c s="125" r="AM26"/>
    </row>
    <row r="27">
      <c s="822" r="A27"/>
      <c s="406" r="B27"/>
      <c s="886" r="C27"/>
      <c s="886" r="D27"/>
      <c s="886" r="E27"/>
      <c s="886" r="F27"/>
      <c s="886" r="G27"/>
      <c s="886" r="H27"/>
      <c s="418" r="I27"/>
      <c s="702" r="J27"/>
      <c s="908" r="K27"/>
      <c s="551" r="L27"/>
      <c s="551" r="M27"/>
      <c s="551" r="N27"/>
      <c s="551" r="O27"/>
      <c s="551" r="P27"/>
      <c s="551" r="Q27"/>
      <c s="551" r="R27"/>
      <c s="671" r="S27"/>
      <c s="702" r="T27"/>
      <c t="str" s="309" r="U27">
        <f>IF((Profile!L55&gt;0),Profile!L55,"")</f>
        <v/>
      </c>
      <c t="str" s="861" r="V27">
        <f>IF((Profile!O55&gt;0),Profile!O55,"---")</f>
        <v>---</v>
      </c>
      <c t="str" s="861" r="W27">
        <f>IF((Profile!Y55=0),IF((Profile!Y54=0),"---",IF((Profile!Y56=0),"---",Profile!Y55)),Profile!Y55)</f>
        <v>---</v>
      </c>
      <c s="239" r="X27">
        <f>AB27+X26</f>
        <v>0</v>
      </c>
      <c s="796" r="Y27">
        <f>AC27+Y26</f>
        <v>0</v>
      </c>
      <c s="702" r="Z27"/>
      <c s="289" r="AA27">
        <f>IF(Profile!Y55,IF((Profile!O55=0),0,(Profile!O55-MAX(Profile!O$44:O54))),0)</f>
        <v>0</v>
      </c>
      <c s="605" r="AB27">
        <f>SIN(RADIANS(Profile!Y55))*AA27</f>
        <v>0</v>
      </c>
      <c s="605" r="AC27">
        <f>COS(RADIANS(Profile!Y55))*AA27</f>
        <v>0</v>
      </c>
      <c s="348" r="AD27">
        <f>IF((AJ$15=TRUE),X27,NA())</f>
        <v>0</v>
      </c>
      <c s="348" r="AE27">
        <f>IF((AJ$15=TRUE),Y27,NA())</f>
        <v>0</v>
      </c>
      <c t="str" s="348" r="AF27">
        <f>IF(Profile!L55,Y27,NA())</f>
        <v>#N/A:explicit</v>
      </c>
      <c s="348" r="AG27">
        <f>Profile!T55*E$40</f>
        <v>0</v>
      </c>
      <c t="str" s="348" r="AH27">
        <f>IF((AK$15=TRUE),IF(ISNUMBER(Profile!Y55),IF(ISNUMBER(Profile!Y56),(((X27+((F$63/2)*COS(RADIANS(Profile!Y56))))+(X27+((F$63/2)*COS(RADIANS(Profile!Y55)))))/2),(X27+((F$63/2)*COS(RADIANS(Profile!Y55))))),AH26),0)</f>
        <v>#VALUE!:notNumber:For input string: "---"</v>
      </c>
      <c t="str" s="348" r="AI27">
        <f>IF((AK$15=TRUE),IF(ISNUMBER(Profile!Y55),IF(ISNUMBER(Profile!Y56),(((Y27-((F$63/2)*SIN(RADIANS(Profile!Y56))))+(Y27-((F$63/2)*SIN(RADIANS(Profile!Y55)))))/2),(Y27-((F$63/2)*SIN(RADIANS(Profile!Y55))))),AI26),0)</f>
        <v>#VALUE!:notNumber:For input string: "---"</v>
      </c>
      <c t="str" s="348" r="AJ27">
        <f>IF((AK$15=TRUE),IF(ISNUMBER(Profile!Y55),IF(ISNUMBER(Profile!Y56),(((X27-((F$63/2)*COS(RADIANS(Profile!Y56))))+(X27-((F$63/2)*COS(RADIANS(Profile!Y55)))))/2),(X27-((F$63/2)*COS(RADIANS(Profile!Y55))))),AJ26),0)</f>
        <v>#VALUE!:notNumber:For input string: "---"</v>
      </c>
      <c t="str" s="799" r="AK27">
        <f>IF((AK$15=TRUE),IF(ISNUMBER(Profile!Y55),IF(ISNUMBER(Profile!Y56),(((Y27+((F$63/2)*SIN(RADIANS(Profile!Y56))))+(Y27+((F$63/2)*SIN(RADIANS(Profile!Y55)))))/2),(Y27+((F$63/2)*SIN(RADIANS(Profile!Y55))))),AK26),0)</f>
        <v>#VALUE!:notNumber:For input string: "---"</v>
      </c>
      <c s="51" r="AL27"/>
      <c s="125" r="AM27"/>
    </row>
    <row r="28">
      <c s="822" r="A28"/>
      <c s="406" r="B28"/>
      <c t="s" s="729" r="C28">
        <v>427</v>
      </c>
      <c s="566" r="D28"/>
      <c s="566" r="E28"/>
      <c s="529" r="F28"/>
      <c s="566" r="G28"/>
      <c s="566" r="H28"/>
      <c s="418" r="I28"/>
      <c s="702" r="J28"/>
      <c s="908" r="K28"/>
      <c s="427" r="L28"/>
      <c s="427" r="M28"/>
      <c s="551" r="N28"/>
      <c s="427" r="O28"/>
      <c s="427" r="P28"/>
      <c s="427" r="Q28"/>
      <c s="551" r="R28"/>
      <c s="198" r="S28"/>
      <c s="702" r="T28"/>
      <c t="str" s="309" r="U28">
        <f>IF((Profile!L56&gt;0),Profile!L56,"")</f>
        <v/>
      </c>
      <c t="str" s="861" r="V28">
        <f>IF((Profile!O56&gt;0),Profile!O56,"---")</f>
        <v>---</v>
      </c>
      <c t="str" s="861" r="W28">
        <f>IF((Profile!Y56=0),IF((Profile!Y55=0),"---",IF((Profile!Y57=0),"---",Profile!Y56)),Profile!Y56)</f>
        <v>---</v>
      </c>
      <c s="239" r="X28">
        <f>AB28+X27</f>
        <v>0</v>
      </c>
      <c s="796" r="Y28">
        <f>AC28+Y27</f>
        <v>0</v>
      </c>
      <c s="702" r="Z28"/>
      <c s="289" r="AA28">
        <f>IF(Profile!Y56,IF((Profile!O56=0),0,(Profile!O56-MAX(Profile!O$44:O55))),0)</f>
        <v>0</v>
      </c>
      <c s="605" r="AB28">
        <f>SIN(RADIANS(Profile!Y56))*AA28</f>
        <v>0</v>
      </c>
      <c s="605" r="AC28">
        <f>COS(RADIANS(Profile!Y56))*AA28</f>
        <v>0</v>
      </c>
      <c s="348" r="AD28">
        <f>IF((AJ$15=TRUE),X28,NA())</f>
        <v>0</v>
      </c>
      <c s="348" r="AE28">
        <f>IF((AJ$15=TRUE),Y28,NA())</f>
        <v>0</v>
      </c>
      <c t="str" s="348" r="AF28">
        <f>IF(Profile!L56,Y28,NA())</f>
        <v>#N/A:explicit</v>
      </c>
      <c s="348" r="AG28">
        <f>Profile!T56*E$40</f>
        <v>0</v>
      </c>
      <c t="str" s="348" r="AH28">
        <f>IF((AK$15=TRUE),IF(ISNUMBER(Profile!Y56),IF(ISNUMBER(Profile!Y57),(((X28+((F$63/2)*COS(RADIANS(Profile!Y57))))+(X28+((F$63/2)*COS(RADIANS(Profile!Y56)))))/2),(X28+((F$63/2)*COS(RADIANS(Profile!Y56))))),AH27),0)</f>
        <v>#VALUE!:notNumber:For input string: "---"</v>
      </c>
      <c t="str" s="348" r="AI28">
        <f>IF((AK$15=TRUE),IF(ISNUMBER(Profile!Y56),IF(ISNUMBER(Profile!Y57),(((Y28-((F$63/2)*SIN(RADIANS(Profile!Y57))))+(Y28-((F$63/2)*SIN(RADIANS(Profile!Y56)))))/2),(Y28-((F$63/2)*SIN(RADIANS(Profile!Y56))))),AI27),0)</f>
        <v>#VALUE!:notNumber:For input string: "---"</v>
      </c>
      <c t="str" s="348" r="AJ28">
        <f>IF((AK$15=TRUE),IF(ISNUMBER(Profile!Y56),IF(ISNUMBER(Profile!Y57),(((X28-((F$63/2)*COS(RADIANS(Profile!Y57))))+(X28-((F$63/2)*COS(RADIANS(Profile!Y56)))))/2),(X28-((F$63/2)*COS(RADIANS(Profile!Y56))))),AJ27),0)</f>
        <v>#VALUE!:notNumber:For input string: "---"</v>
      </c>
      <c t="str" s="799" r="AK28">
        <f>IF((AK$15=TRUE),IF(ISNUMBER(Profile!Y56),IF(ISNUMBER(Profile!Y57),(((Y28+((F$63/2)*SIN(RADIANS(Profile!Y57))))+(Y28+((F$63/2)*SIN(RADIANS(Profile!Y56)))))/2),(Y28+((F$63/2)*SIN(RADIANS(Profile!Y56))))),AK27),0)</f>
        <v>#VALUE!:notNumber:For input string: "---"</v>
      </c>
      <c s="51" r="AL28"/>
      <c s="125" r="AM28"/>
    </row>
    <row r="29">
      <c s="822" r="A29"/>
      <c s="406" r="B29"/>
      <c s="756" r="C29"/>
      <c t="str" s="7" r="D29">
        <f>"radius "&amp;IF((AE6=2),"(m)","(ft)")</f>
        <v>radius (ft)</v>
      </c>
      <c s="458" r="E29"/>
      <c s="510" r="F29"/>
      <c s="458" r="G29"/>
      <c s="458" r="H29"/>
      <c s="734" r="I29"/>
      <c s="702" r="J29"/>
      <c s="908" r="K29"/>
      <c s="427" r="L29"/>
      <c s="427" r="M29"/>
      <c s="551" r="N29"/>
      <c s="427" r="O29"/>
      <c s="427" r="P29"/>
      <c s="427" r="Q29"/>
      <c s="551" r="R29"/>
      <c s="198" r="S29"/>
      <c s="702" r="T29"/>
      <c t="str" s="309" r="U29">
        <f>IF((Profile!L57&gt;0),Profile!L57,"")</f>
        <v/>
      </c>
      <c t="str" s="861" r="V29">
        <f>IF((Profile!O57&gt;0),Profile!O57,"---")</f>
        <v>---</v>
      </c>
      <c t="str" s="861" r="W29">
        <f>IF((Profile!Y57=0),IF((Profile!Y56=0),"---",IF((Profile!Y58=0),"---",Profile!Y57)),Profile!Y57)</f>
        <v>---</v>
      </c>
      <c s="239" r="X29">
        <f>AB29+X28</f>
        <v>0</v>
      </c>
      <c s="796" r="Y29">
        <f>AC29+Y28</f>
        <v>0</v>
      </c>
      <c s="702" r="Z29"/>
      <c s="289" r="AA29">
        <f>IF(Profile!Y57,IF((Profile!O57=0),0,(Profile!O57-MAX(Profile!O$44:O56))),0)</f>
        <v>0</v>
      </c>
      <c s="605" r="AB29">
        <f>SIN(RADIANS(Profile!Y57))*AA29</f>
        <v>0</v>
      </c>
      <c s="605" r="AC29">
        <f>COS(RADIANS(Profile!Y57))*AA29</f>
        <v>0</v>
      </c>
      <c s="348" r="AD29">
        <f>IF((AJ$15=TRUE),X29,NA())</f>
        <v>0</v>
      </c>
      <c s="348" r="AE29">
        <f>IF((AJ$15=TRUE),Y29,NA())</f>
        <v>0</v>
      </c>
      <c t="str" s="348" r="AF29">
        <f>IF(Profile!L57,Y29,NA())</f>
        <v>#N/A:explicit</v>
      </c>
      <c s="348" r="AG29">
        <f>Profile!T57*E$40</f>
        <v>0</v>
      </c>
      <c t="str" s="348" r="AH29">
        <f>IF((AK$15=TRUE),IF(ISNUMBER(Profile!Y57),IF(ISNUMBER(Profile!Y58),(((X29+((F$63/2)*COS(RADIANS(Profile!Y58))))+(X29+((F$63/2)*COS(RADIANS(Profile!Y57)))))/2),(X29+((F$63/2)*COS(RADIANS(Profile!Y57))))),AH28),0)</f>
        <v>#VALUE!:notNumber:For input string: "---"</v>
      </c>
      <c t="str" s="348" r="AI29">
        <f>IF((AK$15=TRUE),IF(ISNUMBER(Profile!Y57),IF(ISNUMBER(Profile!Y58),(((Y29-((F$63/2)*SIN(RADIANS(Profile!Y58))))+(Y29-((F$63/2)*SIN(RADIANS(Profile!Y57)))))/2),(Y29-((F$63/2)*SIN(RADIANS(Profile!Y57))))),AI28),0)</f>
        <v>#VALUE!:notNumber:For input string: "---"</v>
      </c>
      <c t="str" s="348" r="AJ29">
        <f>IF((AK$15=TRUE),IF(ISNUMBER(Profile!Y57),IF(ISNUMBER(Profile!Y58),(((X29-((F$63/2)*COS(RADIANS(Profile!Y58))))+(X29-((F$63/2)*COS(RADIANS(Profile!Y57)))))/2),(X29-((F$63/2)*COS(RADIANS(Profile!Y57))))),AJ28),0)</f>
        <v>#VALUE!:notNumber:For input string: "---"</v>
      </c>
      <c t="str" s="799" r="AK29">
        <f>IF((AK$15=TRUE),IF(ISNUMBER(Profile!Y57),IF(ISNUMBER(Profile!Y58),(((Y29+((F$63/2)*SIN(RADIANS(Profile!Y58))))+(Y29+((F$63/2)*SIN(RADIANS(Profile!Y57)))))/2),(Y29+((F$63/2)*SIN(RADIANS(Profile!Y57))))),AK28),0)</f>
        <v>#VALUE!:notNumber:For input string: "---"</v>
      </c>
      <c s="51" r="AL29"/>
      <c s="125" r="AM29"/>
    </row>
    <row r="30">
      <c s="822" r="A30"/>
      <c s="406" r="B30"/>
      <c s="886" r="C30"/>
      <c s="886" r="D30"/>
      <c s="127" r="E30"/>
      <c s="886" r="F30"/>
      <c s="127" r="G30"/>
      <c s="127" r="H30"/>
      <c s="418" r="I30"/>
      <c s="702" r="J30"/>
      <c s="908" r="K30"/>
      <c s="427" r="L30"/>
      <c s="427" r="M30"/>
      <c s="551" r="N30"/>
      <c s="427" r="O30"/>
      <c s="427" r="P30"/>
      <c s="427" r="Q30"/>
      <c s="551" r="R30"/>
      <c s="198" r="S30"/>
      <c s="702" r="T30"/>
      <c t="str" s="309" r="U30">
        <f>IF((Profile!L58&gt;0),Profile!L58,"")</f>
        <v/>
      </c>
      <c t="str" s="861" r="V30">
        <f>IF((Profile!O58&gt;0),Profile!O58,"---")</f>
        <v>---</v>
      </c>
      <c t="str" s="861" r="W30">
        <f>IF((Profile!Y58=0),IF((Profile!Y57=0),"---",IF((Profile!Y59=0),"---",Profile!Y58)),Profile!Y58)</f>
        <v>---</v>
      </c>
      <c s="239" r="X30">
        <f>AB30+X29</f>
        <v>0</v>
      </c>
      <c s="796" r="Y30">
        <f>AC30+Y29</f>
        <v>0</v>
      </c>
      <c s="702" r="Z30"/>
      <c s="289" r="AA30">
        <f>IF(Profile!Y58,IF((Profile!O58=0),0,(Profile!O58-MAX(Profile!O$44:O57))),0)</f>
        <v>0</v>
      </c>
      <c s="605" r="AB30">
        <f>SIN(RADIANS(Profile!Y58))*AA30</f>
        <v>0</v>
      </c>
      <c s="605" r="AC30">
        <f>COS(RADIANS(Profile!Y58))*AA30</f>
        <v>0</v>
      </c>
      <c s="348" r="AD30">
        <f>IF((AJ$15=TRUE),X30,NA())</f>
        <v>0</v>
      </c>
      <c s="348" r="AE30">
        <f>IF((AJ$15=TRUE),Y30,NA())</f>
        <v>0</v>
      </c>
      <c t="str" s="348" r="AF30">
        <f>IF(Profile!L58,Y30,NA())</f>
        <v>#N/A:explicit</v>
      </c>
      <c s="348" r="AG30">
        <f>Profile!T58*E$40</f>
        <v>0</v>
      </c>
      <c t="str" s="348" r="AH30">
        <f>IF((AK$15=TRUE),IF(ISNUMBER(Profile!Y58),IF(ISNUMBER(Profile!Y59),(((X30+((F$63/2)*COS(RADIANS(Profile!Y59))))+(X30+((F$63/2)*COS(RADIANS(Profile!Y58)))))/2),(X30+((F$63/2)*COS(RADIANS(Profile!Y58))))),AH29),0)</f>
        <v>#VALUE!:notNumber:For input string: "---"</v>
      </c>
      <c t="str" s="348" r="AI30">
        <f>IF((AK$15=TRUE),IF(ISNUMBER(Profile!Y58),IF(ISNUMBER(Profile!Y59),(((Y30-((F$63/2)*SIN(RADIANS(Profile!Y59))))+(Y30-((F$63/2)*SIN(RADIANS(Profile!Y58)))))/2),(Y30-((F$63/2)*SIN(RADIANS(Profile!Y58))))),AI29),0)</f>
        <v>#VALUE!:notNumber:For input string: "---"</v>
      </c>
      <c t="str" s="348" r="AJ30">
        <f>IF((AK$15=TRUE),IF(ISNUMBER(Profile!Y58),IF(ISNUMBER(Profile!Y59),(((X30-((F$63/2)*COS(RADIANS(Profile!Y59))))+(X30-((F$63/2)*COS(RADIANS(Profile!Y58)))))/2),(X30-((F$63/2)*COS(RADIANS(Profile!Y58))))),AJ29),0)</f>
        <v>#VALUE!:notNumber:For input string: "---"</v>
      </c>
      <c t="str" s="799" r="AK30">
        <f>IF((AK$15=TRUE),IF(ISNUMBER(Profile!Y58),IF(ISNUMBER(Profile!Y59),(((Y30+((F$63/2)*SIN(RADIANS(Profile!Y59))))+(Y30+((F$63/2)*SIN(RADIANS(Profile!Y58)))))/2),(Y30+((F$63/2)*SIN(RADIANS(Profile!Y58))))),AK29),0)</f>
        <v>#VALUE!:notNumber:For input string: "---"</v>
      </c>
      <c s="51" r="AL30"/>
      <c s="125" r="AM30"/>
    </row>
    <row r="31">
      <c s="822" r="A31"/>
      <c s="406" r="B31"/>
      <c s="886" r="C31"/>
      <c t="s" s="836" r="D31">
        <v>121</v>
      </c>
      <c s="458" r="E31"/>
      <c s="734" r="F31"/>
      <c s="458" r="G31"/>
      <c s="458" r="H31"/>
      <c s="734" r="I31"/>
      <c s="702" r="J31"/>
      <c s="908" r="K31"/>
      <c s="8" r="L31"/>
      <c s="427" r="M31"/>
      <c s="551" r="N31"/>
      <c s="427" r="O31"/>
      <c s="427" r="P31"/>
      <c s="427" r="Q31"/>
      <c s="551" r="R31"/>
      <c s="198" r="S31"/>
      <c s="702" r="T31"/>
      <c t="str" s="309" r="U31">
        <f>IF((Profile!L59&gt;0),Profile!L59,"")</f>
        <v/>
      </c>
      <c t="str" s="861" r="V31">
        <f>IF((Profile!O59&gt;0),Profile!O59,"---")</f>
        <v>---</v>
      </c>
      <c t="str" s="861" r="W31">
        <f>IF((Profile!Y59=0),IF((Profile!Y58=0),"---",IF((Profile!Y60=0),"---",Profile!Y59)),Profile!Y59)</f>
        <v>---</v>
      </c>
      <c s="239" r="X31">
        <f>AB31+X30</f>
        <v>0</v>
      </c>
      <c s="796" r="Y31">
        <f>AC31+Y30</f>
        <v>0</v>
      </c>
      <c s="702" r="Z31"/>
      <c s="289" r="AA31">
        <f>IF(Profile!Y59,IF((Profile!O59=0),0,(Profile!O59-MAX(Profile!O$44:O58))),0)</f>
        <v>0</v>
      </c>
      <c s="605" r="AB31">
        <f>SIN(RADIANS(Profile!Y59))*AA31</f>
        <v>0</v>
      </c>
      <c s="605" r="AC31">
        <f>COS(RADIANS(Profile!Y59))*AA31</f>
        <v>0</v>
      </c>
      <c s="348" r="AD31">
        <f>IF((AJ$15=TRUE),X31,NA())</f>
        <v>0</v>
      </c>
      <c s="348" r="AE31">
        <f>IF((AJ$15=TRUE),Y31,NA())</f>
        <v>0</v>
      </c>
      <c t="str" s="348" r="AF31">
        <f>IF(Profile!L59,Y31,NA())</f>
        <v>#N/A:explicit</v>
      </c>
      <c s="348" r="AG31">
        <f>Profile!T59*E$40</f>
        <v>0</v>
      </c>
      <c t="str" s="348" r="AH31">
        <f>IF((AK$15=TRUE),IF(ISNUMBER(Profile!Y59),IF(ISNUMBER(Profile!Y60),(((X31+((F$63/2)*COS(RADIANS(Profile!Y60))))+(X31+((F$63/2)*COS(RADIANS(Profile!Y59)))))/2),(X31+((F$63/2)*COS(RADIANS(Profile!Y59))))),AH30),0)</f>
        <v>#VALUE!:notNumber:For input string: "---"</v>
      </c>
      <c t="str" s="348" r="AI31">
        <f>IF((AK$15=TRUE),IF(ISNUMBER(Profile!Y59),IF(ISNUMBER(Profile!Y60),(((Y31-((F$63/2)*SIN(RADIANS(Profile!Y60))))+(Y31-((F$63/2)*SIN(RADIANS(Profile!Y59)))))/2),(Y31-((F$63/2)*SIN(RADIANS(Profile!Y59))))),AI30),0)</f>
        <v>#VALUE!:notNumber:For input string: "---"</v>
      </c>
      <c t="str" s="348" r="AJ31">
        <f>IF((AK$15=TRUE),IF(ISNUMBER(Profile!Y59),IF(ISNUMBER(Profile!Y60),(((X31-((F$63/2)*COS(RADIANS(Profile!Y60))))+(X31-((F$63/2)*COS(RADIANS(Profile!Y59)))))/2),(X31-((F$63/2)*COS(RADIANS(Profile!Y59))))),AJ30),0)</f>
        <v>#VALUE!:notNumber:For input string: "---"</v>
      </c>
      <c t="str" s="799" r="AK31">
        <f>IF((AK$15=TRUE),IF(ISNUMBER(Profile!Y59),IF(ISNUMBER(Profile!Y60),(((Y31+((F$63/2)*SIN(RADIANS(Profile!Y60))))+(Y31+((F$63/2)*SIN(RADIANS(Profile!Y59)))))/2),(Y31+((F$63/2)*SIN(RADIANS(Profile!Y59))))),AK30),0)</f>
        <v>#VALUE!:notNumber:For input string: "---"</v>
      </c>
      <c s="51" r="AL31"/>
      <c s="125" r="AM31"/>
    </row>
    <row r="32">
      <c s="822" r="A32"/>
      <c s="406" r="B32"/>
      <c s="886" r="C32"/>
      <c s="886" r="D32"/>
      <c s="756" r="E32"/>
      <c s="886" r="F32"/>
      <c s="756" r="G32"/>
      <c s="756" r="H32"/>
      <c s="418" r="I32"/>
      <c s="702" r="J32"/>
      <c s="908" r="K32"/>
      <c s="427" r="L32"/>
      <c s="427" r="M32"/>
      <c t="str" s="551" r="N32">
        <f>F4&amp;IF(ISNUMBER(H4),((((" ("&amp;H4)&amp;" - ")&amp;E16)&amp;" )"),"")</f>
        <v/>
      </c>
      <c s="427" r="O32"/>
      <c s="427" r="P32"/>
      <c s="427" r="Q32"/>
      <c s="551" r="R32"/>
      <c s="198" r="S32"/>
      <c s="702" r="T32"/>
      <c t="str" s="309" r="U32">
        <f>IF((Profile!L60&gt;0),Profile!L60,"")</f>
        <v/>
      </c>
      <c t="str" s="861" r="V32">
        <f>IF((Profile!O60&gt;0),Profile!O60,"---")</f>
        <v>---</v>
      </c>
      <c t="str" s="861" r="W32">
        <f>IF((Profile!Y60=0),IF((Profile!Y59=0),"---",IF((Profile!Y61=0),"---",Profile!Y60)),Profile!Y60)</f>
        <v>---</v>
      </c>
      <c s="239" r="X32">
        <f>AB32+X31</f>
        <v>0</v>
      </c>
      <c s="796" r="Y32">
        <f>AC32+Y31</f>
        <v>0</v>
      </c>
      <c s="702" r="Z32"/>
      <c s="289" r="AA32">
        <f>IF(Profile!Y60,IF((Profile!O60=0),0,(Profile!O60-MAX(Profile!O$44:O59))),0)</f>
        <v>0</v>
      </c>
      <c s="605" r="AB32">
        <f>SIN(RADIANS(Profile!Y60))*AA32</f>
        <v>0</v>
      </c>
      <c s="605" r="AC32">
        <f>COS(RADIANS(Profile!Y60))*AA32</f>
        <v>0</v>
      </c>
      <c s="348" r="AD32">
        <f>IF((AJ$15=TRUE),X32,NA())</f>
        <v>0</v>
      </c>
      <c s="348" r="AE32">
        <f>IF((AJ$15=TRUE),Y32,NA())</f>
        <v>0</v>
      </c>
      <c t="str" s="348" r="AF32">
        <f>IF(Profile!L60,Y32,NA())</f>
        <v>#N/A:explicit</v>
      </c>
      <c s="348" r="AG32">
        <f>Profile!T60*E$40</f>
        <v>0</v>
      </c>
      <c t="str" s="348" r="AH32">
        <f>IF((AK$15=TRUE),IF(ISNUMBER(Profile!Y60),IF(ISNUMBER(Profile!Y61),(((X32+((F$63/2)*COS(RADIANS(Profile!Y61))))+(X32+((F$63/2)*COS(RADIANS(Profile!Y60)))))/2),(X32+((F$63/2)*COS(RADIANS(Profile!Y60))))),AH31),0)</f>
        <v>#VALUE!:notNumber:For input string: "---"</v>
      </c>
      <c t="str" s="348" r="AI32">
        <f>IF((AK$15=TRUE),IF(ISNUMBER(Profile!Y60),IF(ISNUMBER(Profile!Y61),(((Y32-((F$63/2)*SIN(RADIANS(Profile!Y61))))+(Y32-((F$63/2)*SIN(RADIANS(Profile!Y60)))))/2),(Y32-((F$63/2)*SIN(RADIANS(Profile!Y60))))),AI31),0)</f>
        <v>#VALUE!:notNumber:For input string: "---"</v>
      </c>
      <c t="str" s="348" r="AJ32">
        <f>IF((AK$15=TRUE),IF(ISNUMBER(Profile!Y60),IF(ISNUMBER(Profile!Y61),(((X32-((F$63/2)*COS(RADIANS(Profile!Y61))))+(X32-((F$63/2)*COS(RADIANS(Profile!Y60)))))/2),(X32-((F$63/2)*COS(RADIANS(Profile!Y60))))),AJ31),0)</f>
        <v>#VALUE!:notNumber:For input string: "---"</v>
      </c>
      <c t="str" s="799" r="AK32">
        <f>IF((AK$15=TRUE),IF(ISNUMBER(Profile!Y60),IF(ISNUMBER(Profile!Y61),(((Y32+((F$63/2)*SIN(RADIANS(Profile!Y61))))+(Y32+((F$63/2)*SIN(RADIANS(Profile!Y60)))))/2),(Y32+((F$63/2)*SIN(RADIANS(Profile!Y60))))),AK31),0)</f>
        <v>#VALUE!:notNumber:For input string: "---"</v>
      </c>
      <c s="51" r="AL32"/>
      <c s="125" r="AM32"/>
    </row>
    <row r="33">
      <c s="822" r="A33"/>
      <c s="406" r="B33"/>
      <c s="886" r="C33"/>
      <c s="886" r="D33"/>
      <c s="886" r="E33"/>
      <c s="886" r="F33"/>
      <c s="886" r="G33"/>
      <c s="886" r="H33"/>
      <c s="418" r="I33"/>
      <c s="702" r="J33"/>
      <c s="908" r="K33"/>
      <c s="427" r="L33"/>
      <c s="427" r="M33"/>
      <c s="551" r="N33"/>
      <c s="427" r="O33"/>
      <c s="427" r="P33"/>
      <c s="427" r="Q33"/>
      <c s="551" r="R33"/>
      <c s="198" r="S33"/>
      <c s="702" r="T33"/>
      <c t="str" s="309" r="U33">
        <f>IF((Profile!L61&gt;0),Profile!L61,"")</f>
        <v/>
      </c>
      <c t="str" s="861" r="V33">
        <f>IF((Profile!O61&gt;0),Profile!O61,"---")</f>
        <v>---</v>
      </c>
      <c t="str" s="861" r="W33">
        <f>IF((Profile!Y61=0),IF((Profile!Y60=0),"---",IF((Profile!Y62=0),"---",Profile!Y61)),Profile!Y61)</f>
        <v>---</v>
      </c>
      <c s="239" r="X33">
        <f>AB33+X32</f>
        <v>0</v>
      </c>
      <c s="796" r="Y33">
        <f>AC33+Y32</f>
        <v>0</v>
      </c>
      <c s="702" r="Z33"/>
      <c s="289" r="AA33">
        <f>IF(Profile!Y61,IF((Profile!O61=0),0,(Profile!O61-MAX(Profile!O$44:O60))),0)</f>
        <v>0</v>
      </c>
      <c s="605" r="AB33">
        <f>SIN(RADIANS(Profile!Y61))*AA33</f>
        <v>0</v>
      </c>
      <c s="605" r="AC33">
        <f>COS(RADIANS(Profile!Y61))*AA33</f>
        <v>0</v>
      </c>
      <c s="348" r="AD33">
        <f>IF((AJ$15=TRUE),X33,NA())</f>
        <v>0</v>
      </c>
      <c s="348" r="AE33">
        <f>IF((AJ$15=TRUE),Y33,NA())</f>
        <v>0</v>
      </c>
      <c t="str" s="348" r="AF33">
        <f>IF(Profile!L61,Y33,NA())</f>
        <v>#N/A:explicit</v>
      </c>
      <c s="348" r="AG33">
        <f>Profile!T61*E$40</f>
        <v>0</v>
      </c>
      <c t="str" s="348" r="AH33">
        <f>IF((AK$15=TRUE),IF(ISNUMBER(Profile!Y61),IF(ISNUMBER(Profile!Y62),(((X33+((F$63/2)*COS(RADIANS(Profile!Y62))))+(X33+((F$63/2)*COS(RADIANS(Profile!Y61)))))/2),(X33+((F$63/2)*COS(RADIANS(Profile!Y61))))),AH32),0)</f>
        <v>#VALUE!:notNumber:For input string: "---"</v>
      </c>
      <c t="str" s="348" r="AI33">
        <f>IF((AK$15=TRUE),IF(ISNUMBER(Profile!Y61),IF(ISNUMBER(Profile!Y62),(((Y33-((F$63/2)*SIN(RADIANS(Profile!Y62))))+(Y33-((F$63/2)*SIN(RADIANS(Profile!Y61)))))/2),(Y33-((F$63/2)*SIN(RADIANS(Profile!Y61))))),AI32),0)</f>
        <v>#VALUE!:notNumber:For input string: "---"</v>
      </c>
      <c t="str" s="348" r="AJ33">
        <f>IF((AK$15=TRUE),IF(ISNUMBER(Profile!Y61),IF(ISNUMBER(Profile!Y62),(((X33-((F$63/2)*COS(RADIANS(Profile!Y62))))+(X33-((F$63/2)*COS(RADIANS(Profile!Y61)))))/2),(X33-((F$63/2)*COS(RADIANS(Profile!Y61))))),AJ32),0)</f>
        <v>#VALUE!:notNumber:For input string: "---"</v>
      </c>
      <c t="str" s="799" r="AK33">
        <f>IF((AK$15=TRUE),IF(ISNUMBER(Profile!Y61),IF(ISNUMBER(Profile!Y62),(((Y33+((F$63/2)*SIN(RADIANS(Profile!Y62))))+(Y33+((F$63/2)*SIN(RADIANS(Profile!Y61)))))/2),(Y33+((F$63/2)*SIN(RADIANS(Profile!Y61))))),AK32),0)</f>
        <v>#VALUE!:notNumber:For input string: "---"</v>
      </c>
      <c s="51" r="AL33"/>
      <c s="125" r="AM33"/>
    </row>
    <row r="34">
      <c s="822" r="A34"/>
      <c s="406" r="B34"/>
      <c t="s" s="729" r="C34">
        <v>125</v>
      </c>
      <c s="566" r="D34"/>
      <c s="566" r="E34"/>
      <c s="529" r="F34"/>
      <c s="529" r="G34"/>
      <c s="269" r="H34"/>
      <c s="418" r="I34"/>
      <c s="702" r="J34"/>
      <c s="908" r="K34"/>
      <c s="427" r="L34"/>
      <c s="427" r="M34"/>
      <c s="427" r="N34"/>
      <c s="427" r="O34"/>
      <c s="427" r="P34"/>
      <c s="427" r="Q34"/>
      <c s="551" r="R34"/>
      <c s="198" r="S34"/>
      <c s="702" r="T34"/>
      <c t="str" s="309" r="U34">
        <f>IF((Profile!L62&gt;0),Profile!L62,"")</f>
        <v/>
      </c>
      <c t="str" s="861" r="V34">
        <f>IF((Profile!O62&gt;0),Profile!O62,"---")</f>
        <v>---</v>
      </c>
      <c t="str" s="861" r="W34">
        <f>IF((Profile!Y62=0),IF((Profile!Y61=0),"---",IF((Profile!Y63=0),"---",Profile!Y62)),Profile!Y62)</f>
        <v>---</v>
      </c>
      <c s="239" r="X34">
        <f>AB34+X33</f>
        <v>0</v>
      </c>
      <c s="796" r="Y34">
        <f>AC34+Y33</f>
        <v>0</v>
      </c>
      <c s="702" r="Z34"/>
      <c s="289" r="AA34">
        <f>IF(Profile!Y62,IF((Profile!O62=0),0,(Profile!O62-MAX(Profile!O$44:O61))),0)</f>
        <v>0</v>
      </c>
      <c s="605" r="AB34">
        <f>SIN(RADIANS(Profile!Y62))*AA34</f>
        <v>0</v>
      </c>
      <c s="605" r="AC34">
        <f>COS(RADIANS(Profile!Y62))*AA34</f>
        <v>0</v>
      </c>
      <c s="348" r="AD34">
        <f>IF((AJ$15=TRUE),X34,NA())</f>
        <v>0</v>
      </c>
      <c s="348" r="AE34">
        <f>IF((AJ$15=TRUE),Y34,NA())</f>
        <v>0</v>
      </c>
      <c t="str" s="348" r="AF34">
        <f>IF(Profile!L62,Y34,NA())</f>
        <v>#N/A:explicit</v>
      </c>
      <c s="348" r="AG34">
        <f>Profile!T62*E$40</f>
        <v>0</v>
      </c>
      <c t="str" s="348" r="AH34">
        <f>IF((AK$15=TRUE),IF(ISNUMBER(Profile!Y62),IF(ISNUMBER(Profile!Y63),(((X34+((F$63/2)*COS(RADIANS(Profile!Y63))))+(X34+((F$63/2)*COS(RADIANS(Profile!Y62)))))/2),(X34+((F$63/2)*COS(RADIANS(Profile!Y62))))),AH33),0)</f>
        <v>#VALUE!:notNumber:For input string: "---"</v>
      </c>
      <c t="str" s="348" r="AI34">
        <f>IF((AK$15=TRUE),IF(ISNUMBER(Profile!Y62),IF(ISNUMBER(Profile!Y63),(((Y34-((F$63/2)*SIN(RADIANS(Profile!Y63))))+(Y34-((F$63/2)*SIN(RADIANS(Profile!Y62)))))/2),(Y34-((F$63/2)*SIN(RADIANS(Profile!Y62))))),AI33),0)</f>
        <v>#VALUE!:notNumber:For input string: "---"</v>
      </c>
      <c t="str" s="348" r="AJ34">
        <f>IF((AK$15=TRUE),IF(ISNUMBER(Profile!Y62),IF(ISNUMBER(Profile!Y63),(((X34-((F$63/2)*COS(RADIANS(Profile!Y63))))+(X34-((F$63/2)*COS(RADIANS(Profile!Y62)))))/2),(X34-((F$63/2)*COS(RADIANS(Profile!Y62))))),AJ33),0)</f>
        <v>#VALUE!:notNumber:For input string: "---"</v>
      </c>
      <c t="str" s="799" r="AK34">
        <f>IF((AK$15=TRUE),IF(ISNUMBER(Profile!Y62),IF(ISNUMBER(Profile!Y63),(((Y34+((F$63/2)*SIN(RADIANS(Profile!Y63))))+(Y34+((F$63/2)*SIN(RADIANS(Profile!Y62)))))/2),(Y34+((F$63/2)*SIN(RADIANS(Profile!Y62))))),AK33),0)</f>
        <v>#VALUE!:notNumber:For input string: "---"</v>
      </c>
      <c s="51" r="AL34"/>
      <c s="125" r="AM34"/>
    </row>
    <row r="35">
      <c s="822" r="A35"/>
      <c s="406" r="B35"/>
      <c s="756" r="C35"/>
      <c t="str" s="7" r="D35">
        <f>"stream length "&amp;IF((AE6=2),"(m)","(ft)")</f>
        <v>stream length (ft)</v>
      </c>
      <c s="458" r="E35"/>
      <c t="str" s="322" r="F35">
        <f>IF((COUNT(Profile!Y44:Y215)&gt;0),SUM(AA17:AA92),"")</f>
        <v/>
      </c>
      <c s="756" r="G35"/>
      <c s="756" r="H35"/>
      <c s="418" r="I35"/>
      <c s="702" r="J35"/>
      <c s="908" r="K35"/>
      <c s="551" r="L35"/>
      <c s="551" r="M35"/>
      <c s="551" r="N35"/>
      <c s="551" r="O35"/>
      <c s="551" r="P35"/>
      <c s="551" r="Q35"/>
      <c s="551" r="R35"/>
      <c s="671" r="S35"/>
      <c s="702" r="T35"/>
      <c t="str" s="309" r="U35">
        <f>IF((Profile!L63&gt;0),Profile!L63,"")</f>
        <v/>
      </c>
      <c t="str" s="861" r="V35">
        <f>IF((Profile!O63&gt;0),Profile!O63,"---")</f>
        <v>---</v>
      </c>
      <c t="str" s="861" r="W35">
        <f>IF((Profile!Y63=0),IF((Profile!Y62=0),"---",IF((Profile!Y64=0),"---",Profile!Y63)),Profile!Y63)</f>
        <v>---</v>
      </c>
      <c s="239" r="X35">
        <f>AB35+X34</f>
        <v>0</v>
      </c>
      <c s="796" r="Y35">
        <f>AC35+Y34</f>
        <v>0</v>
      </c>
      <c s="702" r="Z35"/>
      <c s="289" r="AA35">
        <f>IF(Profile!Y63,IF((Profile!O63=0),0,(Profile!O63-MAX(Profile!O$44:O62))),0)</f>
        <v>0</v>
      </c>
      <c s="605" r="AB35">
        <f>SIN(RADIANS(Profile!Y63))*AA35</f>
        <v>0</v>
      </c>
      <c s="605" r="AC35">
        <f>COS(RADIANS(Profile!Y63))*AA35</f>
        <v>0</v>
      </c>
      <c s="348" r="AD35">
        <f>IF((AJ$15=TRUE),X35,NA())</f>
        <v>0</v>
      </c>
      <c s="348" r="AE35">
        <f>IF((AJ$15=TRUE),Y35,NA())</f>
        <v>0</v>
      </c>
      <c t="str" s="348" r="AF35">
        <f>IF(Profile!L63,Y35,NA())</f>
        <v>#N/A:explicit</v>
      </c>
      <c s="348" r="AG35">
        <f>Profile!T63*E$40</f>
        <v>0</v>
      </c>
      <c t="str" s="348" r="AH35">
        <f>IF((AK$15=TRUE),IF(ISNUMBER(Profile!Y63),IF(ISNUMBER(Profile!Y64),(((X35+((F$63/2)*COS(RADIANS(Profile!Y64))))+(X35+((F$63/2)*COS(RADIANS(Profile!Y63)))))/2),(X35+((F$63/2)*COS(RADIANS(Profile!Y63))))),AH34),0)</f>
        <v>#VALUE!:notNumber:For input string: "---"</v>
      </c>
      <c t="str" s="348" r="AI35">
        <f>IF((AK$15=TRUE),IF(ISNUMBER(Profile!Y63),IF(ISNUMBER(Profile!Y64),(((Y35-((F$63/2)*SIN(RADIANS(Profile!Y64))))+(Y35-((F$63/2)*SIN(RADIANS(Profile!Y63)))))/2),(Y35-((F$63/2)*SIN(RADIANS(Profile!Y63))))),AI34),0)</f>
        <v>#VALUE!:notNumber:For input string: "---"</v>
      </c>
      <c t="str" s="348" r="AJ35">
        <f>IF((AK$15=TRUE),IF(ISNUMBER(Profile!Y63),IF(ISNUMBER(Profile!Y64),(((X35-((F$63/2)*COS(RADIANS(Profile!Y64))))+(X35-((F$63/2)*COS(RADIANS(Profile!Y63)))))/2),(X35-((F$63/2)*COS(RADIANS(Profile!Y63))))),AJ34),0)</f>
        <v>#VALUE!:notNumber:For input string: "---"</v>
      </c>
      <c t="str" s="799" r="AK35">
        <f>IF((AK$15=TRUE),IF(ISNUMBER(Profile!Y63),IF(ISNUMBER(Profile!Y64),(((Y35+((F$63/2)*SIN(RADIANS(Profile!Y64))))+(Y35+((F$63/2)*SIN(RADIANS(Profile!Y63)))))/2),(Y35+((F$63/2)*SIN(RADIANS(Profile!Y63))))),AK34),0)</f>
        <v>#VALUE!:notNumber:For input string: "---"</v>
      </c>
      <c s="51" r="AL35"/>
      <c s="125" r="AM35"/>
    </row>
    <row r="36">
      <c s="822" r="A36"/>
      <c s="406" r="B36"/>
      <c s="886" r="C36"/>
      <c s="886" r="D36"/>
      <c s="127" r="E36"/>
      <c s="886" r="F36"/>
      <c s="886" r="G36"/>
      <c s="886" r="H36"/>
      <c s="418" r="I36"/>
      <c s="702" r="J36"/>
      <c s="908" r="K36"/>
      <c s="551" r="L36"/>
      <c s="551" r="M36"/>
      <c s="551" r="N36"/>
      <c s="551" r="O36"/>
      <c s="551" r="P36"/>
      <c s="551" r="Q36"/>
      <c s="551" r="R36"/>
      <c s="671" r="S36"/>
      <c s="702" r="T36"/>
      <c t="str" s="309" r="U36">
        <f>IF((Profile!L64&gt;0),Profile!L64,"")</f>
        <v/>
      </c>
      <c t="str" s="861" r="V36">
        <f>IF((Profile!O64&gt;0),Profile!O64,"---")</f>
        <v>---</v>
      </c>
      <c t="str" s="861" r="W36">
        <f>IF((Profile!Y64=0),IF((Profile!Y63=0),"---",IF((Profile!Y65=0),"---",Profile!Y64)),Profile!Y64)</f>
        <v>---</v>
      </c>
      <c s="239" r="X36">
        <f>AB36+X35</f>
        <v>0</v>
      </c>
      <c s="796" r="Y36">
        <f>AC36+Y35</f>
        <v>0</v>
      </c>
      <c s="702" r="Z36"/>
      <c s="289" r="AA36">
        <f>IF(Profile!Y64,IF((Profile!O64=0),0,(Profile!O64-MAX(Profile!O$44:O63))),0)</f>
        <v>0</v>
      </c>
      <c s="605" r="AB36">
        <f>SIN(RADIANS(Profile!Y64))*AA36</f>
        <v>0</v>
      </c>
      <c s="605" r="AC36">
        <f>COS(RADIANS(Profile!Y64))*AA36</f>
        <v>0</v>
      </c>
      <c s="348" r="AD36">
        <f>IF((AJ$15=TRUE),X36,NA())</f>
        <v>0</v>
      </c>
      <c s="348" r="AE36">
        <f>IF((AJ$15=TRUE),Y36,NA())</f>
        <v>0</v>
      </c>
      <c t="str" s="348" r="AF36">
        <f>IF(Profile!L64,Y36,NA())</f>
        <v>#N/A:explicit</v>
      </c>
      <c s="348" r="AG36">
        <f>Profile!T64*E$40</f>
        <v>0</v>
      </c>
      <c t="str" s="348" r="AH36">
        <f>IF((AK$15=TRUE),IF(ISNUMBER(Profile!Y64),IF(ISNUMBER(Profile!Y65),(((X36+((F$63/2)*COS(RADIANS(Profile!Y65))))+(X36+((F$63/2)*COS(RADIANS(Profile!Y64)))))/2),(X36+((F$63/2)*COS(RADIANS(Profile!Y64))))),AH35),0)</f>
        <v>#VALUE!:notNumber:For input string: "---"</v>
      </c>
      <c t="str" s="348" r="AI36">
        <f>IF((AK$15=TRUE),IF(ISNUMBER(Profile!Y64),IF(ISNUMBER(Profile!Y65),(((Y36-((F$63/2)*SIN(RADIANS(Profile!Y65))))+(Y36-((F$63/2)*SIN(RADIANS(Profile!Y64)))))/2),(Y36-((F$63/2)*SIN(RADIANS(Profile!Y64))))),AI35),0)</f>
        <v>#VALUE!:notNumber:For input string: "---"</v>
      </c>
      <c t="str" s="348" r="AJ36">
        <f>IF((AK$15=TRUE),IF(ISNUMBER(Profile!Y64),IF(ISNUMBER(Profile!Y65),(((X36-((F$63/2)*COS(RADIANS(Profile!Y65))))+(X36-((F$63/2)*COS(RADIANS(Profile!Y64)))))/2),(X36-((F$63/2)*COS(RADIANS(Profile!Y64))))),AJ35),0)</f>
        <v>#VALUE!:notNumber:For input string: "---"</v>
      </c>
      <c t="str" s="799" r="AK36">
        <f>IF((AK$15=TRUE),IF(ISNUMBER(Profile!Y64),IF(ISNUMBER(Profile!Y65),(((Y36+((F$63/2)*SIN(RADIANS(Profile!Y65))))+(Y36+((F$63/2)*SIN(RADIANS(Profile!Y64)))))/2),(Y36+((F$63/2)*SIN(RADIANS(Profile!Y64))))),AK35),0)</f>
        <v>#VALUE!:notNumber:For input string: "---"</v>
      </c>
      <c s="51" r="AL36"/>
      <c s="125" r="AM36"/>
    </row>
    <row r="37">
      <c s="822" r="A37"/>
      <c s="406" r="B37"/>
      <c s="886" r="C37"/>
      <c t="str" s="836" r="D37">
        <f>"valley length "&amp;IF((AE6=2),"(m)","(ft)")</f>
        <v>valley length (ft)</v>
      </c>
      <c s="458" r="E37"/>
      <c t="str" s="185" r="F37">
        <f>IF((COUNT(Profile!Y44:Y215)&gt;0),(((AB15^2)+(AC15^2))^0.5),"")</f>
        <v/>
      </c>
      <c s="886" r="G37"/>
      <c s="886" r="H37"/>
      <c s="418" r="I37"/>
      <c s="702" r="J37"/>
      <c s="908" r="K37"/>
      <c s="414" r="L37"/>
      <c t="str" s="414" r="M37">
        <f>"Dimensions "&amp;IF((AE6=2),"(m)","(ft)")</f>
        <v>Dimensions (ft)</v>
      </c>
      <c s="414" r="N37"/>
      <c s="551" r="O37"/>
      <c s="414" r="P37"/>
      <c t="s" s="414" r="Q37">
        <v>428</v>
      </c>
      <c s="414" r="R37"/>
      <c s="671" r="S37"/>
      <c s="702" r="T37"/>
      <c t="str" s="309" r="U37">
        <f>IF((Profile!L65&gt;0),Profile!L65,"")</f>
        <v/>
      </c>
      <c t="str" s="861" r="V37">
        <f>IF((Profile!O65&gt;0),Profile!O65,"---")</f>
        <v>---</v>
      </c>
      <c t="str" s="861" r="W37">
        <f>IF((Profile!Y65=0),IF((Profile!Y64=0),"---",IF((Profile!Y66=0),"---",Profile!Y65)),Profile!Y65)</f>
        <v>---</v>
      </c>
      <c s="239" r="X37">
        <f>AB37+X36</f>
        <v>0</v>
      </c>
      <c s="796" r="Y37">
        <f>AC37+Y36</f>
        <v>0</v>
      </c>
      <c s="702" r="Z37"/>
      <c s="289" r="AA37">
        <f>IF(Profile!Y65,IF((Profile!O65=0),0,(Profile!O65-MAX(Profile!O$44:O64))),0)</f>
        <v>0</v>
      </c>
      <c s="605" r="AB37">
        <f>SIN(RADIANS(Profile!Y65))*AA37</f>
        <v>0</v>
      </c>
      <c s="605" r="AC37">
        <f>COS(RADIANS(Profile!Y65))*AA37</f>
        <v>0</v>
      </c>
      <c s="348" r="AD37">
        <f>IF((AJ$15=TRUE),X37,NA())</f>
        <v>0</v>
      </c>
      <c s="348" r="AE37">
        <f>IF((AJ$15=TRUE),Y37,NA())</f>
        <v>0</v>
      </c>
      <c t="str" s="348" r="AF37">
        <f>IF(Profile!L65,Y37,NA())</f>
        <v>#N/A:explicit</v>
      </c>
      <c s="348" r="AG37">
        <f>Profile!T65*E$40</f>
        <v>0</v>
      </c>
      <c t="str" s="348" r="AH37">
        <f>IF((AK$15=TRUE),IF(ISNUMBER(Profile!Y65),IF(ISNUMBER(Profile!Y66),(((X37+((F$63/2)*COS(RADIANS(Profile!Y66))))+(X37+((F$63/2)*COS(RADIANS(Profile!Y65)))))/2),(X37+((F$63/2)*COS(RADIANS(Profile!Y65))))),AH36),0)</f>
        <v>#VALUE!:notNumber:For input string: "---"</v>
      </c>
      <c t="str" s="348" r="AI37">
        <f>IF((AK$15=TRUE),IF(ISNUMBER(Profile!Y65),IF(ISNUMBER(Profile!Y66),(((Y37-((F$63/2)*SIN(RADIANS(Profile!Y66))))+(Y37-((F$63/2)*SIN(RADIANS(Profile!Y65)))))/2),(Y37-((F$63/2)*SIN(RADIANS(Profile!Y65))))),AI36),0)</f>
        <v>#VALUE!:notNumber:For input string: "---"</v>
      </c>
      <c t="str" s="348" r="AJ37">
        <f>IF((AK$15=TRUE),IF(ISNUMBER(Profile!Y65),IF(ISNUMBER(Profile!Y66),(((X37-((F$63/2)*COS(RADIANS(Profile!Y66))))+(X37-((F$63/2)*COS(RADIANS(Profile!Y65)))))/2),(X37-((F$63/2)*COS(RADIANS(Profile!Y65))))),AJ36),0)</f>
        <v>#VALUE!:notNumber:For input string: "---"</v>
      </c>
      <c t="str" s="799" r="AK37">
        <f>IF((AK$15=TRUE),IF(ISNUMBER(Profile!Y65),IF(ISNUMBER(Profile!Y66),(((Y37+((F$63/2)*SIN(RADIANS(Profile!Y66))))+(Y37+((F$63/2)*SIN(RADIANS(Profile!Y65)))))/2),(Y37+((F$63/2)*SIN(RADIANS(Profile!Y65))))),AK36),0)</f>
        <v>#VALUE!:notNumber:For input string: "---"</v>
      </c>
      <c s="51" r="AL37"/>
      <c s="125" r="AM37"/>
    </row>
    <row r="38">
      <c s="822" r="A38"/>
      <c s="406" r="B38"/>
      <c s="886" r="C38"/>
      <c s="886" r="D38"/>
      <c s="756" r="E38"/>
      <c s="886" r="F38"/>
      <c s="886" r="G38"/>
      <c s="886" r="H38"/>
      <c s="418" r="I38"/>
      <c s="702" r="J38"/>
      <c s="908" r="K38"/>
      <c s="640" r="L38"/>
      <c t="s" s="863" r="M38">
        <v>429</v>
      </c>
      <c t="str" s="245" r="N38">
        <f>F63</f>
        <v>---</v>
      </c>
      <c s="551" r="O38"/>
      <c s="640" r="P38"/>
      <c t="s" s="863" r="Q38">
        <v>430</v>
      </c>
      <c t="str" s="245" r="R38">
        <f>F71</f>
        <v>---</v>
      </c>
      <c s="671" r="S38"/>
      <c s="702" r="T38"/>
      <c t="str" s="309" r="U38">
        <f>IF((Profile!L66&gt;0),Profile!L66,"")</f>
        <v/>
      </c>
      <c t="str" s="861" r="V38">
        <f>IF((Profile!O66&gt;0),Profile!O66,"---")</f>
        <v>---</v>
      </c>
      <c t="str" s="861" r="W38">
        <f>IF((Profile!Y66=0),IF((Profile!Y65=0),"---",IF((Profile!Y67=0),"---",Profile!Y66)),Profile!Y66)</f>
        <v>---</v>
      </c>
      <c s="239" r="X38">
        <f>AB38+X37</f>
        <v>0</v>
      </c>
      <c s="796" r="Y38">
        <f>AC38+Y37</f>
        <v>0</v>
      </c>
      <c s="702" r="Z38"/>
      <c s="289" r="AA38">
        <f>IF(Profile!Y66,IF((Profile!O66=0),0,(Profile!O66-MAX(Profile!O$44:O65))),0)</f>
        <v>0</v>
      </c>
      <c s="605" r="AB38">
        <f>SIN(RADIANS(Profile!Y66))*AA38</f>
        <v>0</v>
      </c>
      <c s="605" r="AC38">
        <f>COS(RADIANS(Profile!Y66))*AA38</f>
        <v>0</v>
      </c>
      <c s="348" r="AD38">
        <f>IF((AJ$15=TRUE),X38,NA())</f>
        <v>0</v>
      </c>
      <c s="348" r="AE38">
        <f>IF((AJ$15=TRUE),Y38,NA())</f>
        <v>0</v>
      </c>
      <c t="str" s="348" r="AF38">
        <f>IF(Profile!L66,Y38,NA())</f>
        <v>#N/A:explicit</v>
      </c>
      <c s="348" r="AG38">
        <f>Profile!T66*E$40</f>
        <v>0</v>
      </c>
      <c t="str" s="348" r="AH38">
        <f>IF((AK$15=TRUE),IF(ISNUMBER(Profile!Y66),IF(ISNUMBER(Profile!Y67),(((X38+((F$63/2)*COS(RADIANS(Profile!Y67))))+(X38+((F$63/2)*COS(RADIANS(Profile!Y66)))))/2),(X38+((F$63/2)*COS(RADIANS(Profile!Y66))))),AH37),0)</f>
        <v>#VALUE!:notNumber:For input string: "---"</v>
      </c>
      <c t="str" s="348" r="AI38">
        <f>IF((AK$15=TRUE),IF(ISNUMBER(Profile!Y66),IF(ISNUMBER(Profile!Y67),(((Y38-((F$63/2)*SIN(RADIANS(Profile!Y67))))+(Y38-((F$63/2)*SIN(RADIANS(Profile!Y66)))))/2),(Y38-((F$63/2)*SIN(RADIANS(Profile!Y66))))),AI37),0)</f>
        <v>#VALUE!:notNumber:For input string: "---"</v>
      </c>
      <c t="str" s="348" r="AJ38">
        <f>IF((AK$15=TRUE),IF(ISNUMBER(Profile!Y66),IF(ISNUMBER(Profile!Y67),(((X38-((F$63/2)*COS(RADIANS(Profile!Y67))))+(X38-((F$63/2)*COS(RADIANS(Profile!Y66)))))/2),(X38-((F$63/2)*COS(RADIANS(Profile!Y66))))),AJ37),0)</f>
        <v>#VALUE!:notNumber:For input string: "---"</v>
      </c>
      <c t="str" s="799" r="AK38">
        <f>IF((AK$15=TRUE),IF(ISNUMBER(Profile!Y66),IF(ISNUMBER(Profile!Y67),(((Y38+((F$63/2)*SIN(RADIANS(Profile!Y67))))+(Y38+((F$63/2)*SIN(RADIANS(Profile!Y66)))))/2),(Y38+((F$63/2)*SIN(RADIANS(Profile!Y66))))),AK37),0)</f>
        <v>#VALUE!:notNumber:For input string: "---"</v>
      </c>
      <c s="51" r="AL38"/>
      <c s="125" r="AM38"/>
    </row>
    <row r="39">
      <c s="822" r="A39"/>
      <c s="406" r="B39"/>
      <c t="s" s="729" r="C39">
        <v>431</v>
      </c>
      <c s="566" r="D39"/>
      <c s="566" r="E39"/>
      <c s="529" r="F39"/>
      <c s="529" r="G39"/>
      <c s="269" r="H39"/>
      <c s="418" r="I39"/>
      <c s="702" r="J39"/>
      <c s="908" r="K39"/>
      <c s="551" r="L39"/>
      <c t="s" s="8" r="M39">
        <v>432</v>
      </c>
      <c t="str" s="551" r="N39">
        <f>F64&amp;IF(ISNUMBER(H64),((((" ("&amp;H64)&amp;" - ")&amp;I64)&amp;" )"),"")</f>
        <v>---</v>
      </c>
      <c s="551" r="O39"/>
      <c s="551" r="P39"/>
      <c t="s" s="8" r="Q39">
        <v>433</v>
      </c>
      <c t="str" s="551" r="R39">
        <f>F72&amp;IF(ISNUMBER(H72),((((" ("&amp;H72)&amp;" - ")&amp;I72)&amp;" )"),"")</f>
        <v>---</v>
      </c>
      <c s="671" r="S39"/>
      <c s="702" r="T39"/>
      <c t="str" s="309" r="U39">
        <f>IF((Profile!L67&gt;0),Profile!L67,"")</f>
        <v/>
      </c>
      <c t="str" s="861" r="V39">
        <f>IF((Profile!O67&gt;0),Profile!O67,"---")</f>
        <v>---</v>
      </c>
      <c t="str" s="861" r="W39">
        <f>IF((Profile!Y67=0),IF((Profile!Y66=0),"---",IF((Profile!Y68=0),"---",Profile!Y67)),Profile!Y67)</f>
        <v>---</v>
      </c>
      <c s="239" r="X39">
        <f>AB39+X38</f>
        <v>0</v>
      </c>
      <c s="796" r="Y39">
        <f>AC39+Y38</f>
        <v>0</v>
      </c>
      <c s="702" r="Z39"/>
      <c s="289" r="AA39">
        <f>IF(Profile!Y67,IF((Profile!O67=0),0,(Profile!O67-MAX(Profile!O$44:O66))),0)</f>
        <v>0</v>
      </c>
      <c s="605" r="AB39">
        <f>SIN(RADIANS(Profile!Y67))*AA39</f>
        <v>0</v>
      </c>
      <c s="605" r="AC39">
        <f>COS(RADIANS(Profile!Y67))*AA39</f>
        <v>0</v>
      </c>
      <c s="348" r="AD39">
        <f>IF((AJ$15=TRUE),X39,NA())</f>
        <v>0</v>
      </c>
      <c s="348" r="AE39">
        <f>IF((AJ$15=TRUE),Y39,NA())</f>
        <v>0</v>
      </c>
      <c t="str" s="348" r="AF39">
        <f>IF(Profile!L67,Y39,NA())</f>
        <v>#N/A:explicit</v>
      </c>
      <c s="348" r="AG39">
        <f>Profile!T67*E$40</f>
        <v>0</v>
      </c>
      <c t="str" s="348" r="AH39">
        <f>IF((AK$15=TRUE),IF(ISNUMBER(Profile!Y67),IF(ISNUMBER(Profile!Y68),(((X39+((F$63/2)*COS(RADIANS(Profile!Y68))))+(X39+((F$63/2)*COS(RADIANS(Profile!Y67)))))/2),(X39+((F$63/2)*COS(RADIANS(Profile!Y67))))),AH38),0)</f>
        <v>#VALUE!:notNumber:For input string: "---"</v>
      </c>
      <c t="str" s="348" r="AI39">
        <f>IF((AK$15=TRUE),IF(ISNUMBER(Profile!Y67),IF(ISNUMBER(Profile!Y68),(((Y39-((F$63/2)*SIN(RADIANS(Profile!Y68))))+(Y39-((F$63/2)*SIN(RADIANS(Profile!Y67)))))/2),(Y39-((F$63/2)*SIN(RADIANS(Profile!Y67))))),AI38),0)</f>
        <v>#VALUE!:notNumber:For input string: "---"</v>
      </c>
      <c t="str" s="348" r="AJ39">
        <f>IF((AK$15=TRUE),IF(ISNUMBER(Profile!Y67),IF(ISNUMBER(Profile!Y68),(((X39-((F$63/2)*COS(RADIANS(Profile!Y68))))+(X39-((F$63/2)*COS(RADIANS(Profile!Y67)))))/2),(X39-((F$63/2)*COS(RADIANS(Profile!Y67))))),AJ38),0)</f>
        <v>#VALUE!:notNumber:For input string: "---"</v>
      </c>
      <c t="str" s="799" r="AK39">
        <f>IF((AK$15=TRUE),IF(ISNUMBER(Profile!Y67),IF(ISNUMBER(Profile!Y68),(((Y39+((F$63/2)*SIN(RADIANS(Profile!Y68))))+(Y39+((F$63/2)*SIN(RADIANS(Profile!Y67)))))/2),(Y39+((F$63/2)*SIN(RADIANS(Profile!Y67))))),AK38),0)</f>
        <v>#VALUE!:notNumber:For input string: "---"</v>
      </c>
      <c s="51" r="AL39"/>
      <c s="125" r="AM39"/>
    </row>
    <row r="40">
      <c s="822" r="A40"/>
      <c s="406" r="B40"/>
      <c s="756" r="C40"/>
      <c t="s" s="342" r="D40">
        <v>434</v>
      </c>
      <c s="469" r="E40">
        <v>10</v>
      </c>
      <c s="322" r="F40"/>
      <c s="756" r="G40"/>
      <c s="756" r="H40"/>
      <c s="418" r="I40"/>
      <c s="702" r="J40"/>
      <c s="908" r="K40"/>
      <c s="551" r="L40"/>
      <c t="s" s="8" r="M40">
        <v>435</v>
      </c>
      <c t="str" s="551" r="N40">
        <f>F65&amp;IF(ISNUMBER(H65),((((" ("&amp;H65)&amp;" - ")&amp;I65)&amp;" )"),"")</f>
        <v>---</v>
      </c>
      <c s="551" r="O40"/>
      <c s="551" r="P40"/>
      <c t="s" s="8" r="Q40">
        <v>436</v>
      </c>
      <c t="str" s="551" r="R40">
        <f>F73&amp;IF(ISNUMBER(H73),((((" ("&amp;H73)&amp;" - ")&amp;I73)&amp;" )"),"")</f>
        <v>---</v>
      </c>
      <c s="671" r="S40"/>
      <c s="702" r="T40"/>
      <c t="str" s="309" r="U40">
        <f>IF((Profile!L68&gt;0),Profile!L68,"")</f>
        <v/>
      </c>
      <c t="str" s="861" r="V40">
        <f>IF((Profile!O68&gt;0),Profile!O68,"---")</f>
        <v>---</v>
      </c>
      <c t="str" s="861" r="W40">
        <f>IF((Profile!Y68=0),IF((Profile!Y67=0),"---",IF((Profile!Y69=0),"---",Profile!Y68)),Profile!Y68)</f>
        <v>---</v>
      </c>
      <c s="239" r="X40">
        <f>AB40+X39</f>
        <v>0</v>
      </c>
      <c s="796" r="Y40">
        <f>AC40+Y39</f>
        <v>0</v>
      </c>
      <c s="702" r="Z40"/>
      <c s="289" r="AA40">
        <f>IF(Profile!Y68,IF((Profile!O68=0),0,(Profile!O68-MAX(Profile!O$44:O67))),0)</f>
        <v>0</v>
      </c>
      <c s="605" r="AB40">
        <f>SIN(RADIANS(Profile!Y68))*AA40</f>
        <v>0</v>
      </c>
      <c s="605" r="AC40">
        <f>COS(RADIANS(Profile!Y68))*AA40</f>
        <v>0</v>
      </c>
      <c s="348" r="AD40">
        <f>IF((AJ$15=TRUE),X40,NA())</f>
        <v>0</v>
      </c>
      <c s="348" r="AE40">
        <f>IF((AJ$15=TRUE),Y40,NA())</f>
        <v>0</v>
      </c>
      <c t="str" s="348" r="AF40">
        <f>IF(Profile!L68,Y40,NA())</f>
        <v>#N/A:explicit</v>
      </c>
      <c s="348" r="AG40">
        <f>Profile!T68*E$40</f>
        <v>0</v>
      </c>
      <c t="str" s="348" r="AH40">
        <f>IF((AK$15=TRUE),IF(ISNUMBER(Profile!Y68),IF(ISNUMBER(Profile!Y69),(((X40+((F$63/2)*COS(RADIANS(Profile!Y69))))+(X40+((F$63/2)*COS(RADIANS(Profile!Y68)))))/2),(X40+((F$63/2)*COS(RADIANS(Profile!Y68))))),AH39),0)</f>
        <v>#VALUE!:notNumber:For input string: "---"</v>
      </c>
      <c t="str" s="348" r="AI40">
        <f>IF((AK$15=TRUE),IF(ISNUMBER(Profile!Y68),IF(ISNUMBER(Profile!Y69),(((Y40-((F$63/2)*SIN(RADIANS(Profile!Y69))))+(Y40-((F$63/2)*SIN(RADIANS(Profile!Y68)))))/2),(Y40-((F$63/2)*SIN(RADIANS(Profile!Y68))))),AI39),0)</f>
        <v>#VALUE!:notNumber:For input string: "---"</v>
      </c>
      <c t="str" s="348" r="AJ40">
        <f>IF((AK$15=TRUE),IF(ISNUMBER(Profile!Y68),IF(ISNUMBER(Profile!Y69),(((X40-((F$63/2)*COS(RADIANS(Profile!Y69))))+(X40-((F$63/2)*COS(RADIANS(Profile!Y68)))))/2),(X40-((F$63/2)*COS(RADIANS(Profile!Y68))))),AJ39),0)</f>
        <v>#VALUE!:notNumber:For input string: "---"</v>
      </c>
      <c t="str" s="799" r="AK40">
        <f>IF((AK$15=TRUE),IF(ISNUMBER(Profile!Y68),IF(ISNUMBER(Profile!Y69),(((Y40+((F$63/2)*SIN(RADIANS(Profile!Y69))))+(Y40+((F$63/2)*SIN(RADIANS(Profile!Y68)))))/2),(Y40+((F$63/2)*SIN(RADIANS(Profile!Y68))))),AK39),0)</f>
        <v>#VALUE!:notNumber:For input string: "---"</v>
      </c>
      <c s="51" r="AL40"/>
      <c s="125" r="AM40"/>
    </row>
    <row r="41">
      <c s="822" r="A41"/>
      <c s="406" r="B41"/>
      <c s="886" r="C41"/>
      <c s="886" r="D41"/>
      <c s="756" r="E41"/>
      <c s="886" r="F41"/>
      <c s="886" r="G41"/>
      <c s="886" r="H41"/>
      <c s="418" r="I41"/>
      <c s="702" r="J41"/>
      <c s="908" r="K41"/>
      <c s="551" r="L41"/>
      <c t="s" s="8" r="M41">
        <v>437</v>
      </c>
      <c t="str" s="551" r="N41">
        <f>F67&amp;IF(ISNUMBER(H67),((((" ("&amp;H67)&amp;" - ")&amp;I67)&amp;" )"),"")</f>
        <v>---</v>
      </c>
      <c s="551" r="O41"/>
      <c s="551" r="P41"/>
      <c t="s" s="8" r="Q41">
        <v>438</v>
      </c>
      <c t="str" s="551" r="R41">
        <f>F74&amp;IF(ISNUMBER(H74),((((" ("&amp;H74)&amp;" - ")&amp;I74)&amp;" )"),"")</f>
        <v>---</v>
      </c>
      <c s="671" r="S41"/>
      <c s="702" r="T41"/>
      <c t="str" s="309" r="U41">
        <f>IF((Profile!L69&gt;0),Profile!L69,"")</f>
        <v/>
      </c>
      <c t="str" s="861" r="V41">
        <f>IF((Profile!O69&gt;0),Profile!O69,"---")</f>
        <v>---</v>
      </c>
      <c t="str" s="861" r="W41">
        <f>IF((Profile!Y69=0),IF((Profile!Y68=0),"---",IF((Profile!Y70=0),"---",Profile!Y69)),Profile!Y69)</f>
        <v>---</v>
      </c>
      <c s="239" r="X41">
        <f>AB41+X40</f>
        <v>0</v>
      </c>
      <c s="796" r="Y41">
        <f>AC41+Y40</f>
        <v>0</v>
      </c>
      <c s="702" r="Z41"/>
      <c s="289" r="AA41">
        <f>IF(Profile!Y69,IF((Profile!O69=0),0,(Profile!O69-MAX(Profile!O$44:O68))),0)</f>
        <v>0</v>
      </c>
      <c s="605" r="AB41">
        <f>SIN(RADIANS(Profile!Y69))*AA41</f>
        <v>0</v>
      </c>
      <c s="605" r="AC41">
        <f>COS(RADIANS(Profile!Y69))*AA41</f>
        <v>0</v>
      </c>
      <c s="348" r="AD41">
        <f>IF((AJ$15=TRUE),X41,NA())</f>
        <v>0</v>
      </c>
      <c s="348" r="AE41">
        <f>IF((AJ$15=TRUE),Y41,NA())</f>
        <v>0</v>
      </c>
      <c t="str" s="348" r="AF41">
        <f>IF(Profile!L69,Y41,NA())</f>
        <v>#N/A:explicit</v>
      </c>
      <c s="348" r="AG41">
        <f>Profile!T69*E$40</f>
        <v>0</v>
      </c>
      <c t="str" s="348" r="AH41">
        <f>IF((AK$15=TRUE),IF(ISNUMBER(Profile!Y69),IF(ISNUMBER(Profile!Y70),(((X41+((F$63/2)*COS(RADIANS(Profile!Y70))))+(X41+((F$63/2)*COS(RADIANS(Profile!Y69)))))/2),(X41+((F$63/2)*COS(RADIANS(Profile!Y69))))),AH40),0)</f>
        <v>#VALUE!:notNumber:For input string: "---"</v>
      </c>
      <c t="str" s="348" r="AI41">
        <f>IF((AK$15=TRUE),IF(ISNUMBER(Profile!Y69),IF(ISNUMBER(Profile!Y70),(((Y41-((F$63/2)*SIN(RADIANS(Profile!Y70))))+(Y41-((F$63/2)*SIN(RADIANS(Profile!Y69)))))/2),(Y41-((F$63/2)*SIN(RADIANS(Profile!Y69))))),AI40),0)</f>
        <v>#VALUE!:notNumber:For input string: "---"</v>
      </c>
      <c t="str" s="348" r="AJ41">
        <f>IF((AK$15=TRUE),IF(ISNUMBER(Profile!Y69),IF(ISNUMBER(Profile!Y70),(((X41-((F$63/2)*COS(RADIANS(Profile!Y70))))+(X41-((F$63/2)*COS(RADIANS(Profile!Y69)))))/2),(X41-((F$63/2)*COS(RADIANS(Profile!Y69))))),AJ40),0)</f>
        <v>#VALUE!:notNumber:For input string: "---"</v>
      </c>
      <c t="str" s="799" r="AK41">
        <f>IF((AK$15=TRUE),IF(ISNUMBER(Profile!Y69),IF(ISNUMBER(Profile!Y70),(((Y41+((F$63/2)*SIN(RADIANS(Profile!Y70))))+(Y41+((F$63/2)*SIN(RADIANS(Profile!Y69)))))/2),(Y41+((F$63/2)*SIN(RADIANS(Profile!Y69))))),AK40),0)</f>
        <v>#VALUE!:notNumber:For input string: "---"</v>
      </c>
      <c s="51" r="AL41"/>
      <c s="125" r="AM41"/>
    </row>
    <row r="42">
      <c s="822" r="A42"/>
      <c s="406" r="B42"/>
      <c s="886" r="C42"/>
      <c t="s" s="482" r="D42">
        <v>439</v>
      </c>
      <c s="553" r="E42"/>
      <c s="886" r="F42"/>
      <c s="886" r="G42"/>
      <c s="482" r="H42"/>
      <c s="418" r="I42"/>
      <c s="702" r="J42"/>
      <c s="20" r="K42"/>
      <c s="414" r="L42"/>
      <c s="414" r="M42"/>
      <c s="414" r="N42"/>
      <c s="414" r="O42"/>
      <c s="414" r="P42"/>
      <c s="414" r="Q42"/>
      <c s="414" r="R42"/>
      <c s="397" r="S42"/>
      <c s="702" r="T42"/>
      <c t="str" s="309" r="U42">
        <f>IF((Profile!L70&gt;0),Profile!L70,"")</f>
        <v/>
      </c>
      <c t="str" s="861" r="V42">
        <f>IF((Profile!O70&gt;0),Profile!O70,"---")</f>
        <v>---</v>
      </c>
      <c t="str" s="861" r="W42">
        <f>IF((Profile!Y70=0),IF((Profile!Y69=0),"---",IF((Profile!Y71=0),"---",Profile!Y70)),Profile!Y70)</f>
        <v>---</v>
      </c>
      <c s="239" r="X42">
        <f>AB42+X41</f>
        <v>0</v>
      </c>
      <c s="796" r="Y42">
        <f>AC42+Y41</f>
        <v>0</v>
      </c>
      <c s="702" r="Z42"/>
      <c s="289" r="AA42">
        <f>IF(Profile!Y70,IF((Profile!O70=0),0,(Profile!O70-MAX(Profile!O$44:O69))),0)</f>
        <v>0</v>
      </c>
      <c s="605" r="AB42">
        <f>SIN(RADIANS(Profile!Y70))*AA42</f>
        <v>0</v>
      </c>
      <c s="605" r="AC42">
        <f>COS(RADIANS(Profile!Y70))*AA42</f>
        <v>0</v>
      </c>
      <c s="348" r="AD42">
        <f>IF((AJ$15=TRUE),X42,NA())</f>
        <v>0</v>
      </c>
      <c s="348" r="AE42">
        <f>IF((AJ$15=TRUE),Y42,NA())</f>
        <v>0</v>
      </c>
      <c t="str" s="348" r="AF42">
        <f>IF(Profile!L70,Y42,NA())</f>
        <v>#N/A:explicit</v>
      </c>
      <c s="348" r="AG42">
        <f>Profile!T70*E$40</f>
        <v>0</v>
      </c>
      <c t="str" s="348" r="AH42">
        <f>IF((AK$15=TRUE),IF(ISNUMBER(Profile!Y70),IF(ISNUMBER(Profile!Y71),(((X42+((F$63/2)*COS(RADIANS(Profile!Y71))))+(X42+((F$63/2)*COS(RADIANS(Profile!Y70)))))/2),(X42+((F$63/2)*COS(RADIANS(Profile!Y70))))),AH41),0)</f>
        <v>#VALUE!:notNumber:For input string: "---"</v>
      </c>
      <c t="str" s="348" r="AI42">
        <f>IF((AK$15=TRUE),IF(ISNUMBER(Profile!Y70),IF(ISNUMBER(Profile!Y71),(((Y42-((F$63/2)*SIN(RADIANS(Profile!Y71))))+(Y42-((F$63/2)*SIN(RADIANS(Profile!Y70)))))/2),(Y42-((F$63/2)*SIN(RADIANS(Profile!Y70))))),AI41),0)</f>
        <v>#VALUE!:notNumber:For input string: "---"</v>
      </c>
      <c t="str" s="348" r="AJ42">
        <f>IF((AK$15=TRUE),IF(ISNUMBER(Profile!Y70),IF(ISNUMBER(Profile!Y71),(((X42-((F$63/2)*COS(RADIANS(Profile!Y71))))+(X42-((F$63/2)*COS(RADIANS(Profile!Y70)))))/2),(X42-((F$63/2)*COS(RADIANS(Profile!Y70))))),AJ41),0)</f>
        <v>#VALUE!:notNumber:For input string: "---"</v>
      </c>
      <c t="str" s="799" r="AK42">
        <f>IF((AK$15=TRUE),IF(ISNUMBER(Profile!Y70),IF(ISNUMBER(Profile!Y71),(((Y42+((F$63/2)*SIN(RADIANS(Profile!Y71))))+(Y42+((F$63/2)*SIN(RADIANS(Profile!Y70)))))/2),(Y42+((F$63/2)*SIN(RADIANS(Profile!Y70))))),AK41),0)</f>
        <v>#VALUE!:notNumber:For input string: "---"</v>
      </c>
      <c s="51" r="AL42"/>
      <c s="125" r="AM42"/>
    </row>
    <row r="43">
      <c s="822" r="A43"/>
      <c s="406" r="B43"/>
      <c s="886" r="C43"/>
      <c s="886" r="D43"/>
      <c s="861" r="E43"/>
      <c s="886" r="F43"/>
      <c s="886" r="G43"/>
      <c s="886" r="H43"/>
      <c s="418" r="I43"/>
      <c s="51" r="J43"/>
      <c s="442" r="K43"/>
      <c s="442" r="L43"/>
      <c s="442" r="M43"/>
      <c s="442" r="N43"/>
      <c s="442" r="O43"/>
      <c s="442" r="P43"/>
      <c s="442" r="Q43"/>
      <c s="442" r="R43"/>
      <c s="442" r="S43"/>
      <c s="822" r="T43"/>
      <c t="str" s="309" r="U43">
        <f>IF((Profile!L71&gt;0),Profile!L71,"")</f>
        <v/>
      </c>
      <c t="str" s="861" r="V43">
        <f>IF((Profile!O71&gt;0),Profile!O71,"---")</f>
        <v>---</v>
      </c>
      <c t="str" s="861" r="W43">
        <f>IF((Profile!Y71=0),IF((Profile!Y70=0),"---",IF((Profile!Y72=0),"---",Profile!Y71)),Profile!Y71)</f>
        <v>---</v>
      </c>
      <c s="239" r="X43">
        <f>AB43+X42</f>
        <v>0</v>
      </c>
      <c s="796" r="Y43">
        <f>AC43+Y42</f>
        <v>0</v>
      </c>
      <c s="702" r="Z43"/>
      <c s="289" r="AA43">
        <f>IF(Profile!Y71,IF((Profile!O71=0),0,(Profile!O71-MAX(Profile!O$44:O70))),0)</f>
        <v>0</v>
      </c>
      <c s="605" r="AB43">
        <f>SIN(RADIANS(Profile!Y71))*AA43</f>
        <v>0</v>
      </c>
      <c s="605" r="AC43">
        <f>COS(RADIANS(Profile!Y71))*AA43</f>
        <v>0</v>
      </c>
      <c s="348" r="AD43">
        <f>IF((AJ$15=TRUE),X43,NA())</f>
        <v>0</v>
      </c>
      <c s="348" r="AE43">
        <f>IF((AJ$15=TRUE),Y43,NA())</f>
        <v>0</v>
      </c>
      <c t="str" s="348" r="AF43">
        <f>IF(Profile!L71,Y43,NA())</f>
        <v>#N/A:explicit</v>
      </c>
      <c s="348" r="AG43">
        <f>Profile!T71*E$40</f>
        <v>0</v>
      </c>
      <c t="str" s="348" r="AH43">
        <f>IF((AK$15=TRUE),IF(ISNUMBER(Profile!Y71),IF(ISNUMBER(Profile!Y72),(((X43+((F$63/2)*COS(RADIANS(Profile!Y72))))+(X43+((F$63/2)*COS(RADIANS(Profile!Y71)))))/2),(X43+((F$63/2)*COS(RADIANS(Profile!Y71))))),AH42),0)</f>
        <v>#VALUE!:notNumber:For input string: "---"</v>
      </c>
      <c t="str" s="348" r="AI43">
        <f>IF((AK$15=TRUE),IF(ISNUMBER(Profile!Y71),IF(ISNUMBER(Profile!Y72),(((Y43-((F$63/2)*SIN(RADIANS(Profile!Y72))))+(Y43-((F$63/2)*SIN(RADIANS(Profile!Y71)))))/2),(Y43-((F$63/2)*SIN(RADIANS(Profile!Y71))))),AI42),0)</f>
        <v>#VALUE!:notNumber:For input string: "---"</v>
      </c>
      <c t="str" s="348" r="AJ43">
        <f>IF((AK$15=TRUE),IF(ISNUMBER(Profile!Y71),IF(ISNUMBER(Profile!Y72),(((X43-((F$63/2)*COS(RADIANS(Profile!Y72))))+(X43-((F$63/2)*COS(RADIANS(Profile!Y71)))))/2),(X43-((F$63/2)*COS(RADIANS(Profile!Y71))))),AJ42),0)</f>
        <v>#VALUE!:notNumber:For input string: "---"</v>
      </c>
      <c t="str" s="799" r="AK43">
        <f>IF((AK$15=TRUE),IF(ISNUMBER(Profile!Y71),IF(ISNUMBER(Profile!Y72),(((Y43+((F$63/2)*SIN(RADIANS(Profile!Y72))))+(Y43+((F$63/2)*SIN(RADIANS(Profile!Y71)))))/2),(Y43+((F$63/2)*SIN(RADIANS(Profile!Y71))))),AK42),0)</f>
        <v>#VALUE!:notNumber:For input string: "---"</v>
      </c>
      <c s="51" r="AL43"/>
      <c s="125" r="AM43"/>
    </row>
    <row r="44">
      <c s="822" r="A44"/>
      <c s="406" r="B44"/>
      <c s="886" r="C44"/>
      <c t="s" s="482" r="D44">
        <v>440</v>
      </c>
      <c s="861" r="E44"/>
      <c s="886" r="F44"/>
      <c s="886" r="G44"/>
      <c s="886" r="H44"/>
      <c s="418" r="I44"/>
      <c s="51" r="J44"/>
      <c s="125" r="K44"/>
      <c s="125" r="L44"/>
      <c s="125" r="M44"/>
      <c s="125" r="N44"/>
      <c s="125" r="O44"/>
      <c s="125" r="P44"/>
      <c s="125" r="Q44"/>
      <c s="125" r="R44"/>
      <c s="125" r="S44"/>
      <c s="822" r="T44"/>
      <c t="str" s="309" r="U44">
        <f>IF((Profile!L72&gt;0),Profile!L72,"")</f>
        <v/>
      </c>
      <c t="str" s="861" r="V44">
        <f>IF((Profile!O72&gt;0),Profile!O72,"---")</f>
        <v>---</v>
      </c>
      <c t="str" s="861" r="W44">
        <f>IF((Profile!Y72=0),IF((Profile!Y71=0),"---",IF((Profile!Y73=0),"---",Profile!Y72)),Profile!Y72)</f>
        <v>---</v>
      </c>
      <c s="239" r="X44">
        <f>AB44+X43</f>
        <v>0</v>
      </c>
      <c s="796" r="Y44">
        <f>AC44+Y43</f>
        <v>0</v>
      </c>
      <c s="702" r="Z44"/>
      <c s="289" r="AA44">
        <f>IF(Profile!Y72,IF((Profile!O72=0),0,(Profile!O72-MAX(Profile!O$44:O71))),0)</f>
        <v>0</v>
      </c>
      <c s="605" r="AB44">
        <f>SIN(RADIANS(Profile!Y72))*AA44</f>
        <v>0</v>
      </c>
      <c s="605" r="AC44">
        <f>COS(RADIANS(Profile!Y72))*AA44</f>
        <v>0</v>
      </c>
      <c s="348" r="AD44">
        <f>IF((AJ$15=TRUE),X44,NA())</f>
        <v>0</v>
      </c>
      <c s="348" r="AE44">
        <f>IF((AJ$15=TRUE),Y44,NA())</f>
        <v>0</v>
      </c>
      <c t="str" s="348" r="AF44">
        <f>IF(Profile!L72,Y44,NA())</f>
        <v>#N/A:explicit</v>
      </c>
      <c s="348" r="AG44">
        <f>Profile!T72*E$40</f>
        <v>0</v>
      </c>
      <c t="str" s="348" r="AH44">
        <f>IF((AK$15=TRUE),IF(ISNUMBER(Profile!Y72),IF(ISNUMBER(Profile!Y73),(((X44+((F$63/2)*COS(RADIANS(Profile!Y73))))+(X44+((F$63/2)*COS(RADIANS(Profile!Y72)))))/2),(X44+((F$63/2)*COS(RADIANS(Profile!Y72))))),AH43),0)</f>
        <v>#VALUE!:notNumber:For input string: "---"</v>
      </c>
      <c t="str" s="348" r="AI44">
        <f>IF((AK$15=TRUE),IF(ISNUMBER(Profile!Y72),IF(ISNUMBER(Profile!Y73),(((Y44-((F$63/2)*SIN(RADIANS(Profile!Y73))))+(Y44-((F$63/2)*SIN(RADIANS(Profile!Y72)))))/2),(Y44-((F$63/2)*SIN(RADIANS(Profile!Y72))))),AI43),0)</f>
        <v>#VALUE!:notNumber:For input string: "---"</v>
      </c>
      <c t="str" s="348" r="AJ44">
        <f>IF((AK$15=TRUE),IF(ISNUMBER(Profile!Y72),IF(ISNUMBER(Profile!Y73),(((X44-((F$63/2)*COS(RADIANS(Profile!Y73))))+(X44-((F$63/2)*COS(RADIANS(Profile!Y72)))))/2),(X44-((F$63/2)*COS(RADIANS(Profile!Y72))))),AJ43),0)</f>
        <v>#VALUE!:notNumber:For input string: "---"</v>
      </c>
      <c t="str" s="799" r="AK44">
        <f>IF((AK$15=TRUE),IF(ISNUMBER(Profile!Y72),IF(ISNUMBER(Profile!Y73),(((Y44+((F$63/2)*SIN(RADIANS(Profile!Y73))))+(Y44+((F$63/2)*SIN(RADIANS(Profile!Y72)))))/2),(Y44+((F$63/2)*SIN(RADIANS(Profile!Y72))))),AK43),0)</f>
        <v>#VALUE!:notNumber:For input string: "---"</v>
      </c>
      <c s="51" r="AL44"/>
      <c s="125" r="AM44"/>
    </row>
    <row r="45">
      <c s="822" r="A45"/>
      <c s="695" r="B45"/>
      <c s="566" r="C45"/>
      <c s="566" r="D45"/>
      <c s="566" r="E45"/>
      <c s="566" r="F45"/>
      <c s="566" r="G45"/>
      <c s="566" r="H45"/>
      <c s="704" r="I45"/>
      <c s="51" r="J45"/>
      <c s="125" r="K45"/>
      <c s="125" r="L45"/>
      <c s="125" r="M45"/>
      <c s="125" r="N45"/>
      <c s="125" r="O45"/>
      <c s="125" r="P45"/>
      <c s="125" r="Q45"/>
      <c s="125" r="R45"/>
      <c s="125" r="S45"/>
      <c s="822" r="T45"/>
      <c t="str" s="309" r="U45">
        <f>IF((Profile!L73&gt;0),Profile!L73,"")</f>
        <v/>
      </c>
      <c t="str" s="861" r="V45">
        <f>IF((Profile!O73&gt;0),Profile!O73,"---")</f>
        <v>---</v>
      </c>
      <c t="str" s="861" r="W45">
        <f>IF((Profile!Y73=0),IF((Profile!Y72=0),"---",IF((Profile!Y74=0),"---",Profile!Y73)),Profile!Y73)</f>
        <v>---</v>
      </c>
      <c s="239" r="X45">
        <f>AB45+X44</f>
        <v>0</v>
      </c>
      <c s="796" r="Y45">
        <f>AC45+Y44</f>
        <v>0</v>
      </c>
      <c s="702" r="Z45"/>
      <c s="289" r="AA45">
        <f>IF(Profile!Y73,IF((Profile!O73=0),0,(Profile!O73-MAX(Profile!O$44:O72))),0)</f>
        <v>0</v>
      </c>
      <c s="605" r="AB45">
        <f>SIN(RADIANS(Profile!Y73))*AA45</f>
        <v>0</v>
      </c>
      <c s="605" r="AC45">
        <f>COS(RADIANS(Profile!Y73))*AA45</f>
        <v>0</v>
      </c>
      <c s="348" r="AD45">
        <f>IF((AJ$15=TRUE),X45,NA())</f>
        <v>0</v>
      </c>
      <c s="348" r="AE45">
        <f>IF((AJ$15=TRUE),Y45,NA())</f>
        <v>0</v>
      </c>
      <c t="str" s="348" r="AF45">
        <f>IF(Profile!L73,Y45,NA())</f>
        <v>#N/A:explicit</v>
      </c>
      <c s="348" r="AG45">
        <f>Profile!T73*E$40</f>
        <v>0</v>
      </c>
      <c t="str" s="348" r="AH45">
        <f>IF((AK$15=TRUE),IF(ISNUMBER(Profile!Y73),IF(ISNUMBER(Profile!Y74),(((X45+((F$63/2)*COS(RADIANS(Profile!Y74))))+(X45+((F$63/2)*COS(RADIANS(Profile!Y73)))))/2),(X45+((F$63/2)*COS(RADIANS(Profile!Y73))))),AH44),0)</f>
        <v>#VALUE!:notNumber:For input string: "---"</v>
      </c>
      <c t="str" s="348" r="AI45">
        <f>IF((AK$15=TRUE),IF(ISNUMBER(Profile!Y73),IF(ISNUMBER(Profile!Y74),(((Y45-((F$63/2)*SIN(RADIANS(Profile!Y74))))+(Y45-((F$63/2)*SIN(RADIANS(Profile!Y73)))))/2),(Y45-((F$63/2)*SIN(RADIANS(Profile!Y73))))),AI44),0)</f>
        <v>#VALUE!:notNumber:For input string: "---"</v>
      </c>
      <c t="str" s="348" r="AJ45">
        <f>IF((AK$15=TRUE),IF(ISNUMBER(Profile!Y73),IF(ISNUMBER(Profile!Y74),(((X45-((F$63/2)*COS(RADIANS(Profile!Y74))))+(X45-((F$63/2)*COS(RADIANS(Profile!Y73)))))/2),(X45-((F$63/2)*COS(RADIANS(Profile!Y73))))),AJ44),0)</f>
        <v>#VALUE!:notNumber:For input string: "---"</v>
      </c>
      <c t="str" s="799" r="AK45">
        <f>IF((AK$15=TRUE),IF(ISNUMBER(Profile!Y73),IF(ISNUMBER(Profile!Y74),(((Y45+((F$63/2)*SIN(RADIANS(Profile!Y74))))+(Y45+((F$63/2)*SIN(RADIANS(Profile!Y73)))))/2),(Y45+((F$63/2)*SIN(RADIANS(Profile!Y73))))),AK44),0)</f>
        <v>#VALUE!:notNumber:For input string: "---"</v>
      </c>
      <c s="51" r="AL45"/>
      <c s="125" r="AM45"/>
    </row>
    <row customHeight="1" r="46" ht="13.5">
      <c s="125" r="A46"/>
      <c s="412" r="B46"/>
      <c s="412" r="C46"/>
      <c s="412" r="D46"/>
      <c s="412" r="E46"/>
      <c s="412" r="F46"/>
      <c s="412" r="G46"/>
      <c s="412" r="H46"/>
      <c s="412" r="I46"/>
      <c s="125" r="J46"/>
      <c s="125" r="K46"/>
      <c s="125" r="L46"/>
      <c s="125" r="M46"/>
      <c s="125" r="N46"/>
      <c s="125" r="O46"/>
      <c s="125" r="P46"/>
      <c s="125" r="Q46"/>
      <c s="125" r="R46"/>
      <c s="125" r="S46"/>
      <c s="822" r="T46"/>
      <c t="str" s="309" r="U46">
        <f>IF((Profile!L74&gt;0),Profile!L74,"")</f>
        <v/>
      </c>
      <c t="str" s="861" r="V46">
        <f>IF((Profile!O74&gt;0),Profile!O74,"---")</f>
        <v>---</v>
      </c>
      <c t="str" s="861" r="W46">
        <f>IF((Profile!Y74=0),IF((Profile!Y73=0),"---",IF((Profile!Y75=0),"---",Profile!Y74)),Profile!Y74)</f>
        <v>---</v>
      </c>
      <c s="239" r="X46">
        <f>AB46+X45</f>
        <v>0</v>
      </c>
      <c s="796" r="Y46">
        <f>AC46+Y45</f>
        <v>0</v>
      </c>
      <c s="702" r="Z46"/>
      <c s="289" r="AA46">
        <f>IF(Profile!Y74,IF((Profile!O74=0),0,(Profile!O74-MAX(Profile!O$44:O73))),0)</f>
        <v>0</v>
      </c>
      <c s="605" r="AB46">
        <f>SIN(RADIANS(Profile!Y74))*AA46</f>
        <v>0</v>
      </c>
      <c s="605" r="AC46">
        <f>COS(RADIANS(Profile!Y74))*AA46</f>
        <v>0</v>
      </c>
      <c s="348" r="AD46">
        <f>IF((AJ$15=TRUE),X46,NA())</f>
        <v>0</v>
      </c>
      <c s="348" r="AE46">
        <f>IF((AJ$15=TRUE),Y46,NA())</f>
        <v>0</v>
      </c>
      <c t="str" s="348" r="AF46">
        <f>IF(Profile!L74,Y46,NA())</f>
        <v>#N/A:explicit</v>
      </c>
      <c s="348" r="AG46">
        <f>Profile!T74*E$40</f>
        <v>0</v>
      </c>
      <c t="str" s="348" r="AH46">
        <f>IF((AK$15=TRUE),IF(ISNUMBER(Profile!Y74),IF(ISNUMBER(Profile!Y75),(((X46+((F$63/2)*COS(RADIANS(Profile!Y75))))+(X46+((F$63/2)*COS(RADIANS(Profile!Y74)))))/2),(X46+((F$63/2)*COS(RADIANS(Profile!Y74))))),AH45),0)</f>
        <v>#VALUE!:notNumber:For input string: "---"</v>
      </c>
      <c t="str" s="348" r="AI46">
        <f>IF((AK$15=TRUE),IF(ISNUMBER(Profile!Y74),IF(ISNUMBER(Profile!Y75),(((Y46-((F$63/2)*SIN(RADIANS(Profile!Y75))))+(Y46-((F$63/2)*SIN(RADIANS(Profile!Y74)))))/2),(Y46-((F$63/2)*SIN(RADIANS(Profile!Y74))))),AI45),0)</f>
        <v>#VALUE!:notNumber:For input string: "---"</v>
      </c>
      <c t="str" s="348" r="AJ46">
        <f>IF((AK$15=TRUE),IF(ISNUMBER(Profile!Y74),IF(ISNUMBER(Profile!Y75),(((X46-((F$63/2)*COS(RADIANS(Profile!Y75))))+(X46-((F$63/2)*COS(RADIANS(Profile!Y74)))))/2),(X46-((F$63/2)*COS(RADIANS(Profile!Y74))))),AJ45),0)</f>
        <v>#VALUE!:notNumber:For input string: "---"</v>
      </c>
      <c t="str" s="799" r="AK46">
        <f>IF((AK$15=TRUE),IF(ISNUMBER(Profile!Y74),IF(ISNUMBER(Profile!Y75),(((Y46+((F$63/2)*SIN(RADIANS(Profile!Y75))))+(Y46+((F$63/2)*SIN(RADIANS(Profile!Y74)))))/2),(Y46+((F$63/2)*SIN(RADIANS(Profile!Y74))))),AK45),0)</f>
        <v>#VALUE!:notNumber:For input string: "---"</v>
      </c>
      <c s="51" r="AL46"/>
      <c s="125" r="AM46"/>
    </row>
    <row customHeight="1" r="47" ht="14.25">
      <c s="822" r="A47"/>
      <c t="s" s="659" r="B47">
        <v>402</v>
      </c>
      <c s="507" r="C47"/>
      <c s="507" r="D47"/>
      <c s="507" r="E47"/>
      <c s="507" r="F47"/>
      <c s="507" r="G47"/>
      <c s="507" r="H47"/>
      <c s="825" r="I47"/>
      <c s="51" r="J47"/>
      <c s="125" r="K47"/>
      <c s="125" r="L47"/>
      <c s="125" r="M47"/>
      <c s="125" r="N47"/>
      <c s="125" r="O47"/>
      <c s="125" r="P47"/>
      <c s="125" r="Q47"/>
      <c s="125" r="R47"/>
      <c s="125" r="S47"/>
      <c s="822" r="T47"/>
      <c t="str" s="309" r="U47">
        <f>IF((Profile!L75&gt;0),Profile!L75,"")</f>
        <v/>
      </c>
      <c t="str" s="861" r="V47">
        <f>IF((Profile!O75&gt;0),Profile!O75,"---")</f>
        <v>---</v>
      </c>
      <c t="str" s="861" r="W47">
        <f>IF((Profile!Y75=0),IF((Profile!Y74=0),"---",IF((Profile!Y76=0),"---",Profile!Y75)),Profile!Y75)</f>
        <v>---</v>
      </c>
      <c s="239" r="X47">
        <f>AB47+X46</f>
        <v>0</v>
      </c>
      <c s="796" r="Y47">
        <f>AC47+Y46</f>
        <v>0</v>
      </c>
      <c s="702" r="Z47"/>
      <c s="289" r="AA47">
        <f>IF(Profile!Y75,IF((Profile!O75=0),0,(Profile!O75-MAX(Profile!O$44:O74))),0)</f>
        <v>0</v>
      </c>
      <c s="605" r="AB47">
        <f>SIN(RADIANS(Profile!Y75))*AA47</f>
        <v>0</v>
      </c>
      <c s="605" r="AC47">
        <f>COS(RADIANS(Profile!Y75))*AA47</f>
        <v>0</v>
      </c>
      <c s="348" r="AD47">
        <f>IF((AJ$15=TRUE),X47,NA())</f>
        <v>0</v>
      </c>
      <c s="348" r="AE47">
        <f>IF((AJ$15=TRUE),Y47,NA())</f>
        <v>0</v>
      </c>
      <c t="str" s="348" r="AF47">
        <f>IF(Profile!L75,Y47,NA())</f>
        <v>#N/A:explicit</v>
      </c>
      <c s="348" r="AG47">
        <f>Profile!T75*E$40</f>
        <v>0</v>
      </c>
      <c t="str" s="348" r="AH47">
        <f>IF((AK$15=TRUE),IF(ISNUMBER(Profile!Y75),IF(ISNUMBER(Profile!Y76),(((X47+((F$63/2)*COS(RADIANS(Profile!Y76))))+(X47+((F$63/2)*COS(RADIANS(Profile!Y75)))))/2),(X47+((F$63/2)*COS(RADIANS(Profile!Y75))))),AH46),0)</f>
        <v>#VALUE!:notNumber:For input string: "---"</v>
      </c>
      <c t="str" s="348" r="AI47">
        <f>IF((AK$15=TRUE),IF(ISNUMBER(Profile!Y75),IF(ISNUMBER(Profile!Y76),(((Y47-((F$63/2)*SIN(RADIANS(Profile!Y76))))+(Y47-((F$63/2)*SIN(RADIANS(Profile!Y75)))))/2),(Y47-((F$63/2)*SIN(RADIANS(Profile!Y75))))),AI46),0)</f>
        <v>#VALUE!:notNumber:For input string: "---"</v>
      </c>
      <c t="str" s="348" r="AJ47">
        <f>IF((AK$15=TRUE),IF(ISNUMBER(Profile!Y75),IF(ISNUMBER(Profile!Y76),(((X47-((F$63/2)*COS(RADIANS(Profile!Y76))))+(X47-((F$63/2)*COS(RADIANS(Profile!Y75)))))/2),(X47-((F$63/2)*COS(RADIANS(Profile!Y75))))),AJ46),0)</f>
        <v>#VALUE!:notNumber:For input string: "---"</v>
      </c>
      <c t="str" s="799" r="AK47">
        <f>IF((AK$15=TRUE),IF(ISNUMBER(Profile!Y75),IF(ISNUMBER(Profile!Y76),(((Y47+((F$63/2)*SIN(RADIANS(Profile!Y76))))+(Y47+((F$63/2)*SIN(RADIANS(Profile!Y75)))))/2),(Y47+((F$63/2)*SIN(RADIANS(Profile!Y75))))),AK46),0)</f>
        <v>#VALUE!:notNumber:For input string: "---"</v>
      </c>
      <c s="51" r="AL47"/>
      <c s="125" r="AM47"/>
    </row>
    <row r="48">
      <c s="822" r="A48"/>
      <c s="332" r="B48"/>
      <c t="s" s="737" r="C48">
        <v>13</v>
      </c>
      <c t="str" s="10" r="D48">
        <f>Summary!$N$6</f>
        <v>---</v>
      </c>
      <c s="664" r="E48"/>
      <c s="664" r="F48"/>
      <c s="664" r="G48"/>
      <c s="664" r="H48"/>
      <c s="726" r="I48"/>
      <c s="51" r="J48"/>
      <c s="125" r="K48"/>
      <c s="125" r="L48"/>
      <c s="125" r="M48"/>
      <c s="125" r="N48"/>
      <c s="125" r="O48"/>
      <c s="125" r="P48"/>
      <c s="125" r="Q48"/>
      <c s="125" r="R48"/>
      <c s="125" r="S48"/>
      <c s="822" r="T48"/>
      <c t="str" s="309" r="U48">
        <f>IF((Profile!L76&gt;0),Profile!L76,"")</f>
        <v/>
      </c>
      <c t="str" s="861" r="V48">
        <f>IF((Profile!O76&gt;0),Profile!O76,"---")</f>
        <v>---</v>
      </c>
      <c t="str" s="861" r="W48">
        <f>IF((Profile!Y76=0),IF((Profile!Y75=0),"---",IF((Profile!Y77=0),"---",Profile!Y76)),Profile!Y76)</f>
        <v>---</v>
      </c>
      <c s="239" r="X48">
        <f>AB48+X47</f>
        <v>0</v>
      </c>
      <c s="796" r="Y48">
        <f>AC48+Y47</f>
        <v>0</v>
      </c>
      <c s="702" r="Z48"/>
      <c s="289" r="AA48">
        <f>IF(Profile!Y76,IF((Profile!O76=0),0,(Profile!O76-MAX(Profile!O$44:O75))),0)</f>
        <v>0</v>
      </c>
      <c s="605" r="AB48">
        <f>SIN(RADIANS(Profile!Y76))*AA48</f>
        <v>0</v>
      </c>
      <c s="605" r="AC48">
        <f>COS(RADIANS(Profile!Y76))*AA48</f>
        <v>0</v>
      </c>
      <c s="348" r="AD48">
        <f>IF((AJ$15=TRUE),X48,NA())</f>
        <v>0</v>
      </c>
      <c s="348" r="AE48">
        <f>IF((AJ$15=TRUE),Y48,NA())</f>
        <v>0</v>
      </c>
      <c t="str" s="348" r="AF48">
        <f>IF(Profile!L76,Y48,NA())</f>
        <v>#N/A:explicit</v>
      </c>
      <c s="348" r="AG48">
        <f>Profile!T76*E$40</f>
        <v>0</v>
      </c>
      <c t="str" s="348" r="AH48">
        <f>IF((AK$15=TRUE),IF(ISNUMBER(Profile!Y76),IF(ISNUMBER(Profile!Y77),(((X48+((F$63/2)*COS(RADIANS(Profile!Y77))))+(X48+((F$63/2)*COS(RADIANS(Profile!Y76)))))/2),(X48+((F$63/2)*COS(RADIANS(Profile!Y76))))),AH47),0)</f>
        <v>#VALUE!:notNumber:For input string: "---"</v>
      </c>
      <c t="str" s="348" r="AI48">
        <f>IF((AK$15=TRUE),IF(ISNUMBER(Profile!Y76),IF(ISNUMBER(Profile!Y77),(((Y48-((F$63/2)*SIN(RADIANS(Profile!Y77))))+(Y48-((F$63/2)*SIN(RADIANS(Profile!Y76)))))/2),(Y48-((F$63/2)*SIN(RADIANS(Profile!Y76))))),AI47),0)</f>
        <v>#VALUE!:notNumber:For input string: "---"</v>
      </c>
      <c t="str" s="348" r="AJ48">
        <f>IF((AK$15=TRUE),IF(ISNUMBER(Profile!Y76),IF(ISNUMBER(Profile!Y77),(((X48-((F$63/2)*COS(RADIANS(Profile!Y77))))+(X48-((F$63/2)*COS(RADIANS(Profile!Y76)))))/2),(X48-((F$63/2)*COS(RADIANS(Profile!Y76))))),AJ47),0)</f>
        <v>#VALUE!:notNumber:For input string: "---"</v>
      </c>
      <c t="str" s="799" r="AK48">
        <f>IF((AK$15=TRUE),IF(ISNUMBER(Profile!Y76),IF(ISNUMBER(Profile!Y77),(((Y48+((F$63/2)*SIN(RADIANS(Profile!Y77))))+(Y48+((F$63/2)*SIN(RADIANS(Profile!Y76)))))/2),(Y48+((F$63/2)*SIN(RADIANS(Profile!Y76))))),AK47),0)</f>
        <v>#VALUE!:notNumber:For input string: "---"</v>
      </c>
      <c s="51" r="AL48"/>
      <c s="125" r="AM48"/>
    </row>
    <row r="49">
      <c s="822" r="A49"/>
      <c s="406" r="B49"/>
      <c t="s" s="836" r="C49">
        <v>15</v>
      </c>
      <c t="str" s="582" r="D49">
        <f>Summary!$N$7</f>
        <v>---</v>
      </c>
      <c s="551" r="E49"/>
      <c s="551" r="F49"/>
      <c s="551" r="G49"/>
      <c s="551" r="H49"/>
      <c s="671" r="I49"/>
      <c s="51" r="J49"/>
      <c s="125" r="K49"/>
      <c s="125" r="L49"/>
      <c s="125" r="M49"/>
      <c s="125" r="N49"/>
      <c s="125" r="O49"/>
      <c s="125" r="P49"/>
      <c s="125" r="Q49"/>
      <c s="125" r="R49"/>
      <c s="125" r="S49"/>
      <c s="822" r="T49"/>
      <c t="str" s="309" r="U49">
        <f>IF((Profile!L77&gt;0),Profile!L77,"")</f>
        <v/>
      </c>
      <c t="str" s="861" r="V49">
        <f>IF((Profile!O77&gt;0),Profile!O77,"---")</f>
        <v>---</v>
      </c>
      <c t="str" s="861" r="W49">
        <f>IF((Profile!Y77=0),IF((Profile!Y76=0),"---",IF((Profile!Y78=0),"---",Profile!Y77)),Profile!Y77)</f>
        <v>---</v>
      </c>
      <c s="239" r="X49">
        <f>AB49+X48</f>
        <v>0</v>
      </c>
      <c s="796" r="Y49">
        <f>AC49+Y48</f>
        <v>0</v>
      </c>
      <c s="702" r="Z49"/>
      <c s="289" r="AA49">
        <f>IF(Profile!Y77,IF((Profile!O77=0),0,(Profile!O77-MAX(Profile!O$44:O76))),0)</f>
        <v>0</v>
      </c>
      <c s="605" r="AB49">
        <f>SIN(RADIANS(Profile!Y77))*AA49</f>
        <v>0</v>
      </c>
      <c s="605" r="AC49">
        <f>COS(RADIANS(Profile!Y77))*AA49</f>
        <v>0</v>
      </c>
      <c s="348" r="AD49">
        <f>IF((AJ$15=TRUE),X49,NA())</f>
        <v>0</v>
      </c>
      <c s="348" r="AE49">
        <f>IF((AJ$15=TRUE),Y49,NA())</f>
        <v>0</v>
      </c>
      <c t="str" s="348" r="AF49">
        <f>IF(Profile!L77,Y49,NA())</f>
        <v>#N/A:explicit</v>
      </c>
      <c s="348" r="AG49">
        <f>Profile!T77*E$40</f>
        <v>0</v>
      </c>
      <c t="str" s="348" r="AH49">
        <f>IF((AK$15=TRUE),IF(ISNUMBER(Profile!Y77),IF(ISNUMBER(Profile!Y78),(((X49+((F$63/2)*COS(RADIANS(Profile!Y78))))+(X49+((F$63/2)*COS(RADIANS(Profile!Y77)))))/2),(X49+((F$63/2)*COS(RADIANS(Profile!Y77))))),AH48),0)</f>
        <v>#VALUE!:notNumber:For input string: "---"</v>
      </c>
      <c t="str" s="348" r="AI49">
        <f>IF((AK$15=TRUE),IF(ISNUMBER(Profile!Y77),IF(ISNUMBER(Profile!Y78),(((Y49-((F$63/2)*SIN(RADIANS(Profile!Y78))))+(Y49-((F$63/2)*SIN(RADIANS(Profile!Y77)))))/2),(Y49-((F$63/2)*SIN(RADIANS(Profile!Y77))))),AI48),0)</f>
        <v>#VALUE!:notNumber:For input string: "---"</v>
      </c>
      <c t="str" s="348" r="AJ49">
        <f>IF((AK$15=TRUE),IF(ISNUMBER(Profile!Y77),IF(ISNUMBER(Profile!Y78),(((X49-((F$63/2)*COS(RADIANS(Profile!Y78))))+(X49-((F$63/2)*COS(RADIANS(Profile!Y77)))))/2),(X49-((F$63/2)*COS(RADIANS(Profile!Y77))))),AJ48),0)</f>
        <v>#VALUE!:notNumber:For input string: "---"</v>
      </c>
      <c t="str" s="799" r="AK49">
        <f>IF((AK$15=TRUE),IF(ISNUMBER(Profile!Y77),IF(ISNUMBER(Profile!Y78),(((Y49+((F$63/2)*SIN(RADIANS(Profile!Y78))))+(Y49+((F$63/2)*SIN(RADIANS(Profile!Y77)))))/2),(Y49+((F$63/2)*SIN(RADIANS(Profile!Y77))))),AK48),0)</f>
        <v>#VALUE!:notNumber:For input string: "---"</v>
      </c>
      <c s="51" r="AL49"/>
      <c s="125" r="AM49"/>
    </row>
    <row r="50">
      <c s="822" r="A50"/>
      <c s="406" r="B50"/>
      <c t="s" s="836" r="C50">
        <v>18</v>
      </c>
      <c t="str" s="207" r="D50">
        <f>Summary!$N$8</f>
        <v>---</v>
      </c>
      <c s="304" r="E50"/>
      <c s="304" r="F50"/>
      <c s="304" r="G50"/>
      <c s="304" r="H50"/>
      <c s="12" r="I50"/>
      <c s="51" r="J50"/>
      <c s="125" r="K50"/>
      <c s="125" r="L50"/>
      <c s="125" r="M50"/>
      <c s="125" r="N50"/>
      <c s="125" r="O50"/>
      <c s="125" r="P50"/>
      <c s="125" r="Q50"/>
      <c s="125" r="R50"/>
      <c s="125" r="S50"/>
      <c s="822" r="T50"/>
      <c t="str" s="309" r="U50">
        <f>IF((Profile!L78&gt;0),Profile!L78,"")</f>
        <v/>
      </c>
      <c t="str" s="861" r="V50">
        <f>IF((Profile!O78&gt;0),Profile!O78,"---")</f>
        <v>---</v>
      </c>
      <c t="str" s="861" r="W50">
        <f>IF((Profile!Y78=0),IF((Profile!Y77=0),"---",IF((Profile!Y79=0),"---",Profile!Y78)),Profile!Y78)</f>
        <v>---</v>
      </c>
      <c s="239" r="X50">
        <f>AB50+X49</f>
        <v>0</v>
      </c>
      <c s="796" r="Y50">
        <f>AC50+Y49</f>
        <v>0</v>
      </c>
      <c s="702" r="Z50"/>
      <c s="289" r="AA50">
        <f>IF(Profile!Y78,IF((Profile!O78=0),0,(Profile!O78-MAX(Profile!O$44:O77))),0)</f>
        <v>0</v>
      </c>
      <c s="605" r="AB50">
        <f>SIN(RADIANS(Profile!Y78))*AA50</f>
        <v>0</v>
      </c>
      <c s="605" r="AC50">
        <f>COS(RADIANS(Profile!Y78))*AA50</f>
        <v>0</v>
      </c>
      <c s="348" r="AD50">
        <f>IF((AJ$15=TRUE),X50,NA())</f>
        <v>0</v>
      </c>
      <c s="348" r="AE50">
        <f>IF((AJ$15=TRUE),Y50,NA())</f>
        <v>0</v>
      </c>
      <c t="str" s="348" r="AF50">
        <f>IF(Profile!L78,Y50,NA())</f>
        <v>#N/A:explicit</v>
      </c>
      <c s="348" r="AG50">
        <f>Profile!T78*E$40</f>
        <v>0</v>
      </c>
      <c t="str" s="348" r="AH50">
        <f>IF((AK$15=TRUE),IF(ISNUMBER(Profile!Y78),IF(ISNUMBER(Profile!Y79),(((X50+((F$63/2)*COS(RADIANS(Profile!Y79))))+(X50+((F$63/2)*COS(RADIANS(Profile!Y78)))))/2),(X50+((F$63/2)*COS(RADIANS(Profile!Y78))))),AH49),0)</f>
        <v>#VALUE!:notNumber:For input string: "---"</v>
      </c>
      <c t="str" s="348" r="AI50">
        <f>IF((AK$15=TRUE),IF(ISNUMBER(Profile!Y78),IF(ISNUMBER(Profile!Y79),(((Y50-((F$63/2)*SIN(RADIANS(Profile!Y79))))+(Y50-((F$63/2)*SIN(RADIANS(Profile!Y78)))))/2),(Y50-((F$63/2)*SIN(RADIANS(Profile!Y78))))),AI49),0)</f>
        <v>#VALUE!:notNumber:For input string: "---"</v>
      </c>
      <c t="str" s="348" r="AJ50">
        <f>IF((AK$15=TRUE),IF(ISNUMBER(Profile!Y78),IF(ISNUMBER(Profile!Y79),(((X50-((F$63/2)*COS(RADIANS(Profile!Y79))))+(X50-((F$63/2)*COS(RADIANS(Profile!Y78)))))/2),(X50-((F$63/2)*COS(RADIANS(Profile!Y78))))),AJ49),0)</f>
        <v>#VALUE!:notNumber:For input string: "---"</v>
      </c>
      <c t="str" s="799" r="AK50">
        <f>IF((AK$15=TRUE),IF(ISNUMBER(Profile!Y78),IF(ISNUMBER(Profile!Y79),(((Y50+((F$63/2)*SIN(RADIANS(Profile!Y79))))+(Y50+((F$63/2)*SIN(RADIANS(Profile!Y78)))))/2),(Y50+((F$63/2)*SIN(RADIANS(Profile!Y78))))),AK49),0)</f>
        <v>#VALUE!:notNumber:For input string: "---"</v>
      </c>
      <c s="51" r="AL50"/>
      <c s="125" r="AM50"/>
    </row>
    <row r="51">
      <c s="822" r="A51"/>
      <c s="406" r="B51"/>
      <c s="482" r="C51"/>
      <c s="207" r="D51"/>
      <c s="304" r="E51"/>
      <c s="304" r="F51"/>
      <c s="304" r="G51"/>
      <c s="304" r="H51"/>
      <c s="12" r="I51"/>
      <c s="51" r="J51"/>
      <c s="125" r="K51"/>
      <c s="125" r="L51"/>
      <c s="125" r="M51"/>
      <c s="125" r="N51"/>
      <c s="125" r="O51"/>
      <c s="125" r="P51"/>
      <c s="125" r="Q51"/>
      <c s="125" r="R51"/>
      <c s="125" r="S51"/>
      <c s="822" r="T51"/>
      <c t="str" s="309" r="U51">
        <f>IF((Profile!L79&gt;0),Profile!L79,"")</f>
        <v/>
      </c>
      <c t="str" s="861" r="V51">
        <f>IF((Profile!O79&gt;0),Profile!O79,"---")</f>
        <v>---</v>
      </c>
      <c t="str" s="861" r="W51">
        <f>IF((Profile!Y79=0),IF((Profile!Y78=0),"---",IF((Profile!Y80=0),"---",Profile!Y79)),Profile!Y79)</f>
        <v>---</v>
      </c>
      <c s="239" r="X51">
        <f>AB51+X50</f>
        <v>0</v>
      </c>
      <c s="796" r="Y51">
        <f>AC51+Y50</f>
        <v>0</v>
      </c>
      <c s="702" r="Z51"/>
      <c s="289" r="AA51">
        <f>IF(Profile!Y79,IF((Profile!O79=0),0,(Profile!O79-MAX(Profile!O$44:O78))),0)</f>
        <v>0</v>
      </c>
      <c s="605" r="AB51">
        <f>SIN(RADIANS(Profile!Y79))*AA51</f>
        <v>0</v>
      </c>
      <c s="605" r="AC51">
        <f>COS(RADIANS(Profile!Y79))*AA51</f>
        <v>0</v>
      </c>
      <c s="348" r="AD51">
        <f>IF((AJ$15=TRUE),X51,NA())</f>
        <v>0</v>
      </c>
      <c s="348" r="AE51">
        <f>IF((AJ$15=TRUE),Y51,NA())</f>
        <v>0</v>
      </c>
      <c t="str" s="348" r="AF51">
        <f>IF(Profile!L79,Y51,NA())</f>
        <v>#N/A:explicit</v>
      </c>
      <c s="348" r="AG51">
        <f>Profile!T79*E$40</f>
        <v>0</v>
      </c>
      <c t="str" s="348" r="AH51">
        <f>IF((AK$15=TRUE),IF(ISNUMBER(Profile!Y79),IF(ISNUMBER(Profile!Y80),(((X51+((F$63/2)*COS(RADIANS(Profile!Y80))))+(X51+((F$63/2)*COS(RADIANS(Profile!Y79)))))/2),(X51+((F$63/2)*COS(RADIANS(Profile!Y79))))),AH50),0)</f>
        <v>#VALUE!:notNumber:For input string: "---"</v>
      </c>
      <c t="str" s="348" r="AI51">
        <f>IF((AK$15=TRUE),IF(ISNUMBER(Profile!Y79),IF(ISNUMBER(Profile!Y80),(((Y51-((F$63/2)*SIN(RADIANS(Profile!Y80))))+(Y51-((F$63/2)*SIN(RADIANS(Profile!Y79)))))/2),(Y51-((F$63/2)*SIN(RADIANS(Profile!Y79))))),AI50),0)</f>
        <v>#VALUE!:notNumber:For input string: "---"</v>
      </c>
      <c t="str" s="348" r="AJ51">
        <f>IF((AK$15=TRUE),IF(ISNUMBER(Profile!Y79),IF(ISNUMBER(Profile!Y80),(((X51-((F$63/2)*COS(RADIANS(Profile!Y80))))+(X51-((F$63/2)*COS(RADIANS(Profile!Y79)))))/2),(X51-((F$63/2)*COS(RADIANS(Profile!Y79))))),AJ50),0)</f>
        <v>#VALUE!:notNumber:For input string: "---"</v>
      </c>
      <c t="str" s="799" r="AK51">
        <f>IF((AK$15=TRUE),IF(ISNUMBER(Profile!Y79),IF(ISNUMBER(Profile!Y80),(((Y51+((F$63/2)*SIN(RADIANS(Profile!Y80))))+(Y51+((F$63/2)*SIN(RADIANS(Profile!Y79)))))/2),(Y51+((F$63/2)*SIN(RADIANS(Profile!Y79))))),AK50),0)</f>
        <v>#VALUE!:notNumber:For input string: "---"</v>
      </c>
      <c s="51" r="AL51"/>
      <c s="125" r="AM51"/>
    </row>
    <row r="52">
      <c s="822" r="A52"/>
      <c s="406" r="B52"/>
      <c s="482" r="C52"/>
      <c s="207" r="D52"/>
      <c s="304" r="E52"/>
      <c s="304" r="F52"/>
      <c s="304" r="G52"/>
      <c s="304" r="H52"/>
      <c s="12" r="I52"/>
      <c s="51" r="J52"/>
      <c s="125" r="K52"/>
      <c s="125" r="L52"/>
      <c s="125" r="M52"/>
      <c s="125" r="N52"/>
      <c s="125" r="O52"/>
      <c s="125" r="P52"/>
      <c s="125" r="Q52"/>
      <c s="125" r="R52"/>
      <c s="125" r="S52"/>
      <c s="822" r="T52"/>
      <c t="str" s="309" r="U52">
        <f>IF((Profile!L80&gt;0),Profile!L80,"")</f>
        <v/>
      </c>
      <c t="str" s="861" r="V52">
        <f>IF((Profile!O80&gt;0),Profile!O80,"---")</f>
        <v>---</v>
      </c>
      <c t="str" s="861" r="W52">
        <f>IF((Profile!Y80=0),IF((Profile!Y79=0),"---",IF((Profile!Y81=0),"---",Profile!Y80)),Profile!Y80)</f>
        <v>---</v>
      </c>
      <c s="239" r="X52">
        <f>AB52+X51</f>
        <v>0</v>
      </c>
      <c s="796" r="Y52">
        <f>AC52+Y51</f>
        <v>0</v>
      </c>
      <c s="702" r="Z52"/>
      <c s="289" r="AA52">
        <f>IF(Profile!Y80,IF((Profile!O80=0),0,(Profile!O80-MAX(Profile!O$44:O79))),0)</f>
        <v>0</v>
      </c>
      <c s="605" r="AB52">
        <f>SIN(RADIANS(Profile!Y80))*AA52</f>
        <v>0</v>
      </c>
      <c s="605" r="AC52">
        <f>COS(RADIANS(Profile!Y80))*AA52</f>
        <v>0</v>
      </c>
      <c s="348" r="AD52">
        <f>IF((AJ$15=TRUE),X52,NA())</f>
        <v>0</v>
      </c>
      <c s="348" r="AE52">
        <f>IF((AJ$15=TRUE),Y52,NA())</f>
        <v>0</v>
      </c>
      <c t="str" s="348" r="AF52">
        <f>IF(Profile!L80,Y52,NA())</f>
        <v>#N/A:explicit</v>
      </c>
      <c s="348" r="AG52">
        <f>Profile!T80*E$40</f>
        <v>0</v>
      </c>
      <c t="str" s="348" r="AH52">
        <f>IF((AK$15=TRUE),IF(ISNUMBER(Profile!Y80),IF(ISNUMBER(Profile!Y81),(((X52+((F$63/2)*COS(RADIANS(Profile!Y81))))+(X52+((F$63/2)*COS(RADIANS(Profile!Y80)))))/2),(X52+((F$63/2)*COS(RADIANS(Profile!Y80))))),AH51),0)</f>
        <v>#VALUE!:notNumber:For input string: "---"</v>
      </c>
      <c t="str" s="348" r="AI52">
        <f>IF((AK$15=TRUE),IF(ISNUMBER(Profile!Y80),IF(ISNUMBER(Profile!Y81),(((Y52-((F$63/2)*SIN(RADIANS(Profile!Y81))))+(Y52-((F$63/2)*SIN(RADIANS(Profile!Y80)))))/2),(Y52-((F$63/2)*SIN(RADIANS(Profile!Y80))))),AI51),0)</f>
        <v>#VALUE!:notNumber:For input string: "---"</v>
      </c>
      <c t="str" s="348" r="AJ52">
        <f>IF((AK$15=TRUE),IF(ISNUMBER(Profile!Y80),IF(ISNUMBER(Profile!Y81),(((X52-((F$63/2)*COS(RADIANS(Profile!Y81))))+(X52-((F$63/2)*COS(RADIANS(Profile!Y80)))))/2),(X52-((F$63/2)*COS(RADIANS(Profile!Y80))))),AJ51),0)</f>
        <v>#VALUE!:notNumber:For input string: "---"</v>
      </c>
      <c t="str" s="799" r="AK52">
        <f>IF((AK$15=TRUE),IF(ISNUMBER(Profile!Y80),IF(ISNUMBER(Profile!Y81),(((Y52+((F$63/2)*SIN(RADIANS(Profile!Y81))))+(Y52+((F$63/2)*SIN(RADIANS(Profile!Y80)))))/2),(Y52+((F$63/2)*SIN(RADIANS(Profile!Y80))))),AK51),0)</f>
        <v>#VALUE!:notNumber:For input string: "---"</v>
      </c>
      <c s="51" r="AL52"/>
      <c s="125" r="AM52"/>
    </row>
    <row r="53">
      <c s="822" r="A53"/>
      <c s="406" r="B53"/>
      <c t="s" s="836" r="C53">
        <v>24</v>
      </c>
      <c t="str" s="624" r="D53">
        <f>Summary!$N$11</f>
        <v>---</v>
      </c>
      <c s="551" r="E53"/>
      <c s="551" r="F53"/>
      <c s="551" r="G53"/>
      <c s="551" r="H53"/>
      <c s="671" r="I53"/>
      <c s="51" r="J53"/>
      <c s="125" r="K53"/>
      <c s="125" r="L53"/>
      <c s="125" r="M53"/>
      <c s="125" r="N53"/>
      <c s="125" r="O53"/>
      <c s="125" r="P53"/>
      <c s="125" r="Q53"/>
      <c s="125" r="R53"/>
      <c s="125" r="S53"/>
      <c s="822" r="T53"/>
      <c t="str" s="309" r="U53">
        <f>IF((Profile!L81&gt;0),Profile!L81,"")</f>
        <v/>
      </c>
      <c t="str" s="861" r="V53">
        <f>IF((Profile!O81&gt;0),Profile!O81,"---")</f>
        <v>---</v>
      </c>
      <c t="str" s="861" r="W53">
        <f>IF((Profile!Y81=0),IF((Profile!Y80=0),"---",IF((Profile!Y82=0),"---",Profile!Y81)),Profile!Y81)</f>
        <v>---</v>
      </c>
      <c s="239" r="X53">
        <f>AB53+X52</f>
        <v>0</v>
      </c>
      <c s="796" r="Y53">
        <f>AC53+Y52</f>
        <v>0</v>
      </c>
      <c s="702" r="Z53"/>
      <c s="289" r="AA53">
        <f>IF(Profile!Y81,IF((Profile!O81=0),0,(Profile!O81-MAX(Profile!O$44:O80))),0)</f>
        <v>0</v>
      </c>
      <c s="605" r="AB53">
        <f>SIN(RADIANS(Profile!Y81))*AA53</f>
        <v>0</v>
      </c>
      <c s="605" r="AC53">
        <f>COS(RADIANS(Profile!Y81))*AA53</f>
        <v>0</v>
      </c>
      <c s="348" r="AD53">
        <f>IF((AJ$15=TRUE),X53,NA())</f>
        <v>0</v>
      </c>
      <c s="348" r="AE53">
        <f>IF((AJ$15=TRUE),Y53,NA())</f>
        <v>0</v>
      </c>
      <c t="str" s="348" r="AF53">
        <f>IF(Profile!L81,Y53,NA())</f>
        <v>#N/A:explicit</v>
      </c>
      <c s="348" r="AG53">
        <f>Profile!T81*E$40</f>
        <v>0</v>
      </c>
      <c t="str" s="348" r="AH53">
        <f>IF((AK$15=TRUE),IF(ISNUMBER(Profile!Y81),IF(ISNUMBER(Profile!Y82),(((X53+((F$63/2)*COS(RADIANS(Profile!Y82))))+(X53+((F$63/2)*COS(RADIANS(Profile!Y81)))))/2),(X53+((F$63/2)*COS(RADIANS(Profile!Y81))))),AH52),0)</f>
        <v>#VALUE!:notNumber:For input string: "---"</v>
      </c>
      <c t="str" s="348" r="AI53">
        <f>IF((AK$15=TRUE),IF(ISNUMBER(Profile!Y81),IF(ISNUMBER(Profile!Y82),(((Y53-((F$63/2)*SIN(RADIANS(Profile!Y82))))+(Y53-((F$63/2)*SIN(RADIANS(Profile!Y81)))))/2),(Y53-((F$63/2)*SIN(RADIANS(Profile!Y81))))),AI52),0)</f>
        <v>#VALUE!:notNumber:For input string: "---"</v>
      </c>
      <c t="str" s="348" r="AJ53">
        <f>IF((AK$15=TRUE),IF(ISNUMBER(Profile!Y81),IF(ISNUMBER(Profile!Y82),(((X53-((F$63/2)*COS(RADIANS(Profile!Y82))))+(X53-((F$63/2)*COS(RADIANS(Profile!Y81)))))/2),(X53-((F$63/2)*COS(RADIANS(Profile!Y81))))),AJ52),0)</f>
        <v>#VALUE!:notNumber:For input string: "---"</v>
      </c>
      <c t="str" s="799" r="AK53">
        <f>IF((AK$15=TRUE),IF(ISNUMBER(Profile!Y81),IF(ISNUMBER(Profile!Y82),(((Y53+((F$63/2)*SIN(RADIANS(Profile!Y82))))+(Y53+((F$63/2)*SIN(RADIANS(Profile!Y81)))))/2),(Y53+((F$63/2)*SIN(RADIANS(Profile!Y81))))),AK52),0)</f>
        <v>#VALUE!:notNumber:For input string: "---"</v>
      </c>
      <c s="51" r="AL53"/>
      <c s="125" r="AM53"/>
    </row>
    <row r="54">
      <c s="822" r="A54"/>
      <c s="406" r="B54"/>
      <c t="s" s="836" r="C54">
        <v>26</v>
      </c>
      <c t="str" s="624" r="D54">
        <f>Summary!$N$12</f>
        <v>---</v>
      </c>
      <c s="551" r="E54"/>
      <c s="551" r="F54"/>
      <c s="551" r="G54"/>
      <c s="551" r="H54"/>
      <c s="671" r="I54"/>
      <c s="51" r="J54"/>
      <c s="125" r="K54"/>
      <c s="125" r="L54"/>
      <c s="125" r="M54"/>
      <c s="125" r="N54"/>
      <c s="125" r="O54"/>
      <c s="125" r="P54"/>
      <c s="125" r="Q54"/>
      <c s="125" r="R54"/>
      <c s="125" r="S54"/>
      <c s="822" r="T54"/>
      <c t="str" s="309" r="U54">
        <f>IF((Profile!L82&gt;0),Profile!L82,"")</f>
        <v/>
      </c>
      <c t="str" s="861" r="V54">
        <f>IF((Profile!O82&gt;0),Profile!O82,"---")</f>
        <v>---</v>
      </c>
      <c t="str" s="861" r="W54">
        <f>IF((Profile!Y82=0),IF((Profile!Y81=0),"---",IF((Profile!Y83=0),"---",Profile!Y82)),Profile!Y82)</f>
        <v>---</v>
      </c>
      <c s="239" r="X54">
        <f>AB54+X53</f>
        <v>0</v>
      </c>
      <c s="796" r="Y54">
        <f>AC54+Y53</f>
        <v>0</v>
      </c>
      <c s="702" r="Z54"/>
      <c s="289" r="AA54">
        <f>IF(Profile!Y82,IF((Profile!O82=0),0,(Profile!O82-MAX(Profile!O$44:O81))),0)</f>
        <v>0</v>
      </c>
      <c s="605" r="AB54">
        <f>SIN(RADIANS(Profile!Y82))*AA54</f>
        <v>0</v>
      </c>
      <c s="605" r="AC54">
        <f>COS(RADIANS(Profile!Y82))*AA54</f>
        <v>0</v>
      </c>
      <c s="348" r="AD54">
        <f>IF((AJ$15=TRUE),X54,NA())</f>
        <v>0</v>
      </c>
      <c s="348" r="AE54">
        <f>IF((AJ$15=TRUE),Y54,NA())</f>
        <v>0</v>
      </c>
      <c t="str" s="348" r="AF54">
        <f>IF(Profile!L82,Y54,NA())</f>
        <v>#N/A:explicit</v>
      </c>
      <c s="348" r="AG54">
        <f>Profile!T82*E$40</f>
        <v>0</v>
      </c>
      <c t="str" s="348" r="AH54">
        <f>IF((AK$15=TRUE),IF(ISNUMBER(Profile!Y82),IF(ISNUMBER(Profile!Y83),(((X54+((F$63/2)*COS(RADIANS(Profile!Y83))))+(X54+((F$63/2)*COS(RADIANS(Profile!Y82)))))/2),(X54+((F$63/2)*COS(RADIANS(Profile!Y82))))),AH53),0)</f>
        <v>#VALUE!:notNumber:For input string: "---"</v>
      </c>
      <c t="str" s="348" r="AI54">
        <f>IF((AK$15=TRUE),IF(ISNUMBER(Profile!Y82),IF(ISNUMBER(Profile!Y83),(((Y54-((F$63/2)*SIN(RADIANS(Profile!Y83))))+(Y54-((F$63/2)*SIN(RADIANS(Profile!Y82)))))/2),(Y54-((F$63/2)*SIN(RADIANS(Profile!Y82))))),AI53),0)</f>
        <v>#VALUE!:notNumber:For input string: "---"</v>
      </c>
      <c t="str" s="348" r="AJ54">
        <f>IF((AK$15=TRUE),IF(ISNUMBER(Profile!Y82),IF(ISNUMBER(Profile!Y83),(((X54-((F$63/2)*COS(RADIANS(Profile!Y83))))+(X54-((F$63/2)*COS(RADIANS(Profile!Y82)))))/2),(X54-((F$63/2)*COS(RADIANS(Profile!Y82))))),AJ53),0)</f>
        <v>#VALUE!:notNumber:For input string: "---"</v>
      </c>
      <c t="str" s="799" r="AK54">
        <f>IF((AK$15=TRUE),IF(ISNUMBER(Profile!Y82),IF(ISNUMBER(Profile!Y83),(((Y54+((F$63/2)*SIN(RADIANS(Profile!Y83))))+(Y54+((F$63/2)*SIN(RADIANS(Profile!Y82)))))/2),(Y54+((F$63/2)*SIN(RADIANS(Profile!Y82))))),AK53),0)</f>
        <v>#VALUE!:notNumber:For input string: "---"</v>
      </c>
      <c s="51" r="AL54"/>
      <c s="125" r="AM54"/>
    </row>
    <row r="55">
      <c s="822" r="A55"/>
      <c s="406" r="B55"/>
      <c t="s" s="836" r="C55">
        <v>32</v>
      </c>
      <c t="str" s="582" r="D55">
        <f>Summary!$N$14</f>
        <v>---</v>
      </c>
      <c s="551" r="E55"/>
      <c s="551" r="F55"/>
      <c s="551" r="G55"/>
      <c s="551" r="H55"/>
      <c s="671" r="I55"/>
      <c s="51" r="J55"/>
      <c s="125" r="K55"/>
      <c s="125" r="L55"/>
      <c s="125" r="M55"/>
      <c s="125" r="N55"/>
      <c s="125" r="O55"/>
      <c s="125" r="P55"/>
      <c s="125" r="Q55"/>
      <c s="125" r="R55"/>
      <c s="125" r="S55"/>
      <c s="822" r="T55"/>
      <c t="str" s="309" r="U55">
        <f>IF((Profile!L83&gt;0),Profile!L83,"")</f>
        <v/>
      </c>
      <c t="str" s="861" r="V55">
        <f>IF((Profile!O83&gt;0),Profile!O83,"---")</f>
        <v>---</v>
      </c>
      <c t="str" s="861" r="W55">
        <f>IF((Profile!Y83=0),IF((Profile!Y82=0),"---",IF((Profile!Y84=0),"---",Profile!Y83)),Profile!Y83)</f>
        <v>---</v>
      </c>
      <c s="239" r="X55">
        <f>AB55+X54</f>
        <v>0</v>
      </c>
      <c s="796" r="Y55">
        <f>AC55+Y54</f>
        <v>0</v>
      </c>
      <c s="702" r="Z55"/>
      <c s="289" r="AA55">
        <f>IF(Profile!Y83,IF((Profile!O83=0),0,(Profile!O83-MAX(Profile!O$44:O82))),0)</f>
        <v>0</v>
      </c>
      <c s="605" r="AB55">
        <f>SIN(RADIANS(Profile!Y83))*AA55</f>
        <v>0</v>
      </c>
      <c s="605" r="AC55">
        <f>COS(RADIANS(Profile!Y83))*AA55</f>
        <v>0</v>
      </c>
      <c s="348" r="AD55">
        <f>IF((AJ$15=TRUE),X55,NA())</f>
        <v>0</v>
      </c>
      <c s="348" r="AE55">
        <f>IF((AJ$15=TRUE),Y55,NA())</f>
        <v>0</v>
      </c>
      <c t="str" s="348" r="AF55">
        <f>IF(Profile!L83,Y55,NA())</f>
        <v>#N/A:explicit</v>
      </c>
      <c s="348" r="AG55">
        <f>Profile!T83*E$40</f>
        <v>0</v>
      </c>
      <c t="str" s="348" r="AH55">
        <f>IF((AK$15=TRUE),IF(ISNUMBER(Profile!Y83),IF(ISNUMBER(Profile!Y84),(((X55+((F$63/2)*COS(RADIANS(Profile!Y84))))+(X55+((F$63/2)*COS(RADIANS(Profile!Y83)))))/2),(X55+((F$63/2)*COS(RADIANS(Profile!Y83))))),AH54),0)</f>
        <v>#VALUE!:notNumber:For input string: "---"</v>
      </c>
      <c t="str" s="348" r="AI55">
        <f>IF((AK$15=TRUE),IF(ISNUMBER(Profile!Y83),IF(ISNUMBER(Profile!Y84),(((Y55-((F$63/2)*SIN(RADIANS(Profile!Y84))))+(Y55-((F$63/2)*SIN(RADIANS(Profile!Y83)))))/2),(Y55-((F$63/2)*SIN(RADIANS(Profile!Y83))))),AI54),0)</f>
        <v>#VALUE!:notNumber:For input string: "---"</v>
      </c>
      <c t="str" s="348" r="AJ55">
        <f>IF((AK$15=TRUE),IF(ISNUMBER(Profile!Y83),IF(ISNUMBER(Profile!Y84),(((X55-((F$63/2)*COS(RADIANS(Profile!Y84))))+(X55-((F$63/2)*COS(RADIANS(Profile!Y83)))))/2),(X55-((F$63/2)*COS(RADIANS(Profile!Y83))))),AJ54),0)</f>
        <v>#VALUE!:notNumber:For input string: "---"</v>
      </c>
      <c t="str" s="799" r="AK55">
        <f>IF((AK$15=TRUE),IF(ISNUMBER(Profile!Y83),IF(ISNUMBER(Profile!Y84),(((Y55+((F$63/2)*SIN(RADIANS(Profile!Y84))))+(Y55+((F$63/2)*SIN(RADIANS(Profile!Y83)))))/2),(Y55+((F$63/2)*SIN(RADIANS(Profile!Y83))))),AK54),0)</f>
        <v>#VALUE!:notNumber:For input string: "---"</v>
      </c>
      <c s="51" r="AL55"/>
      <c s="125" r="AM55"/>
    </row>
    <row r="56">
      <c s="822" r="A56"/>
      <c s="406" r="B56"/>
      <c t="s" s="836" r="C56">
        <v>34</v>
      </c>
      <c t="str" s="717" r="D56">
        <f>Summary!$N$15</f>
        <v>---</v>
      </c>
      <c s="335" r="E56"/>
      <c s="335" r="F56"/>
      <c s="335" r="G56"/>
      <c s="335" r="H56"/>
      <c s="326" r="I56"/>
      <c s="51" r="J56"/>
      <c s="125" r="K56"/>
      <c s="125" r="L56"/>
      <c s="125" r="M56"/>
      <c s="125" r="N56"/>
      <c s="125" r="O56"/>
      <c s="125" r="P56"/>
      <c s="125" r="Q56"/>
      <c s="125" r="R56"/>
      <c s="125" r="S56"/>
      <c s="822" r="T56"/>
      <c t="str" s="309" r="U56">
        <f>IF((Profile!L84&gt;0),Profile!L84,"")</f>
        <v/>
      </c>
      <c t="str" s="861" r="V56">
        <f>IF((Profile!O84&gt;0),Profile!O84,"---")</f>
        <v>---</v>
      </c>
      <c t="str" s="861" r="W56">
        <f>IF((Profile!Y84=0),IF((Profile!Y83=0),"---",IF((Profile!Y85=0),"---",Profile!Y84)),Profile!Y84)</f>
        <v>---</v>
      </c>
      <c s="239" r="X56">
        <f>AB56+X55</f>
        <v>0</v>
      </c>
      <c s="796" r="Y56">
        <f>AC56+Y55</f>
        <v>0</v>
      </c>
      <c s="702" r="Z56"/>
      <c s="289" r="AA56">
        <f>IF(Profile!Y84,IF((Profile!O84=0),0,(Profile!O84-MAX(Profile!O$44:O83))),0)</f>
        <v>0</v>
      </c>
      <c s="605" r="AB56">
        <f>SIN(RADIANS(Profile!Y84))*AA56</f>
        <v>0</v>
      </c>
      <c s="605" r="AC56">
        <f>COS(RADIANS(Profile!Y84))*AA56</f>
        <v>0</v>
      </c>
      <c s="348" r="AD56">
        <f>IF((AJ$15=TRUE),X56,NA())</f>
        <v>0</v>
      </c>
      <c s="348" r="AE56">
        <f>IF((AJ$15=TRUE),Y56,NA())</f>
        <v>0</v>
      </c>
      <c t="str" s="348" r="AF56">
        <f>IF(Profile!L84,Y56,NA())</f>
        <v>#N/A:explicit</v>
      </c>
      <c s="348" r="AG56">
        <f>Profile!T84*E$40</f>
        <v>0</v>
      </c>
      <c t="str" s="348" r="AH56">
        <f>IF((AK$15=TRUE),IF(ISNUMBER(Profile!Y84),IF(ISNUMBER(Profile!Y85),(((X56+((F$63/2)*COS(RADIANS(Profile!Y85))))+(X56+((F$63/2)*COS(RADIANS(Profile!Y84)))))/2),(X56+((F$63/2)*COS(RADIANS(Profile!Y84))))),AH55),0)</f>
        <v>#VALUE!:notNumber:For input string: "---"</v>
      </c>
      <c t="str" s="348" r="AI56">
        <f>IF((AK$15=TRUE),IF(ISNUMBER(Profile!Y84),IF(ISNUMBER(Profile!Y85),(((Y56-((F$63/2)*SIN(RADIANS(Profile!Y85))))+(Y56-((F$63/2)*SIN(RADIANS(Profile!Y84)))))/2),(Y56-((F$63/2)*SIN(RADIANS(Profile!Y84))))),AI55),0)</f>
        <v>#VALUE!:notNumber:For input string: "---"</v>
      </c>
      <c t="str" s="348" r="AJ56">
        <f>IF((AK$15=TRUE),IF(ISNUMBER(Profile!Y84),IF(ISNUMBER(Profile!Y85),(((X56-((F$63/2)*COS(RADIANS(Profile!Y85))))+(X56-((F$63/2)*COS(RADIANS(Profile!Y84)))))/2),(X56-((F$63/2)*COS(RADIANS(Profile!Y84))))),AJ55),0)</f>
        <v>#VALUE!:notNumber:For input string: "---"</v>
      </c>
      <c t="str" s="799" r="AK56">
        <f>IF((AK$15=TRUE),IF(ISNUMBER(Profile!Y84),IF(ISNUMBER(Profile!Y85),(((Y56+((F$63/2)*SIN(RADIANS(Profile!Y85))))+(Y56+((F$63/2)*SIN(RADIANS(Profile!Y84)))))/2),(Y56+((F$63/2)*SIN(RADIANS(Profile!Y84))))),AK55),0)</f>
        <v>#VALUE!:notNumber:For input string: "---"</v>
      </c>
      <c s="51" r="AL56"/>
      <c s="125" r="AM56"/>
    </row>
    <row r="57">
      <c s="822" r="A57"/>
      <c s="406" r="B57"/>
      <c t="s" s="836" r="C57">
        <v>37</v>
      </c>
      <c t="str" s="207" r="D57">
        <f>Summary!$N$16</f>
        <v>---</v>
      </c>
      <c s="304" r="E57"/>
      <c s="304" r="F57"/>
      <c s="304" r="G57"/>
      <c s="304" r="H57"/>
      <c s="12" r="I57"/>
      <c s="51" r="J57"/>
      <c s="125" r="K57"/>
      <c s="125" r="L57"/>
      <c s="125" r="M57"/>
      <c s="125" r="N57"/>
      <c s="125" r="O57"/>
      <c s="125" r="P57"/>
      <c s="125" r="Q57"/>
      <c s="125" r="R57"/>
      <c s="125" r="S57"/>
      <c s="822" r="T57"/>
      <c t="str" s="309" r="U57">
        <f>IF((Profile!L85&gt;0),Profile!L85,"")</f>
        <v/>
      </c>
      <c t="str" s="861" r="V57">
        <f>IF((Profile!O85&gt;0),Profile!O85,"---")</f>
        <v>---</v>
      </c>
      <c t="str" s="861" r="W57">
        <f>IF((Profile!Y85=0),IF((Profile!Y84=0),"---",IF((Profile!Y86=0),"---",Profile!Y85)),Profile!Y85)</f>
        <v>---</v>
      </c>
      <c s="239" r="X57">
        <f>AB57+X56</f>
        <v>0</v>
      </c>
      <c s="796" r="Y57">
        <f>AC57+Y56</f>
        <v>0</v>
      </c>
      <c s="702" r="Z57"/>
      <c s="289" r="AA57">
        <f>IF(Profile!Y85,IF((Profile!O85=0),0,(Profile!O85-MAX(Profile!O$44:O84))),0)</f>
        <v>0</v>
      </c>
      <c s="605" r="AB57">
        <f>SIN(RADIANS(Profile!Y85))*AA57</f>
        <v>0</v>
      </c>
      <c s="605" r="AC57">
        <f>COS(RADIANS(Profile!Y85))*AA57</f>
        <v>0</v>
      </c>
      <c s="348" r="AD57">
        <f>IF((AJ$15=TRUE),X57,NA())</f>
        <v>0</v>
      </c>
      <c s="348" r="AE57">
        <f>IF((AJ$15=TRUE),Y57,NA())</f>
        <v>0</v>
      </c>
      <c t="str" s="348" r="AF57">
        <f>IF(Profile!L85,Y57,NA())</f>
        <v>#N/A:explicit</v>
      </c>
      <c s="348" r="AG57">
        <f>Profile!T85*E$40</f>
        <v>0</v>
      </c>
      <c t="str" s="348" r="AH57">
        <f>IF((AK$15=TRUE),IF(ISNUMBER(Profile!Y85),IF(ISNUMBER(Profile!Y86),(((X57+((F$63/2)*COS(RADIANS(Profile!Y86))))+(X57+((F$63/2)*COS(RADIANS(Profile!Y85)))))/2),(X57+((F$63/2)*COS(RADIANS(Profile!Y85))))),AH56),0)</f>
        <v>#VALUE!:notNumber:For input string: "---"</v>
      </c>
      <c t="str" s="348" r="AI57">
        <f>IF((AK$15=TRUE),IF(ISNUMBER(Profile!Y85),IF(ISNUMBER(Profile!Y86),(((Y57-((F$63/2)*SIN(RADIANS(Profile!Y86))))+(Y57-((F$63/2)*SIN(RADIANS(Profile!Y85)))))/2),(Y57-((F$63/2)*SIN(RADIANS(Profile!Y85))))),AI56),0)</f>
        <v>#VALUE!:notNumber:For input string: "---"</v>
      </c>
      <c t="str" s="348" r="AJ57">
        <f>IF((AK$15=TRUE),IF(ISNUMBER(Profile!Y85),IF(ISNUMBER(Profile!Y86),(((X57-((F$63/2)*COS(RADIANS(Profile!Y86))))+(X57-((F$63/2)*COS(RADIANS(Profile!Y85)))))/2),(X57-((F$63/2)*COS(RADIANS(Profile!Y85))))),AJ56),0)</f>
        <v>#VALUE!:notNumber:For input string: "---"</v>
      </c>
      <c t="str" s="799" r="AK57">
        <f>IF((AK$15=TRUE),IF(ISNUMBER(Profile!Y85),IF(ISNUMBER(Profile!Y86),(((Y57+((F$63/2)*SIN(RADIANS(Profile!Y86))))+(Y57+((F$63/2)*SIN(RADIANS(Profile!Y85)))))/2),(Y57+((F$63/2)*SIN(RADIANS(Profile!Y85))))),AK56),0)</f>
        <v>#VALUE!:notNumber:For input string: "---"</v>
      </c>
      <c s="51" r="AL57"/>
      <c s="125" r="AM57"/>
    </row>
    <row r="58">
      <c s="822" r="A58"/>
      <c s="406" r="B58"/>
      <c s="836" r="C58"/>
      <c s="207" r="D58"/>
      <c s="304" r="E58"/>
      <c s="304" r="F58"/>
      <c s="304" r="G58"/>
      <c s="304" r="H58"/>
      <c s="12" r="I58"/>
      <c s="51" r="J58"/>
      <c s="125" r="K58"/>
      <c s="125" r="L58"/>
      <c s="125" r="M58"/>
      <c s="125" r="N58"/>
      <c s="125" r="O58"/>
      <c s="125" r="P58"/>
      <c s="125" r="Q58"/>
      <c s="125" r="R58"/>
      <c s="125" r="S58"/>
      <c s="822" r="T58"/>
      <c t="str" s="309" r="U58">
        <f>IF((Profile!L86&gt;0),Profile!L86,"")</f>
        <v/>
      </c>
      <c t="str" s="861" r="V58">
        <f>IF((Profile!O86&gt;0),Profile!O86,"---")</f>
        <v>---</v>
      </c>
      <c t="str" s="861" r="W58">
        <f>IF((Profile!Y86=0),IF((Profile!Y85=0),"---",IF((Profile!Y87=0),"---",Profile!Y86)),Profile!Y86)</f>
        <v>---</v>
      </c>
      <c s="239" r="X58">
        <f>AB58+X57</f>
        <v>0</v>
      </c>
      <c s="796" r="Y58">
        <f>AC58+Y57</f>
        <v>0</v>
      </c>
      <c s="702" r="Z58"/>
      <c s="289" r="AA58">
        <f>IF(Profile!Y86,IF((Profile!O86=0),0,(Profile!O86-MAX(Profile!O$44:O85))),0)</f>
        <v>0</v>
      </c>
      <c s="605" r="AB58">
        <f>SIN(RADIANS(Profile!Y86))*AA58</f>
        <v>0</v>
      </c>
      <c s="605" r="AC58">
        <f>COS(RADIANS(Profile!Y86))*AA58</f>
        <v>0</v>
      </c>
      <c s="348" r="AD58">
        <f>IF((AJ$15=TRUE),X58,NA())</f>
        <v>0</v>
      </c>
      <c s="348" r="AE58">
        <f>IF((AJ$15=TRUE),Y58,NA())</f>
        <v>0</v>
      </c>
      <c t="str" s="348" r="AF58">
        <f>IF(Profile!L86,Y58,NA())</f>
        <v>#N/A:explicit</v>
      </c>
      <c s="348" r="AG58">
        <f>Profile!T86*E$40</f>
        <v>0</v>
      </c>
      <c t="str" s="348" r="AH58">
        <f>IF((AK$15=TRUE),IF(ISNUMBER(Profile!Y86),IF(ISNUMBER(Profile!Y87),(((X58+((F$63/2)*COS(RADIANS(Profile!Y87))))+(X58+((F$63/2)*COS(RADIANS(Profile!Y86)))))/2),(X58+((F$63/2)*COS(RADIANS(Profile!Y86))))),AH57),0)</f>
        <v>#VALUE!:notNumber:For input string: "---"</v>
      </c>
      <c t="str" s="348" r="AI58">
        <f>IF((AK$15=TRUE),IF(ISNUMBER(Profile!Y86),IF(ISNUMBER(Profile!Y87),(((Y58-((F$63/2)*SIN(RADIANS(Profile!Y87))))+(Y58-((F$63/2)*SIN(RADIANS(Profile!Y86)))))/2),(Y58-((F$63/2)*SIN(RADIANS(Profile!Y86))))),AI57),0)</f>
        <v>#VALUE!:notNumber:For input string: "---"</v>
      </c>
      <c t="str" s="348" r="AJ58">
        <f>IF((AK$15=TRUE),IF(ISNUMBER(Profile!Y86),IF(ISNUMBER(Profile!Y87),(((X58-((F$63/2)*COS(RADIANS(Profile!Y87))))+(X58-((F$63/2)*COS(RADIANS(Profile!Y86)))))/2),(X58-((F$63/2)*COS(RADIANS(Profile!Y86))))),AJ57),0)</f>
        <v>#VALUE!:notNumber:For input string: "---"</v>
      </c>
      <c t="str" s="799" r="AK58">
        <f>IF((AK$15=TRUE),IF(ISNUMBER(Profile!Y86),IF(ISNUMBER(Profile!Y87),(((Y58+((F$63/2)*SIN(RADIANS(Profile!Y87))))+(Y58+((F$63/2)*SIN(RADIANS(Profile!Y86)))))/2),(Y58+((F$63/2)*SIN(RADIANS(Profile!Y86))))),AK57),0)</f>
        <v>#VALUE!:notNumber:For input string: "---"</v>
      </c>
      <c s="51" r="AL58"/>
      <c s="125" r="AM58"/>
    </row>
    <row r="59">
      <c s="822" r="A59"/>
      <c s="406" r="B59"/>
      <c t="s" s="836" r="C59">
        <v>403</v>
      </c>
      <c t="str" s="582" r="D59">
        <f>Summary!$N$20</f>
        <v>---</v>
      </c>
      <c s="551" r="E59"/>
      <c s="551" r="F59"/>
      <c s="551" r="G59"/>
      <c s="551" r="H59"/>
      <c s="671" r="I59"/>
      <c s="51" r="J59"/>
      <c s="125" r="K59"/>
      <c s="125" r="L59"/>
      <c s="125" r="M59"/>
      <c s="125" r="N59"/>
      <c s="125" r="O59"/>
      <c s="125" r="P59"/>
      <c s="125" r="Q59"/>
      <c s="125" r="R59"/>
      <c s="125" r="S59"/>
      <c s="822" r="T59"/>
      <c t="str" s="309" r="U59">
        <f>IF((Profile!L87&gt;0),Profile!L87,"")</f>
        <v/>
      </c>
      <c t="str" s="861" r="V59">
        <f>IF((Profile!O87&gt;0),Profile!O87,"---")</f>
        <v>---</v>
      </c>
      <c t="str" s="861" r="W59">
        <f>IF((Profile!Y87=0),IF((Profile!Y86=0),"---",IF((Profile!Y88=0),"---",Profile!Y87)),Profile!Y87)</f>
        <v>---</v>
      </c>
      <c s="239" r="X59">
        <f>AB59+X58</f>
        <v>0</v>
      </c>
      <c s="796" r="Y59">
        <f>AC59+Y58</f>
        <v>0</v>
      </c>
      <c s="702" r="Z59"/>
      <c s="289" r="AA59">
        <f>IF(Profile!Y87,IF((Profile!O87=0),0,(Profile!O87-MAX(Profile!O$44:O86))),0)</f>
        <v>0</v>
      </c>
      <c s="605" r="AB59">
        <f>SIN(RADIANS(Profile!Y87))*AA59</f>
        <v>0</v>
      </c>
      <c s="605" r="AC59">
        <f>COS(RADIANS(Profile!Y87))*AA59</f>
        <v>0</v>
      </c>
      <c s="348" r="AD59">
        <f>IF((AJ$15=TRUE),X59,NA())</f>
        <v>0</v>
      </c>
      <c s="348" r="AE59">
        <f>IF((AJ$15=TRUE),Y59,NA())</f>
        <v>0</v>
      </c>
      <c t="str" s="348" r="AF59">
        <f>IF(Profile!L87,Y59,NA())</f>
        <v>#N/A:explicit</v>
      </c>
      <c s="348" r="AG59">
        <f>Profile!T87*E$40</f>
        <v>0</v>
      </c>
      <c t="str" s="348" r="AH59">
        <f>IF((AK$15=TRUE),IF(ISNUMBER(Profile!Y87),IF(ISNUMBER(Profile!Y88),(((X59+((F$63/2)*COS(RADIANS(Profile!Y88))))+(X59+((F$63/2)*COS(RADIANS(Profile!Y87)))))/2),(X59+((F$63/2)*COS(RADIANS(Profile!Y87))))),AH58),0)</f>
        <v>#VALUE!:notNumber:For input string: "---"</v>
      </c>
      <c t="str" s="348" r="AI59">
        <f>IF((AK$15=TRUE),IF(ISNUMBER(Profile!Y87),IF(ISNUMBER(Profile!Y88),(((Y59-((F$63/2)*SIN(RADIANS(Profile!Y88))))+(Y59-((F$63/2)*SIN(RADIANS(Profile!Y87)))))/2),(Y59-((F$63/2)*SIN(RADIANS(Profile!Y87))))),AI58),0)</f>
        <v>#VALUE!:notNumber:For input string: "---"</v>
      </c>
      <c t="str" s="348" r="AJ59">
        <f>IF((AK$15=TRUE),IF(ISNUMBER(Profile!Y87),IF(ISNUMBER(Profile!Y88),(((X59-((F$63/2)*COS(RADIANS(Profile!Y88))))+(X59-((F$63/2)*COS(RADIANS(Profile!Y87)))))/2),(X59-((F$63/2)*COS(RADIANS(Profile!Y87))))),AJ58),0)</f>
        <v>#VALUE!:notNumber:For input string: "---"</v>
      </c>
      <c t="str" s="799" r="AK59">
        <f>IF((AK$15=TRUE),IF(ISNUMBER(Profile!Y87),IF(ISNUMBER(Profile!Y88),(((Y59+((F$63/2)*SIN(RADIANS(Profile!Y88))))+(Y59+((F$63/2)*SIN(RADIANS(Profile!Y87)))))/2),(Y59+((F$63/2)*SIN(RADIANS(Profile!Y87))))),AK58),0)</f>
        <v>#VALUE!:notNumber:For input string: "---"</v>
      </c>
      <c s="51" r="AL59"/>
      <c s="125" r="AM59"/>
    </row>
    <row r="60">
      <c s="822" r="A60"/>
      <c s="695" r="B60"/>
      <c t="str" s="137" r="C60">
        <f>"Drainage Area "&amp;IF((AE6=2),"(sq.km):","(sq.mi):")</f>
        <v>Drainage Area (sq.mi):</v>
      </c>
      <c t="str" s="662" r="D60">
        <f>Summary!$N$21</f>
        <v>---</v>
      </c>
      <c s="414" r="E60"/>
      <c s="414" r="F60"/>
      <c s="414" r="G60"/>
      <c s="414" r="H60"/>
      <c s="397" r="I60"/>
      <c s="51" r="J60"/>
      <c s="125" r="K60"/>
      <c s="125" r="L60"/>
      <c s="125" r="M60"/>
      <c s="125" r="N60"/>
      <c s="125" r="O60"/>
      <c s="125" r="P60"/>
      <c s="125" r="Q60"/>
      <c s="125" r="R60"/>
      <c s="125" r="S60"/>
      <c s="822" r="T60"/>
      <c t="str" s="309" r="U60">
        <f>IF((Profile!L88&gt;0),Profile!L88,"")</f>
        <v/>
      </c>
      <c t="str" s="861" r="V60">
        <f>IF((Profile!O88&gt;0),Profile!O88,"---")</f>
        <v>---</v>
      </c>
      <c t="str" s="861" r="W60">
        <f>IF((Profile!Y88=0),IF((Profile!Y87=0),"---",IF((Profile!Y89=0),"---",Profile!Y88)),Profile!Y88)</f>
        <v>---</v>
      </c>
      <c s="239" r="X60">
        <f>AB60+X59</f>
        <v>0</v>
      </c>
      <c s="796" r="Y60">
        <f>AC60+Y59</f>
        <v>0</v>
      </c>
      <c s="702" r="Z60"/>
      <c s="289" r="AA60">
        <f>IF(Profile!Y88,IF((Profile!O88=0),0,(Profile!O88-MAX(Profile!O$44:O87))),0)</f>
        <v>0</v>
      </c>
      <c s="605" r="AB60">
        <f>SIN(RADIANS(Profile!Y88))*AA60</f>
        <v>0</v>
      </c>
      <c s="605" r="AC60">
        <f>COS(RADIANS(Profile!Y88))*AA60</f>
        <v>0</v>
      </c>
      <c s="348" r="AD60">
        <f>IF((AJ$15=TRUE),X60,NA())</f>
        <v>0</v>
      </c>
      <c s="348" r="AE60">
        <f>IF((AJ$15=TRUE),Y60,NA())</f>
        <v>0</v>
      </c>
      <c t="str" s="348" r="AF60">
        <f>IF(Profile!L88,Y60,NA())</f>
        <v>#N/A:explicit</v>
      </c>
      <c s="348" r="AG60">
        <f>Profile!T88*E$40</f>
        <v>0</v>
      </c>
      <c t="str" s="348" r="AH60">
        <f>IF((AK$15=TRUE),IF(ISNUMBER(Profile!Y88),IF(ISNUMBER(Profile!Y89),(((X60+((F$63/2)*COS(RADIANS(Profile!Y89))))+(X60+((F$63/2)*COS(RADIANS(Profile!Y88)))))/2),(X60+((F$63/2)*COS(RADIANS(Profile!Y88))))),AH59),0)</f>
        <v>#VALUE!:notNumber:For input string: "---"</v>
      </c>
      <c t="str" s="348" r="AI60">
        <f>IF((AK$15=TRUE),IF(ISNUMBER(Profile!Y88),IF(ISNUMBER(Profile!Y89),(((Y60-((F$63/2)*SIN(RADIANS(Profile!Y89))))+(Y60-((F$63/2)*SIN(RADIANS(Profile!Y88)))))/2),(Y60-((F$63/2)*SIN(RADIANS(Profile!Y88))))),AI59),0)</f>
        <v>#VALUE!:notNumber:For input string: "---"</v>
      </c>
      <c t="str" s="348" r="AJ60">
        <f>IF((AK$15=TRUE),IF(ISNUMBER(Profile!Y88),IF(ISNUMBER(Profile!Y89),(((X60-((F$63/2)*COS(RADIANS(Profile!Y89))))+(X60-((F$63/2)*COS(RADIANS(Profile!Y88)))))/2),(X60-((F$63/2)*COS(RADIANS(Profile!Y88))))),AJ59),0)</f>
        <v>#VALUE!:notNumber:For input string: "---"</v>
      </c>
      <c t="str" s="799" r="AK60">
        <f>IF((AK$15=TRUE),IF(ISNUMBER(Profile!Y88),IF(ISNUMBER(Profile!Y89),(((Y60+((F$63/2)*SIN(RADIANS(Profile!Y89))))+(Y60+((F$63/2)*SIN(RADIANS(Profile!Y88)))))/2),(Y60+((F$63/2)*SIN(RADIANS(Profile!Y88))))),AK59),0)</f>
        <v>#VALUE!:notNumber:For input string: "---"</v>
      </c>
      <c s="51" r="AL60"/>
      <c s="125" r="AM60"/>
    </row>
    <row r="61">
      <c s="822" r="A61"/>
      <c t="s" s="720" r="B61">
        <v>114</v>
      </c>
      <c s="493" r="C61"/>
      <c s="467" r="D61"/>
      <c s="467" r="E61"/>
      <c s="467" r="F61"/>
      <c s="467" r="G61"/>
      <c s="467" r="H61"/>
      <c s="494" r="I61"/>
      <c s="51" r="J61"/>
      <c s="125" r="K61"/>
      <c s="125" r="L61"/>
      <c s="125" r="M61"/>
      <c s="125" r="N61"/>
      <c s="125" r="O61"/>
      <c s="125" r="P61"/>
      <c s="125" r="Q61"/>
      <c s="125" r="R61"/>
      <c s="125" r="S61"/>
      <c s="822" r="T61"/>
      <c t="str" s="309" r="U61">
        <f>IF((Profile!L89&gt;0),Profile!L89,"")</f>
        <v/>
      </c>
      <c t="str" s="861" r="V61">
        <f>IF((Profile!O89&gt;0),Profile!O89,"---")</f>
        <v>---</v>
      </c>
      <c t="str" s="861" r="W61">
        <f>IF((Profile!Y89=0),IF((Profile!Y88=0),"---",IF((Profile!Y90=0),"---",Profile!Y89)),Profile!Y89)</f>
        <v>---</v>
      </c>
      <c s="239" r="X61">
        <f>AB61+X60</f>
        <v>0</v>
      </c>
      <c s="796" r="Y61">
        <f>AC61+Y60</f>
        <v>0</v>
      </c>
      <c s="702" r="Z61"/>
      <c s="289" r="AA61">
        <f>IF(Profile!Y89,IF((Profile!O89=0),0,(Profile!O89-MAX(Profile!O$44:O88))),0)</f>
        <v>0</v>
      </c>
      <c s="605" r="AB61">
        <f>SIN(RADIANS(Profile!Y89))*AA61</f>
        <v>0</v>
      </c>
      <c s="605" r="AC61">
        <f>COS(RADIANS(Profile!Y89))*AA61</f>
        <v>0</v>
      </c>
      <c s="348" r="AD61">
        <f>IF((AJ$15=TRUE),X61,NA())</f>
        <v>0</v>
      </c>
      <c s="348" r="AE61">
        <f>IF((AJ$15=TRUE),Y61,NA())</f>
        <v>0</v>
      </c>
      <c t="str" s="348" r="AF61">
        <f>IF(Profile!L89,Y61,NA())</f>
        <v>#N/A:explicit</v>
      </c>
      <c s="348" r="AG61">
        <f>Profile!T89*E$40</f>
        <v>0</v>
      </c>
      <c t="str" s="348" r="AH61">
        <f>IF((AK$15=TRUE),IF(ISNUMBER(Profile!Y89),IF(ISNUMBER(Profile!Y90),(((X61+((F$63/2)*COS(RADIANS(Profile!Y90))))+(X61+((F$63/2)*COS(RADIANS(Profile!Y89)))))/2),(X61+((F$63/2)*COS(RADIANS(Profile!Y89))))),AH60),0)</f>
        <v>#VALUE!:notNumber:For input string: "---"</v>
      </c>
      <c t="str" s="348" r="AI61">
        <f>IF((AK$15=TRUE),IF(ISNUMBER(Profile!Y89),IF(ISNUMBER(Profile!Y90),(((Y61-((F$63/2)*SIN(RADIANS(Profile!Y90))))+(Y61-((F$63/2)*SIN(RADIANS(Profile!Y89)))))/2),(Y61-((F$63/2)*SIN(RADIANS(Profile!Y89))))),AI60),0)</f>
        <v>#VALUE!:notNumber:For input string: "---"</v>
      </c>
      <c t="str" s="348" r="AJ61">
        <f>IF((AK$15=TRUE),IF(ISNUMBER(Profile!Y89),IF(ISNUMBER(Profile!Y90),(((X61-((F$63/2)*COS(RADIANS(Profile!Y90))))+(X61-((F$63/2)*COS(RADIANS(Profile!Y89)))))/2),(X61-((F$63/2)*COS(RADIANS(Profile!Y89))))),AJ60),0)</f>
        <v>#VALUE!:notNumber:For input string: "---"</v>
      </c>
      <c t="str" s="799" r="AK61">
        <f>IF((AK$15=TRUE),IF(ISNUMBER(Profile!Y89),IF(ISNUMBER(Profile!Y90),(((Y61+((F$63/2)*SIN(RADIANS(Profile!Y90))))+(Y61+((F$63/2)*SIN(RADIANS(Profile!Y89)))))/2),(Y61+((F$63/2)*SIN(RADIANS(Profile!Y89))))),AK60),0)</f>
        <v>#VALUE!:notNumber:For input string: "---"</v>
      </c>
      <c s="51" r="AL61"/>
      <c s="125" r="AM61"/>
    </row>
    <row customHeight="1" r="62" ht="13.5">
      <c s="822" r="A62"/>
      <c s="465" r="B62"/>
      <c s="310" r="C62"/>
      <c s="310" r="D62"/>
      <c s="480" r="E62"/>
      <c t="s" s="209" r="F62">
        <v>75</v>
      </c>
      <c s="209" r="G62"/>
      <c t="s" s="209" r="H62">
        <v>76</v>
      </c>
      <c t="s" s="14" r="I62">
        <v>77</v>
      </c>
      <c s="51" r="J62"/>
      <c s="125" r="K62"/>
      <c s="125" r="L62"/>
      <c s="125" r="M62"/>
      <c s="125" r="N62"/>
      <c s="125" r="O62"/>
      <c s="125" r="P62"/>
      <c s="125" r="Q62"/>
      <c s="125" r="R62"/>
      <c s="125" r="S62"/>
      <c s="822" r="T62"/>
      <c t="str" s="309" r="U62">
        <f>IF((Profile!L90&gt;0),Profile!L90,"")</f>
        <v/>
      </c>
      <c t="str" s="861" r="V62">
        <f>IF((Profile!O90&gt;0),Profile!O90,"---")</f>
        <v>---</v>
      </c>
      <c t="str" s="861" r="W62">
        <f>IF((Profile!Y90=0),IF((Profile!Y89=0),"---",IF((Profile!Y91=0),"---",Profile!Y90)),Profile!Y90)</f>
        <v>---</v>
      </c>
      <c s="239" r="X62">
        <f>AB62+X61</f>
        <v>0</v>
      </c>
      <c s="796" r="Y62">
        <f>AC62+Y61</f>
        <v>0</v>
      </c>
      <c s="702" r="Z62"/>
      <c s="289" r="AA62">
        <f>IF(Profile!Y90,IF((Profile!O90=0),0,(Profile!O90-MAX(Profile!O$44:O89))),0)</f>
        <v>0</v>
      </c>
      <c s="605" r="AB62">
        <f>SIN(RADIANS(Profile!Y90))*AA62</f>
        <v>0</v>
      </c>
      <c s="605" r="AC62">
        <f>COS(RADIANS(Profile!Y90))*AA62</f>
        <v>0</v>
      </c>
      <c s="348" r="AD62">
        <f>IF((AJ$15=TRUE),X62,NA())</f>
        <v>0</v>
      </c>
      <c s="348" r="AE62">
        <f>IF((AJ$15=TRUE),Y62,NA())</f>
        <v>0</v>
      </c>
      <c t="str" s="348" r="AF62">
        <f>IF(Profile!L90,Y62,NA())</f>
        <v>#N/A:explicit</v>
      </c>
      <c s="348" r="AG62">
        <f>Profile!T90*E$40</f>
        <v>0</v>
      </c>
      <c t="str" s="348" r="AH62">
        <f>IF((AK$15=TRUE),IF(ISNUMBER(Profile!Y90),IF(ISNUMBER(Profile!Y91),(((X62+((F$63/2)*COS(RADIANS(Profile!Y91))))+(X62+((F$63/2)*COS(RADIANS(Profile!Y90)))))/2),(X62+((F$63/2)*COS(RADIANS(Profile!Y90))))),AH61),0)</f>
        <v>#VALUE!:notNumber:For input string: "---"</v>
      </c>
      <c t="str" s="348" r="AI62">
        <f>IF((AK$15=TRUE),IF(ISNUMBER(Profile!Y90),IF(ISNUMBER(Profile!Y91),(((Y62-((F$63/2)*SIN(RADIANS(Profile!Y91))))+(Y62-((F$63/2)*SIN(RADIANS(Profile!Y90)))))/2),(Y62-((F$63/2)*SIN(RADIANS(Profile!Y90))))),AI61),0)</f>
        <v>#VALUE!:notNumber:For input string: "---"</v>
      </c>
      <c t="str" s="348" r="AJ62">
        <f>IF((AK$15=TRUE),IF(ISNUMBER(Profile!Y90),IF(ISNUMBER(Profile!Y91),(((X62-((F$63/2)*COS(RADIANS(Profile!Y91))))+(X62-((F$63/2)*COS(RADIANS(Profile!Y90)))))/2),(X62-((F$63/2)*COS(RADIANS(Profile!Y90))))),AJ61),0)</f>
        <v>#VALUE!:notNumber:For input string: "---"</v>
      </c>
      <c t="str" s="799" r="AK62">
        <f>IF((AK$15=TRUE),IF(ISNUMBER(Profile!Y90),IF(ISNUMBER(Profile!Y91),(((Y62+((F$63/2)*SIN(RADIANS(Profile!Y91))))+(Y62+((F$63/2)*SIN(RADIANS(Profile!Y90)))))/2),(Y62+((F$63/2)*SIN(RADIANS(Profile!Y90))))),AK61),0)</f>
        <v>#VALUE!:notNumber:For input string: "---"</v>
      </c>
      <c s="51" r="AL62"/>
      <c s="125" r="AM62"/>
    </row>
    <row r="63">
      <c s="822" r="A63"/>
      <c s="793" r="B63"/>
      <c s="626" r="C63"/>
      <c s="626" r="D63"/>
      <c t="str" s="737" r="E63">
        <f>"bankfull width "&amp;IF((AE6=2),"(m)","(ft)")</f>
        <v>bankfull width (ft)</v>
      </c>
      <c t="str" s="597" r="F63">
        <f>Dimension!$F$91</f>
        <v>---</v>
      </c>
      <c s="283" r="G63"/>
      <c s="283" r="H63"/>
      <c s="281" r="I63"/>
      <c s="51" r="J63"/>
      <c s="125" r="K63"/>
      <c s="125" r="L63"/>
      <c s="125" r="M63"/>
      <c s="125" r="N63"/>
      <c s="125" r="O63"/>
      <c s="125" r="P63"/>
      <c s="125" r="Q63"/>
      <c s="125" r="R63"/>
      <c s="125" r="S63"/>
      <c s="822" r="T63"/>
      <c t="str" s="309" r="U63">
        <f>IF((Profile!L91&gt;0),Profile!L91,"")</f>
        <v/>
      </c>
      <c t="str" s="861" r="V63">
        <f>IF((Profile!O91&gt;0),Profile!O91,"---")</f>
        <v>---</v>
      </c>
      <c t="str" s="861" r="W63">
        <f>IF((Profile!Y91=0),IF((Profile!Y90=0),"---",IF((Profile!Y92=0),"---",Profile!Y91)),Profile!Y91)</f>
        <v>---</v>
      </c>
      <c s="239" r="X63">
        <f>AB63+X62</f>
        <v>0</v>
      </c>
      <c s="796" r="Y63">
        <f>AC63+Y62</f>
        <v>0</v>
      </c>
      <c s="702" r="Z63"/>
      <c s="289" r="AA63">
        <f>IF(Profile!Y91,IF((Profile!O91=0),0,(Profile!O91-MAX(Profile!O$44:O90))),0)</f>
        <v>0</v>
      </c>
      <c s="605" r="AB63">
        <f>SIN(RADIANS(Profile!Y91))*AA63</f>
        <v>0</v>
      </c>
      <c s="605" r="AC63">
        <f>COS(RADIANS(Profile!Y91))*AA63</f>
        <v>0</v>
      </c>
      <c s="348" r="AD63">
        <f>IF((AJ$15=TRUE),X63,NA())</f>
        <v>0</v>
      </c>
      <c s="348" r="AE63">
        <f>IF((AJ$15=TRUE),Y63,NA())</f>
        <v>0</v>
      </c>
      <c t="str" s="348" r="AF63">
        <f>IF(Profile!L91,Y63,NA())</f>
        <v>#N/A:explicit</v>
      </c>
      <c s="348" r="AG63">
        <f>Profile!T91*E$40</f>
        <v>0</v>
      </c>
      <c t="str" s="348" r="AH63">
        <f>IF((AK$15=TRUE),IF(ISNUMBER(Profile!Y91),IF(ISNUMBER(Profile!Y92),(((X63+((F$63/2)*COS(RADIANS(Profile!Y92))))+(X63+((F$63/2)*COS(RADIANS(Profile!Y91)))))/2),(X63+((F$63/2)*COS(RADIANS(Profile!Y91))))),AH62),0)</f>
        <v>#VALUE!:notNumber:For input string: "---"</v>
      </c>
      <c t="str" s="348" r="AI63">
        <f>IF((AK$15=TRUE),IF(ISNUMBER(Profile!Y91),IF(ISNUMBER(Profile!Y92),(((Y63-((F$63/2)*SIN(RADIANS(Profile!Y92))))+(Y63-((F$63/2)*SIN(RADIANS(Profile!Y91)))))/2),(Y63-((F$63/2)*SIN(RADIANS(Profile!Y91))))),AI62),0)</f>
        <v>#VALUE!:notNumber:For input string: "---"</v>
      </c>
      <c t="str" s="348" r="AJ63">
        <f>IF((AK$15=TRUE),IF(ISNUMBER(Profile!Y91),IF(ISNUMBER(Profile!Y92),(((X63-((F$63/2)*COS(RADIANS(Profile!Y92))))+(X63-((F$63/2)*COS(RADIANS(Profile!Y91)))))/2),(X63-((F$63/2)*COS(RADIANS(Profile!Y91))))),AJ62),0)</f>
        <v>#VALUE!:notNumber:For input string: "---"</v>
      </c>
      <c t="str" s="799" r="AK63">
        <f>IF((AK$15=TRUE),IF(ISNUMBER(Profile!Y91),IF(ISNUMBER(Profile!Y92),(((Y63+((F$63/2)*SIN(RADIANS(Profile!Y92))))+(Y63+((F$63/2)*SIN(RADIANS(Profile!Y91)))))/2),(Y63+((F$63/2)*SIN(RADIANS(Profile!Y91))))),AK62),0)</f>
        <v>#VALUE!:notNumber:For input string: "---"</v>
      </c>
      <c s="51" r="AL63"/>
      <c s="125" r="AM63"/>
    </row>
    <row r="64">
      <c s="822" r="A64"/>
      <c s="406" r="B64"/>
      <c s="886" r="C64"/>
      <c s="886" r="D64"/>
      <c t="str" s="836" r="E64">
        <f>"meander length "&amp;IF((AE6=2),"(m)","(ft)")</f>
        <v>meander length (ft)</v>
      </c>
      <c t="str" s="719" r="F64">
        <f>IF((E19&gt;0),E19,"---")</f>
        <v>---</v>
      </c>
      <c s="286" r="G64"/>
      <c t="str" s="286" r="H64">
        <f>IF((G19&gt;0),G19,"---")</f>
        <v>---</v>
      </c>
      <c t="str" s="224" r="I64">
        <f>IF((H19&gt;0),H19,"---")</f>
        <v>---</v>
      </c>
      <c s="51" r="J64"/>
      <c s="125" r="K64"/>
      <c s="125" r="L64"/>
      <c s="125" r="M64"/>
      <c s="125" r="N64"/>
      <c s="125" r="O64"/>
      <c s="125" r="P64"/>
      <c s="125" r="Q64"/>
      <c s="125" r="R64"/>
      <c s="125" r="S64"/>
      <c s="822" r="T64"/>
      <c t="str" s="309" r="U64">
        <f>IF((Profile!L92&gt;0),Profile!L92,"")</f>
        <v/>
      </c>
      <c t="str" s="861" r="V64">
        <f>IF((Profile!O92&gt;0),Profile!O92,"---")</f>
        <v>---</v>
      </c>
      <c t="str" s="861" r="W64">
        <f>IF((Profile!Y92=0),IF((Profile!Y91=0),"---",IF((Profile!Y93=0),"---",Profile!Y92)),Profile!Y92)</f>
        <v>---</v>
      </c>
      <c s="239" r="X64">
        <f>AB64+X63</f>
        <v>0</v>
      </c>
      <c s="796" r="Y64">
        <f>AC64+Y63</f>
        <v>0</v>
      </c>
      <c s="702" r="Z64"/>
      <c s="289" r="AA64">
        <f>IF(Profile!Y92,IF((Profile!O92=0),0,(Profile!O92-MAX(Profile!O$44:O91))),0)</f>
        <v>0</v>
      </c>
      <c s="605" r="AB64">
        <f>SIN(RADIANS(Profile!Y92))*AA64</f>
        <v>0</v>
      </c>
      <c s="605" r="AC64">
        <f>COS(RADIANS(Profile!Y92))*AA64</f>
        <v>0</v>
      </c>
      <c s="348" r="AD64">
        <f>IF((AJ$15=TRUE),X64,NA())</f>
        <v>0</v>
      </c>
      <c s="348" r="AE64">
        <f>IF((AJ$15=TRUE),Y64,NA())</f>
        <v>0</v>
      </c>
      <c t="str" s="348" r="AF64">
        <f>IF(Profile!L92,Y64,NA())</f>
        <v>#N/A:explicit</v>
      </c>
      <c s="348" r="AG64">
        <f>Profile!T92*E$40</f>
        <v>0</v>
      </c>
      <c t="str" s="348" r="AH64">
        <f>IF((AK$15=TRUE),IF(ISNUMBER(Profile!Y92),IF(ISNUMBER(Profile!Y93),(((X64+((F$63/2)*COS(RADIANS(Profile!Y93))))+(X64+((F$63/2)*COS(RADIANS(Profile!Y92)))))/2),(X64+((F$63/2)*COS(RADIANS(Profile!Y92))))),AH63),0)</f>
        <v>#VALUE!:notNumber:For input string: "---"</v>
      </c>
      <c t="str" s="348" r="AI64">
        <f>IF((AK$15=TRUE),IF(ISNUMBER(Profile!Y92),IF(ISNUMBER(Profile!Y93),(((Y64-((F$63/2)*SIN(RADIANS(Profile!Y93))))+(Y64-((F$63/2)*SIN(RADIANS(Profile!Y92)))))/2),(Y64-((F$63/2)*SIN(RADIANS(Profile!Y92))))),AI63),0)</f>
        <v>#VALUE!:notNumber:For input string: "---"</v>
      </c>
      <c t="str" s="348" r="AJ64">
        <f>IF((AK$15=TRUE),IF(ISNUMBER(Profile!Y92),IF(ISNUMBER(Profile!Y93),(((X64-((F$63/2)*COS(RADIANS(Profile!Y93))))+(X64-((F$63/2)*COS(RADIANS(Profile!Y92)))))/2),(X64-((F$63/2)*COS(RADIANS(Profile!Y92))))),AJ63),0)</f>
        <v>#VALUE!:notNumber:For input string: "---"</v>
      </c>
      <c t="str" s="799" r="AK64">
        <f>IF((AK$15=TRUE),IF(ISNUMBER(Profile!Y92),IF(ISNUMBER(Profile!Y93),(((Y64+((F$63/2)*SIN(RADIANS(Profile!Y93))))+(Y64+((F$63/2)*SIN(RADIANS(Profile!Y92)))))/2),(Y64+((F$63/2)*SIN(RADIANS(Profile!Y92))))),AK63),0)</f>
        <v>#VALUE!:notNumber:For input string: "---"</v>
      </c>
      <c s="51" r="AL64"/>
      <c s="125" r="AM64"/>
    </row>
    <row r="65">
      <c s="822" r="A65"/>
      <c s="406" r="B65"/>
      <c s="886" r="C65"/>
      <c s="886" r="D65"/>
      <c t="str" s="836" r="E65">
        <f>"belt width "&amp;IF((AE6=2),"(m)","(ft)")</f>
        <v>belt width (ft)</v>
      </c>
      <c t="str" s="719" r="F65">
        <f>IF((E23&gt;0),E23,"---")</f>
        <v>---</v>
      </c>
      <c s="286" r="G65"/>
      <c t="str" s="286" r="H65">
        <f>IF((G23&gt;0),G23,"---")</f>
        <v>---</v>
      </c>
      <c t="str" s="224" r="I65">
        <f>IF((H23&gt;0),H23,"---")</f>
        <v>---</v>
      </c>
      <c s="51" r="J65"/>
      <c s="125" r="K65"/>
      <c s="125" r="L65"/>
      <c s="125" r="M65"/>
      <c s="125" r="N65"/>
      <c s="125" r="O65"/>
      <c s="125" r="P65"/>
      <c s="125" r="Q65"/>
      <c s="125" r="R65"/>
      <c s="125" r="S65"/>
      <c s="822" r="T65"/>
      <c t="str" s="309" r="U65">
        <f>IF((Profile!L93&gt;0),Profile!L93,"")</f>
        <v/>
      </c>
      <c t="str" s="861" r="V65">
        <f>IF((Profile!O93&gt;0),Profile!O93,"---")</f>
        <v>---</v>
      </c>
      <c t="str" s="861" r="W65">
        <f>IF((Profile!Y93=0),IF((Profile!Y92=0),"---",IF((Profile!Y94=0),"---",Profile!Y93)),Profile!Y93)</f>
        <v>---</v>
      </c>
      <c s="239" r="X65">
        <f>AB65+X64</f>
        <v>0</v>
      </c>
      <c s="796" r="Y65">
        <f>AC65+Y64</f>
        <v>0</v>
      </c>
      <c s="702" r="Z65"/>
      <c s="289" r="AA65">
        <f>IF(Profile!Y93,IF((Profile!O93=0),0,(Profile!O93-MAX(Profile!O$44:O92))),0)</f>
        <v>0</v>
      </c>
      <c s="605" r="AB65">
        <f>SIN(RADIANS(Profile!Y93))*AA65</f>
        <v>0</v>
      </c>
      <c s="605" r="AC65">
        <f>COS(RADIANS(Profile!Y93))*AA65</f>
        <v>0</v>
      </c>
      <c s="348" r="AD65">
        <f>IF((AJ$15=TRUE),X65,NA())</f>
        <v>0</v>
      </c>
      <c s="348" r="AE65">
        <f>IF((AJ$15=TRUE),Y65,NA())</f>
        <v>0</v>
      </c>
      <c t="str" s="348" r="AF65">
        <f>IF(Profile!L93,Y65,NA())</f>
        <v>#N/A:explicit</v>
      </c>
      <c s="348" r="AG65">
        <f>Profile!T93*E$40</f>
        <v>0</v>
      </c>
      <c t="str" s="348" r="AH65">
        <f>IF((AK$15=TRUE),IF(ISNUMBER(Profile!Y93),IF(ISNUMBER(Profile!Y94),(((X65+((F$63/2)*COS(RADIANS(Profile!Y94))))+(X65+((F$63/2)*COS(RADIANS(Profile!Y93)))))/2),(X65+((F$63/2)*COS(RADIANS(Profile!Y93))))),AH64),0)</f>
        <v>#VALUE!:notNumber:For input string: "---"</v>
      </c>
      <c t="str" s="348" r="AI65">
        <f>IF((AK$15=TRUE),IF(ISNUMBER(Profile!Y93),IF(ISNUMBER(Profile!Y94),(((Y65-((F$63/2)*SIN(RADIANS(Profile!Y94))))+(Y65-((F$63/2)*SIN(RADIANS(Profile!Y93)))))/2),(Y65-((F$63/2)*SIN(RADIANS(Profile!Y93))))),AI64),0)</f>
        <v>#VALUE!:notNumber:For input string: "---"</v>
      </c>
      <c t="str" s="348" r="AJ65">
        <f>IF((AK$15=TRUE),IF(ISNUMBER(Profile!Y93),IF(ISNUMBER(Profile!Y94),(((X65-((F$63/2)*COS(RADIANS(Profile!Y94))))+(X65-((F$63/2)*COS(RADIANS(Profile!Y93)))))/2),(X65-((F$63/2)*COS(RADIANS(Profile!Y93))))),AJ64),0)</f>
        <v>#VALUE!:notNumber:For input string: "---"</v>
      </c>
      <c t="str" s="799" r="AK65">
        <f>IF((AK$15=TRUE),IF(ISNUMBER(Profile!Y93),IF(ISNUMBER(Profile!Y94),(((Y65+((F$63/2)*SIN(RADIANS(Profile!Y94))))+(Y65+((F$63/2)*SIN(RADIANS(Profile!Y93)))))/2),(Y65+((F$63/2)*SIN(RADIANS(Profile!Y93))))),AK64),0)</f>
        <v>#VALUE!:notNumber:For input string: "---"</v>
      </c>
      <c s="51" r="AL65"/>
      <c s="125" r="AM65"/>
    </row>
    <row r="66">
      <c s="822" r="A66"/>
      <c s="406" r="B66"/>
      <c s="886" r="C66"/>
      <c s="886" r="D66"/>
      <c t="str" s="836" r="E66">
        <f>"amplitude "&amp;IF((AE6=2),"(m)","(ft)")</f>
        <v>amplitude (ft)</v>
      </c>
      <c t="str" s="719" r="F66">
        <f>IF((E25&gt;0),E25,"---")</f>
        <v>---</v>
      </c>
      <c s="286" r="G66"/>
      <c t="str" s="286" r="H66">
        <f>IF((G25&gt;0),G25,"---")</f>
        <v>---</v>
      </c>
      <c t="str" s="224" r="I66">
        <f>IF((H25&gt;0),H25,"---")</f>
        <v>---</v>
      </c>
      <c s="51" r="J66"/>
      <c s="125" r="K66"/>
      <c s="125" r="L66"/>
      <c s="125" r="M66"/>
      <c s="125" r="N66"/>
      <c s="125" r="O66"/>
      <c s="125" r="P66"/>
      <c s="125" r="Q66"/>
      <c s="125" r="R66"/>
      <c s="125" r="S66"/>
      <c s="822" r="T66"/>
      <c t="str" s="309" r="U66">
        <f>IF((Profile!L94&gt;0),Profile!L94,"")</f>
        <v/>
      </c>
      <c t="str" s="861" r="V66">
        <f>IF((Profile!O94&gt;0),Profile!O94,"---")</f>
        <v>---</v>
      </c>
      <c t="str" s="861" r="W66">
        <f>IF((Profile!Y94=0),IF((Profile!Y93=0),"---",IF((Profile!Y95=0),"---",Profile!Y94)),Profile!Y94)</f>
        <v>---</v>
      </c>
      <c s="239" r="X66">
        <f>AB66+X65</f>
        <v>0</v>
      </c>
      <c s="796" r="Y66">
        <f>AC66+Y65</f>
        <v>0</v>
      </c>
      <c s="702" r="Z66"/>
      <c s="289" r="AA66">
        <f>IF(Profile!Y94,IF((Profile!O94=0),0,(Profile!O94-MAX(Profile!O$44:O93))),0)</f>
        <v>0</v>
      </c>
      <c s="605" r="AB66">
        <f>SIN(RADIANS(Profile!Y94))*AA66</f>
        <v>0</v>
      </c>
      <c s="605" r="AC66">
        <f>COS(RADIANS(Profile!Y94))*AA66</f>
        <v>0</v>
      </c>
      <c s="348" r="AD66">
        <f>IF((AJ$15=TRUE),X66,NA())</f>
        <v>0</v>
      </c>
      <c s="348" r="AE66">
        <f>IF((AJ$15=TRUE),Y66,NA())</f>
        <v>0</v>
      </c>
      <c t="str" s="348" r="AF66">
        <f>IF(Profile!L94,Y66,NA())</f>
        <v>#N/A:explicit</v>
      </c>
      <c s="348" r="AG66">
        <f>Profile!T94*E$40</f>
        <v>0</v>
      </c>
      <c t="str" s="348" r="AH66">
        <f>IF((AK$15=TRUE),IF(ISNUMBER(Profile!Y94),IF(ISNUMBER(Profile!Y95),(((X66+((F$63/2)*COS(RADIANS(Profile!Y95))))+(X66+((F$63/2)*COS(RADIANS(Profile!Y94)))))/2),(X66+((F$63/2)*COS(RADIANS(Profile!Y94))))),AH65),0)</f>
        <v>#VALUE!:notNumber:For input string: "---"</v>
      </c>
      <c t="str" s="348" r="AI66">
        <f>IF((AK$15=TRUE),IF(ISNUMBER(Profile!Y94),IF(ISNUMBER(Profile!Y95),(((Y66-((F$63/2)*SIN(RADIANS(Profile!Y95))))+(Y66-((F$63/2)*SIN(RADIANS(Profile!Y94)))))/2),(Y66-((F$63/2)*SIN(RADIANS(Profile!Y94))))),AI65),0)</f>
        <v>#VALUE!:notNumber:For input string: "---"</v>
      </c>
      <c t="str" s="348" r="AJ66">
        <f>IF((AK$15=TRUE),IF(ISNUMBER(Profile!Y94),IF(ISNUMBER(Profile!Y95),(((X66-((F$63/2)*COS(RADIANS(Profile!Y95))))+(X66-((F$63/2)*COS(RADIANS(Profile!Y94)))))/2),(X66-((F$63/2)*COS(RADIANS(Profile!Y94))))),AJ65),0)</f>
        <v>#VALUE!:notNumber:For input string: "---"</v>
      </c>
      <c t="str" s="799" r="AK66">
        <f>IF((AK$15=TRUE),IF(ISNUMBER(Profile!Y94),IF(ISNUMBER(Profile!Y95),(((Y66+((F$63/2)*SIN(RADIANS(Profile!Y95))))+(Y66+((F$63/2)*SIN(RADIANS(Profile!Y94)))))/2),(Y66+((F$63/2)*SIN(RADIANS(Profile!Y94))))),AK65),0)</f>
        <v>#VALUE!:notNumber:For input string: "---"</v>
      </c>
      <c s="51" r="AL66"/>
      <c s="125" r="AM66"/>
    </row>
    <row r="67">
      <c s="822" r="A67"/>
      <c s="406" r="B67"/>
      <c s="886" r="C67"/>
      <c s="886" r="D67"/>
      <c t="str" s="836" r="E67">
        <f>"radius "&amp;IF((AE6=2),"(m)","(ft)")</f>
        <v>radius (ft)</v>
      </c>
      <c t="str" s="719" r="F67">
        <f>IF((E29&gt;0),E29,"---")</f>
        <v>---</v>
      </c>
      <c s="286" r="G67"/>
      <c t="str" s="286" r="H67">
        <f>IF((G29&gt;0),G29,"---")</f>
        <v>---</v>
      </c>
      <c t="str" s="224" r="I67">
        <f>IF((H29&gt;0),H29,"---")</f>
        <v>---</v>
      </c>
      <c s="51" r="J67"/>
      <c s="125" r="K67"/>
      <c s="125" r="L67"/>
      <c s="125" r="M67"/>
      <c s="125" r="N67"/>
      <c s="125" r="O67"/>
      <c s="125" r="P67"/>
      <c s="125" r="Q67"/>
      <c s="125" r="R67"/>
      <c s="125" r="S67"/>
      <c s="822" r="T67"/>
      <c t="str" s="309" r="U67">
        <f>IF((Profile!L95&gt;0),Profile!L95,"")</f>
        <v/>
      </c>
      <c t="str" s="861" r="V67">
        <f>IF((Profile!O95&gt;0),Profile!O95,"---")</f>
        <v>---</v>
      </c>
      <c t="str" s="861" r="W67">
        <f>IF((Profile!Y95=0),IF((Profile!Y94=0),"---",IF((Profile!Y96=0),"---",Profile!Y95)),Profile!Y95)</f>
        <v>---</v>
      </c>
      <c s="239" r="X67">
        <f>AB67+X66</f>
        <v>0</v>
      </c>
      <c s="796" r="Y67">
        <f>AC67+Y66</f>
        <v>0</v>
      </c>
      <c s="702" r="Z67"/>
      <c s="289" r="AA67">
        <f>IF(Profile!Y95,IF((Profile!O95=0),0,(Profile!O95-MAX(Profile!O$44:O94))),0)</f>
        <v>0</v>
      </c>
      <c s="605" r="AB67">
        <f>SIN(RADIANS(Profile!Y95))*AA67</f>
        <v>0</v>
      </c>
      <c s="605" r="AC67">
        <f>COS(RADIANS(Profile!Y95))*AA67</f>
        <v>0</v>
      </c>
      <c s="348" r="AD67">
        <f>IF((AJ$15=TRUE),X67,NA())</f>
        <v>0</v>
      </c>
      <c s="348" r="AE67">
        <f>IF((AJ$15=TRUE),Y67,NA())</f>
        <v>0</v>
      </c>
      <c t="str" s="348" r="AF67">
        <f>IF(Profile!L95,Y67,NA())</f>
        <v>#N/A:explicit</v>
      </c>
      <c s="348" r="AG67">
        <f>Profile!T95*E$40</f>
        <v>0</v>
      </c>
      <c t="str" s="348" r="AH67">
        <f>IF((AK$15=TRUE),IF(ISNUMBER(Profile!Y95),IF(ISNUMBER(Profile!Y96),(((X67+((F$63/2)*COS(RADIANS(Profile!Y96))))+(X67+((F$63/2)*COS(RADIANS(Profile!Y95)))))/2),(X67+((F$63/2)*COS(RADIANS(Profile!Y95))))),AH66),0)</f>
        <v>#VALUE!:notNumber:For input string: "---"</v>
      </c>
      <c t="str" s="348" r="AI67">
        <f>IF((AK$15=TRUE),IF(ISNUMBER(Profile!Y95),IF(ISNUMBER(Profile!Y96),(((Y67-((F$63/2)*SIN(RADIANS(Profile!Y96))))+(Y67-((F$63/2)*SIN(RADIANS(Profile!Y95)))))/2),(Y67-((F$63/2)*SIN(RADIANS(Profile!Y95))))),AI66),0)</f>
        <v>#VALUE!:notNumber:For input string: "---"</v>
      </c>
      <c t="str" s="348" r="AJ67">
        <f>IF((AK$15=TRUE),IF(ISNUMBER(Profile!Y95),IF(ISNUMBER(Profile!Y96),(((X67-((F$63/2)*COS(RADIANS(Profile!Y96))))+(X67-((F$63/2)*COS(RADIANS(Profile!Y95)))))/2),(X67-((F$63/2)*COS(RADIANS(Profile!Y95))))),AJ66),0)</f>
        <v>#VALUE!:notNumber:For input string: "---"</v>
      </c>
      <c t="str" s="799" r="AK67">
        <f>IF((AK$15=TRUE),IF(ISNUMBER(Profile!Y95),IF(ISNUMBER(Profile!Y96),(((Y67+((F$63/2)*SIN(RADIANS(Profile!Y96))))+(Y67+((F$63/2)*SIN(RADIANS(Profile!Y95)))))/2),(Y67+((F$63/2)*SIN(RADIANS(Profile!Y95))))),AK66),0)</f>
        <v>#VALUE!:notNumber:For input string: "---"</v>
      </c>
      <c s="51" r="AL67"/>
      <c s="125" r="AM67"/>
    </row>
    <row r="68">
      <c s="822" r="A68"/>
      <c s="406" r="B68"/>
      <c s="886" r="C68"/>
      <c s="886" r="D68"/>
      <c t="s" s="836" r="E68">
        <v>121</v>
      </c>
      <c t="str" s="719" r="F68">
        <f>IF((E31&gt;0),E31,"---")</f>
        <v>---</v>
      </c>
      <c s="286" r="G68"/>
      <c t="str" s="286" r="H68">
        <f>IF((G31&gt;0),G31,"---")</f>
        <v>---</v>
      </c>
      <c t="str" s="224" r="I68">
        <f>IF((H31&gt;0),H31,"---")</f>
        <v>---</v>
      </c>
      <c s="51" r="J68"/>
      <c s="125" r="K68"/>
      <c s="125" r="L68"/>
      <c s="125" r="M68"/>
      <c s="125" r="N68"/>
      <c s="125" r="O68"/>
      <c s="125" r="P68"/>
      <c s="125" r="Q68"/>
      <c s="125" r="R68"/>
      <c s="125" r="S68"/>
      <c s="822" r="T68"/>
      <c t="str" s="309" r="U68">
        <f>IF((Profile!L96&gt;0),Profile!L96,"")</f>
        <v/>
      </c>
      <c t="str" s="861" r="V68">
        <f>IF((Profile!O96&gt;0),Profile!O96,"---")</f>
        <v>---</v>
      </c>
      <c t="str" s="861" r="W68">
        <f>IF((Profile!Y96=0),IF((Profile!Y95=0),"---",IF((Profile!Y97=0),"---",Profile!Y96)),Profile!Y96)</f>
        <v>---</v>
      </c>
      <c s="239" r="X68">
        <f>AB68+X67</f>
        <v>0</v>
      </c>
      <c s="796" r="Y68">
        <f>AC68+Y67</f>
        <v>0</v>
      </c>
      <c s="702" r="Z68"/>
      <c s="289" r="AA68">
        <f>IF(Profile!Y96,IF((Profile!O96=0),0,(Profile!O96-MAX(Profile!O$44:O95))),0)</f>
        <v>0</v>
      </c>
      <c s="605" r="AB68">
        <f>SIN(RADIANS(Profile!Y96))*AA68</f>
        <v>0</v>
      </c>
      <c s="605" r="AC68">
        <f>COS(RADIANS(Profile!Y96))*AA68</f>
        <v>0</v>
      </c>
      <c s="348" r="AD68">
        <f>IF((AJ$15=TRUE),X68,NA())</f>
        <v>0</v>
      </c>
      <c s="348" r="AE68">
        <f>IF((AJ$15=TRUE),Y68,NA())</f>
        <v>0</v>
      </c>
      <c t="str" s="348" r="AF68">
        <f>IF(Profile!L96,Y68,NA())</f>
        <v>#N/A:explicit</v>
      </c>
      <c s="348" r="AG68">
        <f>Profile!T96*E$40</f>
        <v>0</v>
      </c>
      <c t="str" s="348" r="AH68">
        <f>IF((AK$15=TRUE),IF(ISNUMBER(Profile!Y96),IF(ISNUMBER(Profile!Y97),(((X68+((F$63/2)*COS(RADIANS(Profile!Y97))))+(X68+((F$63/2)*COS(RADIANS(Profile!Y96)))))/2),(X68+((F$63/2)*COS(RADIANS(Profile!Y96))))),AH67),0)</f>
        <v>#VALUE!:notNumber:For input string: "---"</v>
      </c>
      <c t="str" s="348" r="AI68">
        <f>IF((AK$15=TRUE),IF(ISNUMBER(Profile!Y96),IF(ISNUMBER(Profile!Y97),(((Y68-((F$63/2)*SIN(RADIANS(Profile!Y97))))+(Y68-((F$63/2)*SIN(RADIANS(Profile!Y96)))))/2),(Y68-((F$63/2)*SIN(RADIANS(Profile!Y96))))),AI67),0)</f>
        <v>#VALUE!:notNumber:For input string: "---"</v>
      </c>
      <c t="str" s="348" r="AJ68">
        <f>IF((AK$15=TRUE),IF(ISNUMBER(Profile!Y96),IF(ISNUMBER(Profile!Y97),(((X68-((F$63/2)*COS(RADIANS(Profile!Y97))))+(X68-((F$63/2)*COS(RADIANS(Profile!Y96)))))/2),(X68-((F$63/2)*COS(RADIANS(Profile!Y96))))),AJ67),0)</f>
        <v>#VALUE!:notNumber:For input string: "---"</v>
      </c>
      <c t="str" s="799" r="AK68">
        <f>IF((AK$15=TRUE),IF(ISNUMBER(Profile!Y96),IF(ISNUMBER(Profile!Y97),(((Y68+((F$63/2)*SIN(RADIANS(Profile!Y97))))+(Y68+((F$63/2)*SIN(RADIANS(Profile!Y96)))))/2),(Y68+((F$63/2)*SIN(RADIANS(Profile!Y96))))),AK67),0)</f>
        <v>#VALUE!:notNumber:For input string: "---"</v>
      </c>
      <c s="51" r="AL68"/>
      <c s="125" r="AM68"/>
    </row>
    <row r="69">
      <c s="822" r="A69"/>
      <c s="406" r="B69"/>
      <c s="886" r="C69"/>
      <c s="886" r="D69"/>
      <c t="str" s="836" r="E69">
        <f>"stream length "&amp;IF((AE6=2),"(m)","(ft)")</f>
        <v>stream length (ft)</v>
      </c>
      <c t="str" s="719" r="F69">
        <f>IF(ISNUMBER(E35),E35,IF(ISNUMBER(F35),F35,"---"))</f>
        <v>---</v>
      </c>
      <c s="52" r="G69"/>
      <c s="52" r="H69"/>
      <c s="328" r="I69"/>
      <c s="51" r="J69"/>
      <c s="125" r="K69"/>
      <c s="125" r="L69"/>
      <c s="125" r="M69"/>
      <c s="125" r="N69"/>
      <c s="125" r="O69"/>
      <c s="125" r="P69"/>
      <c s="125" r="Q69"/>
      <c s="125" r="R69"/>
      <c s="125" r="S69"/>
      <c s="822" r="T69"/>
      <c t="str" s="309" r="U69">
        <f>IF((Profile!L97&gt;0),Profile!L97,"")</f>
        <v/>
      </c>
      <c t="str" s="861" r="V69">
        <f>IF((Profile!O97&gt;0),Profile!O97,"---")</f>
        <v>---</v>
      </c>
      <c t="str" s="861" r="W69">
        <f>IF((Profile!Y97=0),IF((Profile!Y96=0),"---",IF((Profile!Y98=0),"---",Profile!Y97)),Profile!Y97)</f>
        <v>---</v>
      </c>
      <c s="239" r="X69">
        <f>AB69+X68</f>
        <v>0</v>
      </c>
      <c s="796" r="Y69">
        <f>AC69+Y68</f>
        <v>0</v>
      </c>
      <c s="702" r="Z69"/>
      <c s="289" r="AA69">
        <f>IF(Profile!Y97,IF((Profile!O97=0),0,(Profile!O97-MAX(Profile!O$44:O96))),0)</f>
        <v>0</v>
      </c>
      <c s="605" r="AB69">
        <f>SIN(RADIANS(Profile!Y97))*AA69</f>
        <v>0</v>
      </c>
      <c s="605" r="AC69">
        <f>COS(RADIANS(Profile!Y97))*AA69</f>
        <v>0</v>
      </c>
      <c s="348" r="AD69">
        <f>IF((AJ$15=TRUE),X69,NA())</f>
        <v>0</v>
      </c>
      <c s="348" r="AE69">
        <f>IF((AJ$15=TRUE),Y69,NA())</f>
        <v>0</v>
      </c>
      <c t="str" s="348" r="AF69">
        <f>IF(Profile!L97,Y69,NA())</f>
        <v>#N/A:explicit</v>
      </c>
      <c s="348" r="AG69">
        <f>Profile!T97*E$40</f>
        <v>0</v>
      </c>
      <c t="str" s="348" r="AH69">
        <f>IF((AK$15=TRUE),IF(ISNUMBER(Profile!Y97),IF(ISNUMBER(Profile!Y98),(((X69+((F$63/2)*COS(RADIANS(Profile!Y98))))+(X69+((F$63/2)*COS(RADIANS(Profile!Y97)))))/2),(X69+((F$63/2)*COS(RADIANS(Profile!Y97))))),AH68),0)</f>
        <v>#VALUE!:notNumber:For input string: "---"</v>
      </c>
      <c t="str" s="348" r="AI69">
        <f>IF((AK$15=TRUE),IF(ISNUMBER(Profile!Y97),IF(ISNUMBER(Profile!Y98),(((Y69-((F$63/2)*SIN(RADIANS(Profile!Y98))))+(Y69-((F$63/2)*SIN(RADIANS(Profile!Y97)))))/2),(Y69-((F$63/2)*SIN(RADIANS(Profile!Y97))))),AI68),0)</f>
        <v>#VALUE!:notNumber:For input string: "---"</v>
      </c>
      <c t="str" s="348" r="AJ69">
        <f>IF((AK$15=TRUE),IF(ISNUMBER(Profile!Y97),IF(ISNUMBER(Profile!Y98),(((X69-((F$63/2)*COS(RADIANS(Profile!Y98))))+(X69-((F$63/2)*COS(RADIANS(Profile!Y97)))))/2),(X69-((F$63/2)*COS(RADIANS(Profile!Y97))))),AJ68),0)</f>
        <v>#VALUE!:notNumber:For input string: "---"</v>
      </c>
      <c t="str" s="799" r="AK69">
        <f>IF((AK$15=TRUE),IF(ISNUMBER(Profile!Y97),IF(ISNUMBER(Profile!Y98),(((Y69+((F$63/2)*SIN(RADIANS(Profile!Y98))))+(Y69+((F$63/2)*SIN(RADIANS(Profile!Y97)))))/2),(Y69+((F$63/2)*SIN(RADIANS(Profile!Y97))))),AK68),0)</f>
        <v>#VALUE!:notNumber:For input string: "---"</v>
      </c>
      <c s="51" r="AL69"/>
      <c s="125" r="AM69"/>
    </row>
    <row customHeight="1" r="70" ht="13.5">
      <c s="822" r="A70"/>
      <c s="157" r="B70"/>
      <c s="628" r="C70"/>
      <c s="628" r="D70"/>
      <c t="str" s="404" r="E70">
        <f>"valley length "&amp;IF((AE6=2),"(m)","(ft)")</f>
        <v>valley length (ft)</v>
      </c>
      <c t="str" s="526" r="F70">
        <f>IF(ISNUMBER(E37),E37,IF(ISNUMBER(F37),F37,"---"))</f>
        <v>---</v>
      </c>
      <c s="912" r="G70"/>
      <c s="912" r="H70"/>
      <c s="66" r="I70"/>
      <c s="51" r="J70"/>
      <c s="125" r="K70"/>
      <c s="125" r="L70"/>
      <c s="125" r="M70"/>
      <c s="125" r="N70"/>
      <c s="125" r="O70"/>
      <c s="125" r="P70"/>
      <c s="125" r="Q70"/>
      <c s="125" r="R70"/>
      <c s="125" r="S70"/>
      <c s="822" r="T70"/>
      <c t="str" s="309" r="U70">
        <f>IF((Profile!L98&gt;0),Profile!L98,"")</f>
        <v/>
      </c>
      <c t="str" s="861" r="V70">
        <f>IF((Profile!O98&gt;0),Profile!O98,"---")</f>
        <v>---</v>
      </c>
      <c t="str" s="861" r="W70">
        <f>IF((Profile!Y98=0),IF((Profile!Y97=0),"---",IF((Profile!Y99=0),"---",Profile!Y98)),Profile!Y98)</f>
        <v>---</v>
      </c>
      <c s="239" r="X70">
        <f>AB70+X69</f>
        <v>0</v>
      </c>
      <c s="796" r="Y70">
        <f>AC70+Y69</f>
        <v>0</v>
      </c>
      <c s="702" r="Z70"/>
      <c s="289" r="AA70">
        <f>IF(Profile!Y98,IF((Profile!O98=0),0,(Profile!O98-MAX(Profile!O$44:O97))),0)</f>
        <v>0</v>
      </c>
      <c s="605" r="AB70">
        <f>SIN(RADIANS(Profile!Y98))*AA70</f>
        <v>0</v>
      </c>
      <c s="605" r="AC70">
        <f>COS(RADIANS(Profile!Y98))*AA70</f>
        <v>0</v>
      </c>
      <c s="348" r="AD70">
        <f>IF((AJ$15=TRUE),X70,NA())</f>
        <v>0</v>
      </c>
      <c s="348" r="AE70">
        <f>IF((AJ$15=TRUE),Y70,NA())</f>
        <v>0</v>
      </c>
      <c t="str" s="348" r="AF70">
        <f>IF(Profile!L98,Y70,NA())</f>
        <v>#N/A:explicit</v>
      </c>
      <c s="348" r="AG70">
        <f>Profile!T98*E$40</f>
        <v>0</v>
      </c>
      <c t="str" s="348" r="AH70">
        <f>IF((AK$15=TRUE),IF(ISNUMBER(Profile!Y98),IF(ISNUMBER(Profile!Y99),(((X70+((F$63/2)*COS(RADIANS(Profile!Y99))))+(X70+((F$63/2)*COS(RADIANS(Profile!Y98)))))/2),(X70+((F$63/2)*COS(RADIANS(Profile!Y98))))),AH69),0)</f>
        <v>#VALUE!:notNumber:For input string: "---"</v>
      </c>
      <c t="str" s="348" r="AI70">
        <f>IF((AK$15=TRUE),IF(ISNUMBER(Profile!Y98),IF(ISNUMBER(Profile!Y99),(((Y70-((F$63/2)*SIN(RADIANS(Profile!Y99))))+(Y70-((F$63/2)*SIN(RADIANS(Profile!Y98)))))/2),(Y70-((F$63/2)*SIN(RADIANS(Profile!Y98))))),AI69),0)</f>
        <v>#VALUE!:notNumber:For input string: "---"</v>
      </c>
      <c t="str" s="348" r="AJ70">
        <f>IF((AK$15=TRUE),IF(ISNUMBER(Profile!Y98),IF(ISNUMBER(Profile!Y99),(((X70-((F$63/2)*COS(RADIANS(Profile!Y99))))+(X70-((F$63/2)*COS(RADIANS(Profile!Y98)))))/2),(X70-((F$63/2)*COS(RADIANS(Profile!Y98))))),AJ69),0)</f>
        <v>#VALUE!:notNumber:For input string: "---"</v>
      </c>
      <c t="str" s="799" r="AK70">
        <f>IF((AK$15=TRUE),IF(ISNUMBER(Profile!Y98),IF(ISNUMBER(Profile!Y99),(((Y70+((F$63/2)*SIN(RADIANS(Profile!Y99))))+(Y70+((F$63/2)*SIN(RADIANS(Profile!Y98)))))/2),(Y70+((F$63/2)*SIN(RADIANS(Profile!Y98))))),AK69),0)</f>
        <v>#VALUE!:notNumber:For input string: "---"</v>
      </c>
      <c s="51" r="AL70"/>
      <c s="125" r="AM70"/>
    </row>
    <row r="71">
      <c s="822" r="A71"/>
      <c s="332" r="B71"/>
      <c s="149" r="C71"/>
      <c s="149" r="D71"/>
      <c t="s" s="737" r="E71">
        <v>125</v>
      </c>
      <c t="str" s="527" r="F71">
        <f>IF(ISNUMBER((F69/F70)),(F69/F70),"---")</f>
        <v>---</v>
      </c>
      <c s="2" r="G71"/>
      <c s="2" r="H71"/>
      <c s="96" r="I71"/>
      <c s="51" r="J71"/>
      <c s="125" r="K71"/>
      <c s="125" r="L71"/>
      <c s="125" r="M71"/>
      <c s="125" r="N71"/>
      <c s="125" r="O71"/>
      <c s="125" r="P71"/>
      <c s="125" r="Q71"/>
      <c s="125" r="R71"/>
      <c s="125" r="S71"/>
      <c s="822" r="T71"/>
      <c t="str" s="309" r="U71">
        <f>IF((Profile!L99&gt;0),Profile!L99,"")</f>
        <v/>
      </c>
      <c t="str" s="861" r="V71">
        <f>IF((Profile!O99&gt;0),Profile!O99,"---")</f>
        <v>---</v>
      </c>
      <c t="str" s="861" r="W71">
        <f>IF((Profile!Y99=0),IF((Profile!Y98=0),"---",IF((Profile!Y100=0),"---",Profile!Y99)),Profile!Y99)</f>
        <v>---</v>
      </c>
      <c s="239" r="X71">
        <f>AB71+X70</f>
        <v>0</v>
      </c>
      <c s="796" r="Y71">
        <f>AC71+Y70</f>
        <v>0</v>
      </c>
      <c s="702" r="Z71"/>
      <c s="289" r="AA71">
        <f>IF(Profile!Y99,IF((Profile!O99=0),0,(Profile!O99-MAX(Profile!O$44:O98))),0)</f>
        <v>0</v>
      </c>
      <c s="605" r="AB71">
        <f>SIN(RADIANS(Profile!Y99))*AA71</f>
        <v>0</v>
      </c>
      <c s="605" r="AC71">
        <f>COS(RADIANS(Profile!Y99))*AA71</f>
        <v>0</v>
      </c>
      <c s="348" r="AD71">
        <f>IF((AJ$15=TRUE),X71,NA())</f>
        <v>0</v>
      </c>
      <c s="348" r="AE71">
        <f>IF((AJ$15=TRUE),Y71,NA())</f>
        <v>0</v>
      </c>
      <c t="str" s="348" r="AF71">
        <f>IF(Profile!L99,Y71,NA())</f>
        <v>#N/A:explicit</v>
      </c>
      <c s="348" r="AG71">
        <f>Profile!T99*E$40</f>
        <v>0</v>
      </c>
      <c t="str" s="348" r="AH71">
        <f>IF((AK$15=TRUE),IF(ISNUMBER(Profile!Y99),IF(ISNUMBER(Profile!Y100),(((X71+((F$63/2)*COS(RADIANS(Profile!Y100))))+(X71+((F$63/2)*COS(RADIANS(Profile!Y99)))))/2),(X71+((F$63/2)*COS(RADIANS(Profile!Y99))))),AH70),0)</f>
        <v>#VALUE!:notNumber:For input string: "---"</v>
      </c>
      <c t="str" s="348" r="AI71">
        <f>IF((AK$15=TRUE),IF(ISNUMBER(Profile!Y99),IF(ISNUMBER(Profile!Y100),(((Y71-((F$63/2)*SIN(RADIANS(Profile!Y100))))+(Y71-((F$63/2)*SIN(RADIANS(Profile!Y99)))))/2),(Y71-((F$63/2)*SIN(RADIANS(Profile!Y99))))),AI70),0)</f>
        <v>#VALUE!:notNumber:For input string: "---"</v>
      </c>
      <c t="str" s="348" r="AJ71">
        <f>IF((AK$15=TRUE),IF(ISNUMBER(Profile!Y99),IF(ISNUMBER(Profile!Y100),(((X71-((F$63/2)*COS(RADIANS(Profile!Y100))))+(X71-((F$63/2)*COS(RADIANS(Profile!Y99)))))/2),(X71-((F$63/2)*COS(RADIANS(Profile!Y99))))),AJ70),0)</f>
        <v>#VALUE!:notNumber:For input string: "---"</v>
      </c>
      <c t="str" s="799" r="AK71">
        <f>IF((AK$15=TRUE),IF(ISNUMBER(Profile!Y99),IF(ISNUMBER(Profile!Y100),(((Y71+((F$63/2)*SIN(RADIANS(Profile!Y100))))+(Y71+((F$63/2)*SIN(RADIANS(Profile!Y99)))))/2),(Y71+((F$63/2)*SIN(RADIANS(Profile!Y99))))),AK70),0)</f>
        <v>#VALUE!:notNumber:For input string: "---"</v>
      </c>
      <c s="51" r="AL71"/>
      <c s="125" r="AM71"/>
    </row>
    <row r="72">
      <c s="822" r="A72"/>
      <c s="406" r="B72"/>
      <c s="886" r="C72"/>
      <c s="886" r="D72"/>
      <c t="s" s="599" r="E72">
        <v>127</v>
      </c>
      <c t="str" s="719" r="F72">
        <f>IF(ISNUMBER((F64/$F$63)),ROUND((F64/$F$63),1),"---")</f>
        <v>---</v>
      </c>
      <c s="286" r="G72"/>
      <c t="str" s="286" r="H72">
        <f>IF(AND(ISNUMBER($F$63),ISNUMBER(H64)),ROUND((H64/$F$63),1),"---")</f>
        <v>---</v>
      </c>
      <c t="str" s="224" r="I72">
        <f>IF(AND(ISNUMBER($F$63),ISNUMBER(I64)),ROUND((I64/$F$63),1),"---")</f>
        <v>---</v>
      </c>
      <c s="51" r="J72"/>
      <c s="125" r="K72"/>
      <c s="125" r="L72"/>
      <c s="125" r="M72"/>
      <c s="125" r="N72"/>
      <c s="125" r="O72"/>
      <c s="125" r="P72"/>
      <c s="125" r="Q72"/>
      <c s="125" r="R72"/>
      <c s="125" r="S72"/>
      <c s="822" r="T72"/>
      <c t="str" s="309" r="U72">
        <f>IF((Profile!L100&gt;0),Profile!L100,"")</f>
        <v/>
      </c>
      <c t="str" s="861" r="V72">
        <f>IF((Profile!O100&gt;0),Profile!O100,"---")</f>
        <v>---</v>
      </c>
      <c t="str" s="861" r="W72">
        <f>IF((Profile!Y100=0),IF((Profile!Y99=0),"---",IF((Profile!Y101=0),"---",Profile!Y100)),Profile!Y100)</f>
        <v>---</v>
      </c>
      <c s="239" r="X72">
        <f>AB72+X71</f>
        <v>0</v>
      </c>
      <c s="796" r="Y72">
        <f>AC72+Y71</f>
        <v>0</v>
      </c>
      <c s="702" r="Z72"/>
      <c s="289" r="AA72">
        <f>IF(Profile!Y100,IF((Profile!O100=0),0,(Profile!O100-MAX(Profile!O$44:O99))),0)</f>
        <v>0</v>
      </c>
      <c s="605" r="AB72">
        <f>SIN(RADIANS(Profile!Y100))*AA72</f>
        <v>0</v>
      </c>
      <c s="605" r="AC72">
        <f>COS(RADIANS(Profile!Y100))*AA72</f>
        <v>0</v>
      </c>
      <c s="348" r="AD72">
        <f>IF((AJ$15=TRUE),X72,NA())</f>
        <v>0</v>
      </c>
      <c s="348" r="AE72">
        <f>IF((AJ$15=TRUE),Y72,NA())</f>
        <v>0</v>
      </c>
      <c t="str" s="348" r="AF72">
        <f>IF(Profile!L100,Y72,NA())</f>
        <v>#N/A:explicit</v>
      </c>
      <c s="348" r="AG72">
        <f>Profile!T100*E$40</f>
        <v>0</v>
      </c>
      <c t="str" s="348" r="AH72">
        <f>IF((AK$15=TRUE),IF(ISNUMBER(Profile!Y100),IF(ISNUMBER(Profile!Y101),(((X72+((F$63/2)*COS(RADIANS(Profile!Y101))))+(X72+((F$63/2)*COS(RADIANS(Profile!Y100)))))/2),(X72+((F$63/2)*COS(RADIANS(Profile!Y100))))),AH71),0)</f>
        <v>#VALUE!:notNumber:For input string: "---"</v>
      </c>
      <c t="str" s="348" r="AI72">
        <f>IF((AK$15=TRUE),IF(ISNUMBER(Profile!Y100),IF(ISNUMBER(Profile!Y101),(((Y72-((F$63/2)*SIN(RADIANS(Profile!Y101))))+(Y72-((F$63/2)*SIN(RADIANS(Profile!Y100)))))/2),(Y72-((F$63/2)*SIN(RADIANS(Profile!Y100))))),AI71),0)</f>
        <v>#VALUE!:notNumber:For input string: "---"</v>
      </c>
      <c t="str" s="348" r="AJ72">
        <f>IF((AK$15=TRUE),IF(ISNUMBER(Profile!Y100),IF(ISNUMBER(Profile!Y101),(((X72-((F$63/2)*COS(RADIANS(Profile!Y101))))+(X72-((F$63/2)*COS(RADIANS(Profile!Y100)))))/2),(X72-((F$63/2)*COS(RADIANS(Profile!Y100))))),AJ71),0)</f>
        <v>#VALUE!:notNumber:For input string: "---"</v>
      </c>
      <c t="str" s="799" r="AK72">
        <f>IF((AK$15=TRUE),IF(ISNUMBER(Profile!Y100),IF(ISNUMBER(Profile!Y101),(((Y72+((F$63/2)*SIN(RADIANS(Profile!Y101))))+(Y72+((F$63/2)*SIN(RADIANS(Profile!Y100)))))/2),(Y72+((F$63/2)*SIN(RADIANS(Profile!Y100))))),AK71),0)</f>
        <v>#VALUE!:notNumber:For input string: "---"</v>
      </c>
      <c s="51" r="AL72"/>
      <c s="125" r="AM72"/>
    </row>
    <row r="73">
      <c s="822" r="A73"/>
      <c s="406" r="B73"/>
      <c s="886" r="C73"/>
      <c s="886" r="D73"/>
      <c t="s" s="599" r="E73">
        <v>129</v>
      </c>
      <c t="str" s="719" r="F73">
        <f>IF(ISNUMBER((F65/$F$63)),ROUND((F65/$F$63),1),"---")</f>
        <v>---</v>
      </c>
      <c s="286" r="G73"/>
      <c t="str" s="286" r="H73">
        <f>IF(AND(ISNUMBER($F$63),ISNUMBER(H65)),ROUND((H65/$F$63),1),"---")</f>
        <v>---</v>
      </c>
      <c t="str" s="224" r="I73">
        <f>IF(AND(ISNUMBER($F$63),ISNUMBER(I65)),ROUND((I65/$F$63),1),"---")</f>
        <v>---</v>
      </c>
      <c s="51" r="J73"/>
      <c s="125" r="K73"/>
      <c s="125" r="L73"/>
      <c s="125" r="M73"/>
      <c s="125" r="N73"/>
      <c s="125" r="O73"/>
      <c s="125" r="P73"/>
      <c s="125" r="Q73"/>
      <c s="125" r="R73"/>
      <c s="125" r="S73"/>
      <c s="822" r="T73"/>
      <c t="str" s="309" r="U73">
        <f>IF((Profile!L101&gt;0),Profile!L101,"")</f>
        <v/>
      </c>
      <c t="str" s="861" r="V73">
        <f>IF((Profile!O101&gt;0),Profile!O101,"---")</f>
        <v>---</v>
      </c>
      <c t="str" s="861" r="W73">
        <f>IF((Profile!Y101=0),IF((Profile!Y100=0),"---",IF((Profile!Y102=0),"---",Profile!Y101)),Profile!Y101)</f>
        <v>---</v>
      </c>
      <c s="239" r="X73">
        <f>AB73+X72</f>
        <v>0</v>
      </c>
      <c s="796" r="Y73">
        <f>AC73+Y72</f>
        <v>0</v>
      </c>
      <c s="702" r="Z73"/>
      <c s="289" r="AA73">
        <f>IF(Profile!Y101,IF((Profile!O101=0),0,(Profile!O101-MAX(Profile!O$44:O100))),0)</f>
        <v>0</v>
      </c>
      <c s="605" r="AB73">
        <f>SIN(RADIANS(Profile!Y101))*AA73</f>
        <v>0</v>
      </c>
      <c s="605" r="AC73">
        <f>COS(RADIANS(Profile!Y101))*AA73</f>
        <v>0</v>
      </c>
      <c s="348" r="AD73">
        <f>IF((AJ$15=TRUE),X73,NA())</f>
        <v>0</v>
      </c>
      <c s="348" r="AE73">
        <f>IF((AJ$15=TRUE),Y73,NA())</f>
        <v>0</v>
      </c>
      <c t="str" s="348" r="AF73">
        <f>IF(Profile!L101,Y73,NA())</f>
        <v>#N/A:explicit</v>
      </c>
      <c s="348" r="AG73">
        <f>Profile!T101*E$40</f>
        <v>0</v>
      </c>
      <c t="str" s="348" r="AH73">
        <f>IF((AK$15=TRUE),IF(ISNUMBER(Profile!Y101),IF(ISNUMBER(Profile!Y102),(((X73+((F$63/2)*COS(RADIANS(Profile!Y102))))+(X73+((F$63/2)*COS(RADIANS(Profile!Y101)))))/2),(X73+((F$63/2)*COS(RADIANS(Profile!Y101))))),AH72),0)</f>
        <v>#VALUE!:notNumber:For input string: "---"</v>
      </c>
      <c t="str" s="348" r="AI73">
        <f>IF((AK$15=TRUE),IF(ISNUMBER(Profile!Y101),IF(ISNUMBER(Profile!Y102),(((Y73-((F$63/2)*SIN(RADIANS(Profile!Y102))))+(Y73-((F$63/2)*SIN(RADIANS(Profile!Y101)))))/2),(Y73-((F$63/2)*SIN(RADIANS(Profile!Y101))))),AI72),0)</f>
        <v>#VALUE!:notNumber:For input string: "---"</v>
      </c>
      <c t="str" s="348" r="AJ73">
        <f>IF((AK$15=TRUE),IF(ISNUMBER(Profile!Y101),IF(ISNUMBER(Profile!Y102),(((X73-((F$63/2)*COS(RADIANS(Profile!Y102))))+(X73-((F$63/2)*COS(RADIANS(Profile!Y101)))))/2),(X73-((F$63/2)*COS(RADIANS(Profile!Y101))))),AJ72),0)</f>
        <v>#VALUE!:notNumber:For input string: "---"</v>
      </c>
      <c t="str" s="799" r="AK73">
        <f>IF((AK$15=TRUE),IF(ISNUMBER(Profile!Y101),IF(ISNUMBER(Profile!Y102),(((Y73+((F$63/2)*SIN(RADIANS(Profile!Y102))))+(Y73+((F$63/2)*SIN(RADIANS(Profile!Y101)))))/2),(Y73+((F$63/2)*SIN(RADIANS(Profile!Y101))))),AK72),0)</f>
        <v>#VALUE!:notNumber:For input string: "---"</v>
      </c>
      <c s="51" r="AL73"/>
      <c s="125" r="AM73"/>
    </row>
    <row customHeight="1" r="74" ht="13.5">
      <c s="822" r="A74"/>
      <c s="695" r="B74"/>
      <c s="566" r="C74"/>
      <c s="566" r="D74"/>
      <c t="s" s="147" r="E74">
        <v>131</v>
      </c>
      <c t="str" s="350" r="F74">
        <f>IF(ISNUMBER((F67/$F$63)),ROUND((F67/$F$63),1),"---")</f>
        <v>---</v>
      </c>
      <c s="893" r="G74"/>
      <c t="str" s="893" r="H74">
        <f>IF(AND(ISNUMBER($F$63),ISNUMBER(H67)),ROUND((H67/$F$63),1),"---")</f>
        <v>---</v>
      </c>
      <c t="str" s="509" r="I74">
        <f>IF(AND(ISNUMBER($F$63),ISNUMBER(I67)),ROUND((I67/$F$63),1),"---")</f>
        <v>---</v>
      </c>
      <c s="51" r="J74"/>
      <c s="125" r="K74"/>
      <c s="125" r="L74"/>
      <c s="125" r="M74"/>
      <c s="125" r="N74"/>
      <c s="125" r="O74"/>
      <c s="125" r="P74"/>
      <c s="125" r="Q74"/>
      <c s="125" r="R74"/>
      <c s="125" r="S74"/>
      <c s="822" r="T74"/>
      <c t="str" s="309" r="U74">
        <f>IF((Profile!L102&gt;0),Profile!L102,"")</f>
        <v/>
      </c>
      <c t="str" s="861" r="V74">
        <f>IF((Profile!O102&gt;0),Profile!O102,"---")</f>
        <v>---</v>
      </c>
      <c t="str" s="861" r="W74">
        <f>IF((Profile!Y102=0),IF((Profile!Y101=0),"---",IF((Profile!Y103=0),"---",Profile!Y102)),Profile!Y102)</f>
        <v>---</v>
      </c>
      <c s="239" r="X74">
        <f>AB74+X73</f>
        <v>0</v>
      </c>
      <c s="796" r="Y74">
        <f>AC74+Y73</f>
        <v>0</v>
      </c>
      <c s="702" r="Z74"/>
      <c s="289" r="AA74">
        <f>IF(Profile!Y102,IF((Profile!O102=0),0,(Profile!O102-MAX(Profile!O$44:O101))),0)</f>
        <v>0</v>
      </c>
      <c s="605" r="AB74">
        <f>SIN(RADIANS(Profile!Y102))*AA74</f>
        <v>0</v>
      </c>
      <c s="605" r="AC74">
        <f>COS(RADIANS(Profile!Y102))*AA74</f>
        <v>0</v>
      </c>
      <c s="348" r="AD74">
        <f>IF((AJ$15=TRUE),X74,NA())</f>
        <v>0</v>
      </c>
      <c s="348" r="AE74">
        <f>IF((AJ$15=TRUE),Y74,NA())</f>
        <v>0</v>
      </c>
      <c t="str" s="348" r="AF74">
        <f>IF(Profile!L102,Y74,NA())</f>
        <v>#N/A:explicit</v>
      </c>
      <c s="348" r="AG74">
        <f>Profile!T102*E$40</f>
        <v>0</v>
      </c>
      <c t="str" s="348" r="AH74">
        <f>IF((AK$15=TRUE),IF(ISNUMBER(Profile!Y102),IF(ISNUMBER(Profile!Y103),(((X74+((F$63/2)*COS(RADIANS(Profile!Y103))))+(X74+((F$63/2)*COS(RADIANS(Profile!Y102)))))/2),(X74+((F$63/2)*COS(RADIANS(Profile!Y102))))),AH73),0)</f>
        <v>#VALUE!:notNumber:For input string: "---"</v>
      </c>
      <c t="str" s="348" r="AI74">
        <f>IF((AK$15=TRUE),IF(ISNUMBER(Profile!Y102),IF(ISNUMBER(Profile!Y103),(((Y74-((F$63/2)*SIN(RADIANS(Profile!Y103))))+(Y74-((F$63/2)*SIN(RADIANS(Profile!Y102)))))/2),(Y74-((F$63/2)*SIN(RADIANS(Profile!Y102))))),AI73),0)</f>
        <v>#VALUE!:notNumber:For input string: "---"</v>
      </c>
      <c t="str" s="348" r="AJ74">
        <f>IF((AK$15=TRUE),IF(ISNUMBER(Profile!Y102),IF(ISNUMBER(Profile!Y103),(((X74-((F$63/2)*COS(RADIANS(Profile!Y103))))+(X74-((F$63/2)*COS(RADIANS(Profile!Y102)))))/2),(X74-((F$63/2)*COS(RADIANS(Profile!Y102))))),AJ73),0)</f>
        <v>#VALUE!:notNumber:For input string: "---"</v>
      </c>
      <c t="str" s="799" r="AK74">
        <f>IF((AK$15=TRUE),IF(ISNUMBER(Profile!Y102),IF(ISNUMBER(Profile!Y103),(((Y74+((F$63/2)*SIN(RADIANS(Profile!Y103))))+(Y74+((F$63/2)*SIN(RADIANS(Profile!Y102)))))/2),(Y74+((F$63/2)*SIN(RADIANS(Profile!Y102))))),AK73),0)</f>
        <v>#VALUE!:notNumber:For input string: "---"</v>
      </c>
      <c s="51" r="AL74"/>
      <c s="125" r="AM74"/>
    </row>
    <row customHeight="1" r="75" ht="13.5">
      <c s="125" r="A75"/>
      <c s="442" r="B75"/>
      <c s="442" r="C75"/>
      <c s="442" r="D75"/>
      <c s="442" r="E75"/>
      <c s="442" r="F75"/>
      <c s="442" r="G75"/>
      <c s="442" r="H75"/>
      <c s="442" r="I75"/>
      <c s="125" r="J75"/>
      <c s="125" r="K75"/>
      <c s="125" r="L75"/>
      <c s="125" r="M75"/>
      <c s="125" r="N75"/>
      <c s="125" r="O75"/>
      <c s="125" r="P75"/>
      <c s="125" r="Q75"/>
      <c s="125" r="R75"/>
      <c s="125" r="S75"/>
      <c s="822" r="T75"/>
      <c t="str" s="309" r="U75">
        <f>IF((Profile!L103&gt;0),Profile!L103,"")</f>
        <v/>
      </c>
      <c t="str" s="861" r="V75">
        <f>IF((Profile!O103&gt;0),Profile!O103,"---")</f>
        <v>---</v>
      </c>
      <c t="str" s="861" r="W75">
        <f>IF((Profile!Y103=0),IF((Profile!Y102=0),"---",IF((Profile!Y104=0),"---",Profile!Y103)),Profile!Y103)</f>
        <v>---</v>
      </c>
      <c s="239" r="X75">
        <f>AB75+X74</f>
        <v>0</v>
      </c>
      <c s="796" r="Y75">
        <f>AC75+Y74</f>
        <v>0</v>
      </c>
      <c s="702" r="Z75"/>
      <c s="289" r="AA75">
        <f>IF(Profile!Y103,IF((Profile!O103=0),0,(Profile!O103-MAX(Profile!O$44:O102))),0)</f>
        <v>0</v>
      </c>
      <c s="605" r="AB75">
        <f>SIN(RADIANS(Profile!Y103))*AA75</f>
        <v>0</v>
      </c>
      <c s="605" r="AC75">
        <f>COS(RADIANS(Profile!Y103))*AA75</f>
        <v>0</v>
      </c>
      <c s="348" r="AD75">
        <f>IF((AJ$15=TRUE),X75,NA())</f>
        <v>0</v>
      </c>
      <c s="348" r="AE75">
        <f>IF((AJ$15=TRUE),Y75,NA())</f>
        <v>0</v>
      </c>
      <c t="str" s="348" r="AF75">
        <f>IF(Profile!L103,Y75,NA())</f>
        <v>#N/A:explicit</v>
      </c>
      <c s="348" r="AG75">
        <f>Profile!T103*E$40</f>
        <v>0</v>
      </c>
      <c t="str" s="348" r="AH75">
        <f>IF((AK$15=TRUE),IF(ISNUMBER(Profile!Y103),IF(ISNUMBER(Profile!Y104),(((X75+((F$63/2)*COS(RADIANS(Profile!Y104))))+(X75+((F$63/2)*COS(RADIANS(Profile!Y103)))))/2),(X75+((F$63/2)*COS(RADIANS(Profile!Y103))))),AH74),0)</f>
        <v>#VALUE!:notNumber:For input string: "---"</v>
      </c>
      <c t="str" s="348" r="AI75">
        <f>IF((AK$15=TRUE),IF(ISNUMBER(Profile!Y103),IF(ISNUMBER(Profile!Y104),(((Y75-((F$63/2)*SIN(RADIANS(Profile!Y104))))+(Y75-((F$63/2)*SIN(RADIANS(Profile!Y103)))))/2),(Y75-((F$63/2)*SIN(RADIANS(Profile!Y103))))),AI74),0)</f>
        <v>#VALUE!:notNumber:For input string: "---"</v>
      </c>
      <c t="str" s="348" r="AJ75">
        <f>IF((AK$15=TRUE),IF(ISNUMBER(Profile!Y103),IF(ISNUMBER(Profile!Y104),(((X75-((F$63/2)*COS(RADIANS(Profile!Y104))))+(X75-((F$63/2)*COS(RADIANS(Profile!Y103)))))/2),(X75-((F$63/2)*COS(RADIANS(Profile!Y103))))),AJ74),0)</f>
        <v>#VALUE!:notNumber:For input string: "---"</v>
      </c>
      <c t="str" s="799" r="AK75">
        <f>IF((AK$15=TRUE),IF(ISNUMBER(Profile!Y103),IF(ISNUMBER(Profile!Y104),(((Y75+((F$63/2)*SIN(RADIANS(Profile!Y104))))+(Y75+((F$63/2)*SIN(RADIANS(Profile!Y103)))))/2),(Y75+((F$63/2)*SIN(RADIANS(Profile!Y103))))),AK74),0)</f>
        <v>#VALUE!:notNumber:For input string: "---"</v>
      </c>
      <c s="51" r="AL75"/>
      <c s="125" r="AM75"/>
    </row>
    <row r="76">
      <c s="125" r="A76"/>
      <c s="125" r="B76"/>
      <c s="125" r="C76"/>
      <c s="125" r="D76"/>
      <c s="125" r="E76"/>
      <c s="125" r="F76"/>
      <c s="125" r="G76"/>
      <c s="125" r="H76"/>
      <c s="125" r="I76"/>
      <c s="125" r="J76"/>
      <c s="125" r="K76"/>
      <c s="125" r="L76"/>
      <c s="125" r="M76"/>
      <c s="125" r="N76"/>
      <c s="125" r="O76"/>
      <c s="125" r="P76"/>
      <c s="125" r="Q76"/>
      <c s="125" r="R76"/>
      <c s="125" r="S76"/>
      <c s="822" r="T76"/>
      <c t="str" s="309" r="U76">
        <f>IF((Profile!L104&gt;0),Profile!L104,"")</f>
        <v/>
      </c>
      <c t="str" s="861" r="V76">
        <f>IF((Profile!O104&gt;0),Profile!O104,"---")</f>
        <v>---</v>
      </c>
      <c t="str" s="861" r="W76">
        <f>IF((Profile!Y104=0),IF((Profile!Y103=0),"---",IF((Profile!Y105=0),"---",Profile!Y104)),Profile!Y104)</f>
        <v>---</v>
      </c>
      <c s="239" r="X76">
        <f>AB76+X75</f>
        <v>0</v>
      </c>
      <c s="796" r="Y76">
        <f>AC76+Y75</f>
        <v>0</v>
      </c>
      <c s="702" r="Z76"/>
      <c s="289" r="AA76">
        <f>IF(Profile!Y104,IF((Profile!O104=0),0,(Profile!O104-MAX(Profile!O$44:O103))),0)</f>
        <v>0</v>
      </c>
      <c s="605" r="AB76">
        <f>SIN(RADIANS(Profile!Y104))*AA76</f>
        <v>0</v>
      </c>
      <c s="605" r="AC76">
        <f>COS(RADIANS(Profile!Y104))*AA76</f>
        <v>0</v>
      </c>
      <c s="348" r="AD76">
        <f>IF((AJ$15=TRUE),X76,NA())</f>
        <v>0</v>
      </c>
      <c s="348" r="AE76">
        <f>IF((AJ$15=TRUE),Y76,NA())</f>
        <v>0</v>
      </c>
      <c t="str" s="348" r="AF76">
        <f>IF(Profile!L104,Y76,NA())</f>
        <v>#N/A:explicit</v>
      </c>
      <c s="348" r="AG76">
        <f>Profile!T104*E$40</f>
        <v>0</v>
      </c>
      <c t="str" s="348" r="AH76">
        <f>IF((AK$15=TRUE),IF(ISNUMBER(Profile!Y104),IF(ISNUMBER(Profile!Y105),(((X76+((F$63/2)*COS(RADIANS(Profile!Y105))))+(X76+((F$63/2)*COS(RADIANS(Profile!Y104)))))/2),(X76+((F$63/2)*COS(RADIANS(Profile!Y104))))),AH75),0)</f>
        <v>#VALUE!:notNumber:For input string: "---"</v>
      </c>
      <c t="str" s="348" r="AI76">
        <f>IF((AK$15=TRUE),IF(ISNUMBER(Profile!Y104),IF(ISNUMBER(Profile!Y105),(((Y76-((F$63/2)*SIN(RADIANS(Profile!Y105))))+(Y76-((F$63/2)*SIN(RADIANS(Profile!Y104)))))/2),(Y76-((F$63/2)*SIN(RADIANS(Profile!Y104))))),AI75),0)</f>
        <v>#VALUE!:notNumber:For input string: "---"</v>
      </c>
      <c t="str" s="348" r="AJ76">
        <f>IF((AK$15=TRUE),IF(ISNUMBER(Profile!Y104),IF(ISNUMBER(Profile!Y105),(((X76-((F$63/2)*COS(RADIANS(Profile!Y105))))+(X76-((F$63/2)*COS(RADIANS(Profile!Y104)))))/2),(X76-((F$63/2)*COS(RADIANS(Profile!Y104))))),AJ75),0)</f>
        <v>#VALUE!:notNumber:For input string: "---"</v>
      </c>
      <c t="str" s="799" r="AK76">
        <f>IF((AK$15=TRUE),IF(ISNUMBER(Profile!Y104),IF(ISNUMBER(Profile!Y105),(((Y76+((F$63/2)*SIN(RADIANS(Profile!Y105))))+(Y76+((F$63/2)*SIN(RADIANS(Profile!Y104)))))/2),(Y76+((F$63/2)*SIN(RADIANS(Profile!Y104))))),AK75),0)</f>
        <v>#VALUE!:notNumber:For input string: "---"</v>
      </c>
      <c s="51" r="AL76"/>
      <c s="125" r="AM76"/>
    </row>
    <row r="77">
      <c s="125" r="A77"/>
      <c s="125" r="B77"/>
      <c s="125" r="C77"/>
      <c s="125" r="D77"/>
      <c s="125" r="E77"/>
      <c s="125" r="F77"/>
      <c s="125" r="G77"/>
      <c s="125" r="H77"/>
      <c s="125" r="I77"/>
      <c s="125" r="J77"/>
      <c s="125" r="K77"/>
      <c s="125" r="L77"/>
      <c s="125" r="M77"/>
      <c s="125" r="N77"/>
      <c s="125" r="O77"/>
      <c s="125" r="P77"/>
      <c s="125" r="Q77"/>
      <c s="125" r="R77"/>
      <c s="125" r="S77"/>
      <c s="822" r="T77"/>
      <c t="str" s="309" r="U77">
        <f>IF((Profile!L105&gt;0),Profile!L105,"")</f>
        <v/>
      </c>
      <c t="str" s="861" r="V77">
        <f>IF((Profile!O105&gt;0),Profile!O105,"---")</f>
        <v>---</v>
      </c>
      <c t="str" s="861" r="W77">
        <f>IF((Profile!Y105=0),IF((Profile!Y104=0),"---",IF((Profile!Y106=0),"---",Profile!Y105)),Profile!Y105)</f>
        <v>---</v>
      </c>
      <c s="239" r="X77">
        <f>AB77+X76</f>
        <v>0</v>
      </c>
      <c s="796" r="Y77">
        <f>AC77+Y76</f>
        <v>0</v>
      </c>
      <c s="702" r="Z77"/>
      <c s="289" r="AA77">
        <f>IF(Profile!Y105,IF((Profile!O105=0),0,(Profile!O105-MAX(Profile!O$44:O104))),0)</f>
        <v>0</v>
      </c>
      <c s="605" r="AB77">
        <f>SIN(RADIANS(Profile!Y105))*AA77</f>
        <v>0</v>
      </c>
      <c s="605" r="AC77">
        <f>COS(RADIANS(Profile!Y105))*AA77</f>
        <v>0</v>
      </c>
      <c s="348" r="AD77">
        <f>IF((AJ$15=TRUE),X77,NA())</f>
        <v>0</v>
      </c>
      <c s="348" r="AE77">
        <f>IF((AJ$15=TRUE),Y77,NA())</f>
        <v>0</v>
      </c>
      <c t="str" s="348" r="AF77">
        <f>IF(Profile!L105,Y77,NA())</f>
        <v>#N/A:explicit</v>
      </c>
      <c s="348" r="AG77">
        <f>Profile!T105*E$40</f>
        <v>0</v>
      </c>
      <c t="str" s="348" r="AH77">
        <f>IF((AK$15=TRUE),IF(ISNUMBER(Profile!Y105),IF(ISNUMBER(Profile!Y106),(((X77+((F$63/2)*COS(RADIANS(Profile!Y106))))+(X77+((F$63/2)*COS(RADIANS(Profile!Y105)))))/2),(X77+((F$63/2)*COS(RADIANS(Profile!Y105))))),AH76),0)</f>
        <v>#VALUE!:notNumber:For input string: "---"</v>
      </c>
      <c t="str" s="348" r="AI77">
        <f>IF((AK$15=TRUE),IF(ISNUMBER(Profile!Y105),IF(ISNUMBER(Profile!Y106),(((Y77-((F$63/2)*SIN(RADIANS(Profile!Y106))))+(Y77-((F$63/2)*SIN(RADIANS(Profile!Y105)))))/2),(Y77-((F$63/2)*SIN(RADIANS(Profile!Y105))))),AI76),0)</f>
        <v>#VALUE!:notNumber:For input string: "---"</v>
      </c>
      <c t="str" s="348" r="AJ77">
        <f>IF((AK$15=TRUE),IF(ISNUMBER(Profile!Y105),IF(ISNUMBER(Profile!Y106),(((X77-((F$63/2)*COS(RADIANS(Profile!Y106))))+(X77-((F$63/2)*COS(RADIANS(Profile!Y105)))))/2),(X77-((F$63/2)*COS(RADIANS(Profile!Y105))))),AJ76),0)</f>
        <v>#VALUE!:notNumber:For input string: "---"</v>
      </c>
      <c t="str" s="799" r="AK77">
        <f>IF((AK$15=TRUE),IF(ISNUMBER(Profile!Y105),IF(ISNUMBER(Profile!Y106),(((Y77+((F$63/2)*SIN(RADIANS(Profile!Y106))))+(Y77+((F$63/2)*SIN(RADIANS(Profile!Y105)))))/2),(Y77+((F$63/2)*SIN(RADIANS(Profile!Y105))))),AK76),0)</f>
        <v>#VALUE!:notNumber:For input string: "---"</v>
      </c>
      <c s="51" r="AL77"/>
      <c s="125" r="AM77"/>
    </row>
    <row r="78">
      <c s="125" r="A78"/>
      <c s="125" r="B78"/>
      <c s="125" r="C78"/>
      <c s="125" r="D78"/>
      <c s="125" r="E78"/>
      <c s="125" r="F78"/>
      <c s="125" r="G78"/>
      <c s="125" r="H78"/>
      <c s="125" r="I78"/>
      <c s="125" r="J78"/>
      <c s="125" r="K78"/>
      <c s="125" r="L78"/>
      <c s="125" r="M78"/>
      <c s="125" r="N78"/>
      <c s="125" r="O78"/>
      <c s="125" r="P78"/>
      <c s="125" r="Q78"/>
      <c s="125" r="R78"/>
      <c s="125" r="S78"/>
      <c s="822" r="T78"/>
      <c t="str" s="309" r="U78">
        <f>IF((Profile!L106&gt;0),Profile!L106,"")</f>
        <v/>
      </c>
      <c t="str" s="861" r="V78">
        <f>IF((Profile!O106&gt;0),Profile!O106,"---")</f>
        <v>---</v>
      </c>
      <c t="str" s="861" r="W78">
        <f>IF((Profile!Y106=0),IF((Profile!Y105=0),"---",IF((Profile!Y107=0),"---",Profile!Y106)),Profile!Y106)</f>
        <v>---</v>
      </c>
      <c s="239" r="X78">
        <f>AB78+X77</f>
        <v>0</v>
      </c>
      <c s="796" r="Y78">
        <f>AC78+Y77</f>
        <v>0</v>
      </c>
      <c s="702" r="Z78"/>
      <c s="289" r="AA78">
        <f>IF(Profile!Y106,IF((Profile!O106=0),0,(Profile!O106-MAX(Profile!O$44:O105))),0)</f>
        <v>0</v>
      </c>
      <c s="605" r="AB78">
        <f>SIN(RADIANS(Profile!Y106))*AA78</f>
        <v>0</v>
      </c>
      <c s="605" r="AC78">
        <f>COS(RADIANS(Profile!Y106))*AA78</f>
        <v>0</v>
      </c>
      <c s="348" r="AD78">
        <f>IF((AJ$15=TRUE),X78,NA())</f>
        <v>0</v>
      </c>
      <c s="348" r="AE78">
        <f>IF((AJ$15=TRUE),Y78,NA())</f>
        <v>0</v>
      </c>
      <c t="str" s="348" r="AF78">
        <f>IF(Profile!L106,Y78,NA())</f>
        <v>#N/A:explicit</v>
      </c>
      <c s="348" r="AG78">
        <f>Profile!T106*E$40</f>
        <v>0</v>
      </c>
      <c t="str" s="348" r="AH78">
        <f>IF((AK$15=TRUE),IF(ISNUMBER(Profile!Y106),IF(ISNUMBER(Profile!Y107),(((X78+((F$63/2)*COS(RADIANS(Profile!Y107))))+(X78+((F$63/2)*COS(RADIANS(Profile!Y106)))))/2),(X78+((F$63/2)*COS(RADIANS(Profile!Y106))))),AH77),0)</f>
        <v>#VALUE!:notNumber:For input string: "---"</v>
      </c>
      <c t="str" s="348" r="AI78">
        <f>IF((AK$15=TRUE),IF(ISNUMBER(Profile!Y106),IF(ISNUMBER(Profile!Y107),(((Y78-((F$63/2)*SIN(RADIANS(Profile!Y107))))+(Y78-((F$63/2)*SIN(RADIANS(Profile!Y106)))))/2),(Y78-((F$63/2)*SIN(RADIANS(Profile!Y106))))),AI77),0)</f>
        <v>#VALUE!:notNumber:For input string: "---"</v>
      </c>
      <c t="str" s="348" r="AJ78">
        <f>IF((AK$15=TRUE),IF(ISNUMBER(Profile!Y106),IF(ISNUMBER(Profile!Y107),(((X78-((F$63/2)*COS(RADIANS(Profile!Y107))))+(X78-((F$63/2)*COS(RADIANS(Profile!Y106)))))/2),(X78-((F$63/2)*COS(RADIANS(Profile!Y106))))),AJ77),0)</f>
        <v>#VALUE!:notNumber:For input string: "---"</v>
      </c>
      <c t="str" s="799" r="AK78">
        <f>IF((AK$15=TRUE),IF(ISNUMBER(Profile!Y106),IF(ISNUMBER(Profile!Y107),(((Y78+((F$63/2)*SIN(RADIANS(Profile!Y107))))+(Y78+((F$63/2)*SIN(RADIANS(Profile!Y106)))))/2),(Y78+((F$63/2)*SIN(RADIANS(Profile!Y106))))),AK77),0)</f>
        <v>#VALUE!:notNumber:For input string: "---"</v>
      </c>
      <c s="51" r="AL78"/>
      <c s="125" r="AM78"/>
    </row>
    <row r="79">
      <c s="125" r="A79"/>
      <c s="125" r="B79"/>
      <c s="125" r="C79"/>
      <c s="125" r="D79"/>
      <c s="125" r="E79"/>
      <c s="125" r="F79"/>
      <c s="125" r="G79"/>
      <c s="125" r="H79"/>
      <c s="125" r="I79"/>
      <c s="125" r="J79"/>
      <c s="125" r="K79"/>
      <c s="125" r="L79"/>
      <c s="125" r="M79"/>
      <c s="125" r="N79"/>
      <c s="125" r="O79"/>
      <c s="125" r="P79"/>
      <c s="125" r="Q79"/>
      <c s="125" r="R79"/>
      <c s="125" r="S79"/>
      <c s="822" r="T79"/>
      <c t="str" s="309" r="U79">
        <f>IF((Profile!L107&gt;0),Profile!L107,"")</f>
        <v/>
      </c>
      <c t="str" s="861" r="V79">
        <f>IF((Profile!O107&gt;0),Profile!O107,"---")</f>
        <v>---</v>
      </c>
      <c t="str" s="861" r="W79">
        <f>IF((Profile!Y107=0),IF((Profile!Y106=0),"---",IF((Profile!Y108=0),"---",Profile!Y107)),Profile!Y107)</f>
        <v>---</v>
      </c>
      <c s="239" r="X79">
        <f>AB79+X78</f>
        <v>0</v>
      </c>
      <c s="796" r="Y79">
        <f>AC79+Y78</f>
        <v>0</v>
      </c>
      <c s="702" r="Z79"/>
      <c s="289" r="AA79">
        <f>IF(Profile!Y107,IF((Profile!O107=0),0,(Profile!O107-MAX(Profile!O$44:O106))),0)</f>
        <v>0</v>
      </c>
      <c s="605" r="AB79">
        <f>SIN(RADIANS(Profile!Y107))*AA79</f>
        <v>0</v>
      </c>
      <c s="605" r="AC79">
        <f>COS(RADIANS(Profile!Y107))*AA79</f>
        <v>0</v>
      </c>
      <c s="348" r="AD79">
        <f>IF((AJ$15=TRUE),X79,NA())</f>
        <v>0</v>
      </c>
      <c s="348" r="AE79">
        <f>IF((AJ$15=TRUE),Y79,NA())</f>
        <v>0</v>
      </c>
      <c t="str" s="348" r="AF79">
        <f>IF(Profile!L107,Y79,NA())</f>
        <v>#N/A:explicit</v>
      </c>
      <c s="348" r="AG79">
        <f>Profile!T107*E$40</f>
        <v>0</v>
      </c>
      <c t="str" s="348" r="AH79">
        <f>IF((AK$15=TRUE),IF(ISNUMBER(Profile!Y107),IF(ISNUMBER(Profile!Y108),(((X79+((F$63/2)*COS(RADIANS(Profile!Y108))))+(X79+((F$63/2)*COS(RADIANS(Profile!Y107)))))/2),(X79+((F$63/2)*COS(RADIANS(Profile!Y107))))),AH78),0)</f>
        <v>#VALUE!:notNumber:For input string: "---"</v>
      </c>
      <c t="str" s="348" r="AI79">
        <f>IF((AK$15=TRUE),IF(ISNUMBER(Profile!Y107),IF(ISNUMBER(Profile!Y108),(((Y79-((F$63/2)*SIN(RADIANS(Profile!Y108))))+(Y79-((F$63/2)*SIN(RADIANS(Profile!Y107)))))/2),(Y79-((F$63/2)*SIN(RADIANS(Profile!Y107))))),AI78),0)</f>
        <v>#VALUE!:notNumber:For input string: "---"</v>
      </c>
      <c t="str" s="348" r="AJ79">
        <f>IF((AK$15=TRUE),IF(ISNUMBER(Profile!Y107),IF(ISNUMBER(Profile!Y108),(((X79-((F$63/2)*COS(RADIANS(Profile!Y108))))+(X79-((F$63/2)*COS(RADIANS(Profile!Y107)))))/2),(X79-((F$63/2)*COS(RADIANS(Profile!Y107))))),AJ78),0)</f>
        <v>#VALUE!:notNumber:For input string: "---"</v>
      </c>
      <c t="str" s="799" r="AK79">
        <f>IF((AK$15=TRUE),IF(ISNUMBER(Profile!Y107),IF(ISNUMBER(Profile!Y108),(((Y79+((F$63/2)*SIN(RADIANS(Profile!Y108))))+(Y79+((F$63/2)*SIN(RADIANS(Profile!Y107)))))/2),(Y79+((F$63/2)*SIN(RADIANS(Profile!Y107))))),AK78),0)</f>
        <v>#VALUE!:notNumber:For input string: "---"</v>
      </c>
      <c s="51" r="AL79"/>
      <c s="125" r="AM79"/>
    </row>
    <row r="80">
      <c s="125" r="A80"/>
      <c s="125" r="B80"/>
      <c s="125" r="C80"/>
      <c s="125" r="D80"/>
      <c s="125" r="E80"/>
      <c s="125" r="F80"/>
      <c s="125" r="G80"/>
      <c s="125" r="H80"/>
      <c s="125" r="I80"/>
      <c s="125" r="J80"/>
      <c s="125" r="K80"/>
      <c s="125" r="L80"/>
      <c s="125" r="M80"/>
      <c s="125" r="N80"/>
      <c s="125" r="O80"/>
      <c s="125" r="P80"/>
      <c s="125" r="Q80"/>
      <c s="125" r="R80"/>
      <c s="125" r="S80"/>
      <c s="822" r="T80"/>
      <c t="str" s="309" r="U80">
        <f>IF((Profile!L108&gt;0),Profile!L108,"")</f>
        <v/>
      </c>
      <c t="str" s="861" r="V80">
        <f>IF((Profile!O108&gt;0),Profile!O108,"---")</f>
        <v>---</v>
      </c>
      <c t="str" s="861" r="W80">
        <f>IF((Profile!Y108=0),IF((Profile!Y107=0),"---",IF((Profile!Y109=0),"---",Profile!Y108)),Profile!Y108)</f>
        <v>---</v>
      </c>
      <c s="239" r="X80">
        <f>AB80+X79</f>
        <v>0</v>
      </c>
      <c s="796" r="Y80">
        <f>AC80+Y79</f>
        <v>0</v>
      </c>
      <c s="702" r="Z80"/>
      <c s="289" r="AA80">
        <f>IF(Profile!Y108,IF((Profile!O108=0),0,(Profile!O108-MAX(Profile!O$44:O107))),0)</f>
        <v>0</v>
      </c>
      <c s="605" r="AB80">
        <f>SIN(RADIANS(Profile!Y108))*AA80</f>
        <v>0</v>
      </c>
      <c s="605" r="AC80">
        <f>COS(RADIANS(Profile!Y108))*AA80</f>
        <v>0</v>
      </c>
      <c s="348" r="AD80">
        <f>IF((AJ$15=TRUE),X80,NA())</f>
        <v>0</v>
      </c>
      <c s="348" r="AE80">
        <f>IF((AJ$15=TRUE),Y80,NA())</f>
        <v>0</v>
      </c>
      <c t="str" s="348" r="AF80">
        <f>IF(Profile!L108,Y80,NA())</f>
        <v>#N/A:explicit</v>
      </c>
      <c s="348" r="AG80">
        <f>Profile!T108*E$40</f>
        <v>0</v>
      </c>
      <c t="str" s="348" r="AH80">
        <f>IF((AK$15=TRUE),IF(ISNUMBER(Profile!Y108),IF(ISNUMBER(Profile!Y109),(((X80+((F$63/2)*COS(RADIANS(Profile!Y109))))+(X80+((F$63/2)*COS(RADIANS(Profile!Y108)))))/2),(X80+((F$63/2)*COS(RADIANS(Profile!Y108))))),AH79),0)</f>
        <v>#VALUE!:notNumber:For input string: "---"</v>
      </c>
      <c t="str" s="348" r="AI80">
        <f>IF((AK$15=TRUE),IF(ISNUMBER(Profile!Y108),IF(ISNUMBER(Profile!Y109),(((Y80-((F$63/2)*SIN(RADIANS(Profile!Y109))))+(Y80-((F$63/2)*SIN(RADIANS(Profile!Y108)))))/2),(Y80-((F$63/2)*SIN(RADIANS(Profile!Y108))))),AI79),0)</f>
        <v>#VALUE!:notNumber:For input string: "---"</v>
      </c>
      <c t="str" s="348" r="AJ80">
        <f>IF((AK$15=TRUE),IF(ISNUMBER(Profile!Y108),IF(ISNUMBER(Profile!Y109),(((X80-((F$63/2)*COS(RADIANS(Profile!Y109))))+(X80-((F$63/2)*COS(RADIANS(Profile!Y108)))))/2),(X80-((F$63/2)*COS(RADIANS(Profile!Y108))))),AJ79),0)</f>
        <v>#VALUE!:notNumber:For input string: "---"</v>
      </c>
      <c t="str" s="799" r="AK80">
        <f>IF((AK$15=TRUE),IF(ISNUMBER(Profile!Y108),IF(ISNUMBER(Profile!Y109),(((Y80+((F$63/2)*SIN(RADIANS(Profile!Y109))))+(Y80+((F$63/2)*SIN(RADIANS(Profile!Y108)))))/2),(Y80+((F$63/2)*SIN(RADIANS(Profile!Y108))))),AK79),0)</f>
        <v>#VALUE!:notNumber:For input string: "---"</v>
      </c>
      <c s="51" r="AL80"/>
      <c s="125" r="AM80"/>
    </row>
    <row r="81">
      <c s="125" r="A81"/>
      <c s="125" r="B81"/>
      <c s="125" r="C81"/>
      <c s="125" r="D81"/>
      <c s="125" r="E81"/>
      <c s="125" r="F81"/>
      <c s="125" r="G81"/>
      <c s="125" r="H81"/>
      <c s="125" r="I81"/>
      <c s="125" r="J81"/>
      <c s="125" r="K81"/>
      <c s="125" r="L81"/>
      <c s="125" r="M81"/>
      <c s="125" r="N81"/>
      <c s="125" r="O81"/>
      <c s="125" r="P81"/>
      <c s="125" r="Q81"/>
      <c s="125" r="R81"/>
      <c s="125" r="S81"/>
      <c s="822" r="T81"/>
      <c t="str" s="309" r="U81">
        <f>IF((Profile!L109&gt;0),Profile!L109,"")</f>
        <v/>
      </c>
      <c t="str" s="861" r="V81">
        <f>IF((Profile!O109&gt;0),Profile!O109,"---")</f>
        <v>---</v>
      </c>
      <c t="str" s="861" r="W81">
        <f>IF((Profile!Y109=0),IF((Profile!Y108=0),"---",IF((Profile!Y110=0),"---",Profile!Y109)),Profile!Y109)</f>
        <v>---</v>
      </c>
      <c s="239" r="X81">
        <f>AB81+X80</f>
        <v>0</v>
      </c>
      <c s="796" r="Y81">
        <f>AC81+Y80</f>
        <v>0</v>
      </c>
      <c s="702" r="Z81"/>
      <c s="289" r="AA81">
        <f>IF(Profile!Y109,IF((Profile!O109=0),0,(Profile!O109-MAX(Profile!O$44:O108))),0)</f>
        <v>0</v>
      </c>
      <c s="605" r="AB81">
        <f>SIN(RADIANS(Profile!Y109))*AA81</f>
        <v>0</v>
      </c>
      <c s="605" r="AC81">
        <f>COS(RADIANS(Profile!Y109))*AA81</f>
        <v>0</v>
      </c>
      <c s="348" r="AD81">
        <f>IF((AJ$15=TRUE),X81,NA())</f>
        <v>0</v>
      </c>
      <c s="348" r="AE81">
        <f>IF((AJ$15=TRUE),Y81,NA())</f>
        <v>0</v>
      </c>
      <c t="str" s="348" r="AF81">
        <f>IF(Profile!L109,Y81,NA())</f>
        <v>#N/A:explicit</v>
      </c>
      <c s="348" r="AG81">
        <f>Profile!T109*E$40</f>
        <v>0</v>
      </c>
      <c t="str" s="348" r="AH81">
        <f>IF((AK$15=TRUE),IF(ISNUMBER(Profile!Y109),IF(ISNUMBER(Profile!Y110),(((X81+((F$63/2)*COS(RADIANS(Profile!Y110))))+(X81+((F$63/2)*COS(RADIANS(Profile!Y109)))))/2),(X81+((F$63/2)*COS(RADIANS(Profile!Y109))))),AH80),0)</f>
        <v>#VALUE!:notNumber:For input string: "---"</v>
      </c>
      <c t="str" s="348" r="AI81">
        <f>IF((AK$15=TRUE),IF(ISNUMBER(Profile!Y109),IF(ISNUMBER(Profile!Y110),(((Y81-((F$63/2)*SIN(RADIANS(Profile!Y110))))+(Y81-((F$63/2)*SIN(RADIANS(Profile!Y109)))))/2),(Y81-((F$63/2)*SIN(RADIANS(Profile!Y109))))),AI80),0)</f>
        <v>#VALUE!:notNumber:For input string: "---"</v>
      </c>
      <c t="str" s="348" r="AJ81">
        <f>IF((AK$15=TRUE),IF(ISNUMBER(Profile!Y109),IF(ISNUMBER(Profile!Y110),(((X81-((F$63/2)*COS(RADIANS(Profile!Y110))))+(X81-((F$63/2)*COS(RADIANS(Profile!Y109)))))/2),(X81-((F$63/2)*COS(RADIANS(Profile!Y109))))),AJ80),0)</f>
        <v>#VALUE!:notNumber:For input string: "---"</v>
      </c>
      <c t="str" s="799" r="AK81">
        <f>IF((AK$15=TRUE),IF(ISNUMBER(Profile!Y109),IF(ISNUMBER(Profile!Y110),(((Y81+((F$63/2)*SIN(RADIANS(Profile!Y110))))+(Y81+((F$63/2)*SIN(RADIANS(Profile!Y109)))))/2),(Y81+((F$63/2)*SIN(RADIANS(Profile!Y109))))),AK80),0)</f>
        <v>#VALUE!:notNumber:For input string: "---"</v>
      </c>
      <c s="51" r="AL81"/>
      <c s="125" r="AM81"/>
    </row>
    <row r="82">
      <c s="125" r="A82"/>
      <c s="125" r="B82"/>
      <c s="125" r="C82"/>
      <c s="125" r="D82"/>
      <c s="125" r="E82"/>
      <c s="125" r="F82"/>
      <c s="125" r="G82"/>
      <c s="125" r="H82"/>
      <c s="125" r="I82"/>
      <c s="125" r="J82"/>
      <c s="125" r="K82"/>
      <c s="125" r="L82"/>
      <c s="125" r="M82"/>
      <c s="125" r="N82"/>
      <c s="125" r="O82"/>
      <c s="125" r="P82"/>
      <c s="125" r="Q82"/>
      <c s="125" r="R82"/>
      <c s="125" r="S82"/>
      <c s="822" r="T82"/>
      <c t="str" s="309" r="U82">
        <f>IF((Profile!L110&gt;0),Profile!L110,"")</f>
        <v/>
      </c>
      <c t="str" s="861" r="V82">
        <f>IF((Profile!O110&gt;0),Profile!O110,"---")</f>
        <v>---</v>
      </c>
      <c t="str" s="861" r="W82">
        <f>IF((Profile!Y110=0),IF((Profile!Y109=0),"---",IF((Profile!Y111=0),"---",Profile!Y110)),Profile!Y110)</f>
        <v>---</v>
      </c>
      <c s="239" r="X82">
        <f>AB82+X81</f>
        <v>0</v>
      </c>
      <c s="796" r="Y82">
        <f>AC82+Y81</f>
        <v>0</v>
      </c>
      <c s="702" r="Z82"/>
      <c s="289" r="AA82">
        <f>IF(Profile!Y110,IF((Profile!O110=0),0,(Profile!O110-MAX(Profile!O$44:O109))),0)</f>
        <v>0</v>
      </c>
      <c s="605" r="AB82">
        <f>SIN(RADIANS(Profile!Y110))*AA82</f>
        <v>0</v>
      </c>
      <c s="605" r="AC82">
        <f>COS(RADIANS(Profile!Y110))*AA82</f>
        <v>0</v>
      </c>
      <c s="348" r="AD82">
        <f>IF((AJ$15=TRUE),X82,NA())</f>
        <v>0</v>
      </c>
      <c s="348" r="AE82">
        <f>IF((AJ$15=TRUE),Y82,NA())</f>
        <v>0</v>
      </c>
      <c t="str" s="348" r="AF82">
        <f>IF(Profile!L110,Y82,NA())</f>
        <v>#N/A:explicit</v>
      </c>
      <c s="348" r="AG82">
        <f>Profile!T110*E$40</f>
        <v>0</v>
      </c>
      <c t="str" s="348" r="AH82">
        <f>IF((AK$15=TRUE),IF(ISNUMBER(Profile!Y110),IF(ISNUMBER(Profile!Y111),(((X82+((F$63/2)*COS(RADIANS(Profile!Y111))))+(X82+((F$63/2)*COS(RADIANS(Profile!Y110)))))/2),(X82+((F$63/2)*COS(RADIANS(Profile!Y110))))),AH81),0)</f>
        <v>#VALUE!:notNumber:For input string: "---"</v>
      </c>
      <c t="str" s="348" r="AI82">
        <f>IF((AK$15=TRUE),IF(ISNUMBER(Profile!Y110),IF(ISNUMBER(Profile!Y111),(((Y82-((F$63/2)*SIN(RADIANS(Profile!Y111))))+(Y82-((F$63/2)*SIN(RADIANS(Profile!Y110)))))/2),(Y82-((F$63/2)*SIN(RADIANS(Profile!Y110))))),AI81),0)</f>
        <v>#VALUE!:notNumber:For input string: "---"</v>
      </c>
      <c t="str" s="348" r="AJ82">
        <f>IF((AK$15=TRUE),IF(ISNUMBER(Profile!Y110),IF(ISNUMBER(Profile!Y111),(((X82-((F$63/2)*COS(RADIANS(Profile!Y111))))+(X82-((F$63/2)*COS(RADIANS(Profile!Y110)))))/2),(X82-((F$63/2)*COS(RADIANS(Profile!Y110))))),AJ81),0)</f>
        <v>#VALUE!:notNumber:For input string: "---"</v>
      </c>
      <c t="str" s="799" r="AK82">
        <f>IF((AK$15=TRUE),IF(ISNUMBER(Profile!Y110),IF(ISNUMBER(Profile!Y111),(((Y82+((F$63/2)*SIN(RADIANS(Profile!Y111))))+(Y82+((F$63/2)*SIN(RADIANS(Profile!Y110)))))/2),(Y82+((F$63/2)*SIN(RADIANS(Profile!Y110))))),AK81),0)</f>
        <v>#VALUE!:notNumber:For input string: "---"</v>
      </c>
      <c s="51" r="AL82"/>
      <c s="125" r="AM82"/>
    </row>
    <row r="83">
      <c s="125" r="A83"/>
      <c s="125" r="B83"/>
      <c s="125" r="C83"/>
      <c s="125" r="D83"/>
      <c s="125" r="E83"/>
      <c s="125" r="F83"/>
      <c s="125" r="G83"/>
      <c s="125" r="H83"/>
      <c s="125" r="I83"/>
      <c s="125" r="J83"/>
      <c s="125" r="K83"/>
      <c s="125" r="L83"/>
      <c s="125" r="M83"/>
      <c s="125" r="N83"/>
      <c s="125" r="O83"/>
      <c s="125" r="P83"/>
      <c s="125" r="Q83"/>
      <c s="125" r="R83"/>
      <c s="125" r="S83"/>
      <c s="822" r="T83"/>
      <c t="str" s="309" r="U83">
        <f>IF((Profile!L111&gt;0),Profile!L111,"")</f>
        <v/>
      </c>
      <c t="str" s="861" r="V83">
        <f>IF((Profile!O111&gt;0),Profile!O111,"---")</f>
        <v>---</v>
      </c>
      <c t="str" s="861" r="W83">
        <f>IF((Profile!Y111=0),IF((Profile!Y110=0),"---",IF((Profile!Y112=0),"---",Profile!Y111)),Profile!Y111)</f>
        <v>---</v>
      </c>
      <c s="239" r="X83">
        <f>AB83+X82</f>
        <v>0</v>
      </c>
      <c s="796" r="Y83">
        <f>AC83+Y82</f>
        <v>0</v>
      </c>
      <c s="702" r="Z83"/>
      <c s="289" r="AA83">
        <f>IF(Profile!Y111,IF((Profile!O111=0),0,(Profile!O111-MAX(Profile!O$44:O110))),0)</f>
        <v>0</v>
      </c>
      <c s="605" r="AB83">
        <f>SIN(RADIANS(Profile!Y111))*AA83</f>
        <v>0</v>
      </c>
      <c s="605" r="AC83">
        <f>COS(RADIANS(Profile!Y111))*AA83</f>
        <v>0</v>
      </c>
      <c s="348" r="AD83">
        <f>IF((AJ$15=TRUE),X83,NA())</f>
        <v>0</v>
      </c>
      <c s="348" r="AE83">
        <f>IF((AJ$15=TRUE),Y83,NA())</f>
        <v>0</v>
      </c>
      <c t="str" s="348" r="AF83">
        <f>IF(Profile!L111,Y83,NA())</f>
        <v>#N/A:explicit</v>
      </c>
      <c s="348" r="AG83">
        <f>Profile!T111*E$40</f>
        <v>0</v>
      </c>
      <c t="str" s="348" r="AH83">
        <f>IF((AK$15=TRUE),IF(ISNUMBER(Profile!Y111),IF(ISNUMBER(Profile!Y112),(((X83+((F$63/2)*COS(RADIANS(Profile!Y112))))+(X83+((F$63/2)*COS(RADIANS(Profile!Y111)))))/2),(X83+((F$63/2)*COS(RADIANS(Profile!Y111))))),AH82),0)</f>
        <v>#VALUE!:notNumber:For input string: "---"</v>
      </c>
      <c t="str" s="348" r="AI83">
        <f>IF((AK$15=TRUE),IF(ISNUMBER(Profile!Y111),IF(ISNUMBER(Profile!Y112),(((Y83-((F$63/2)*SIN(RADIANS(Profile!Y112))))+(Y83-((F$63/2)*SIN(RADIANS(Profile!Y111)))))/2),(Y83-((F$63/2)*SIN(RADIANS(Profile!Y111))))),AI82),0)</f>
        <v>#VALUE!:notNumber:For input string: "---"</v>
      </c>
      <c t="str" s="348" r="AJ83">
        <f>IF((AK$15=TRUE),IF(ISNUMBER(Profile!Y111),IF(ISNUMBER(Profile!Y112),(((X83-((F$63/2)*COS(RADIANS(Profile!Y112))))+(X83-((F$63/2)*COS(RADIANS(Profile!Y111)))))/2),(X83-((F$63/2)*COS(RADIANS(Profile!Y111))))),AJ82),0)</f>
        <v>#VALUE!:notNumber:For input string: "---"</v>
      </c>
      <c t="str" s="799" r="AK83">
        <f>IF((AK$15=TRUE),IF(ISNUMBER(Profile!Y111),IF(ISNUMBER(Profile!Y112),(((Y83+((F$63/2)*SIN(RADIANS(Profile!Y112))))+(Y83+((F$63/2)*SIN(RADIANS(Profile!Y111)))))/2),(Y83+((F$63/2)*SIN(RADIANS(Profile!Y111))))),AK82),0)</f>
        <v>#VALUE!:notNumber:For input string: "---"</v>
      </c>
      <c s="51" r="AL83"/>
      <c s="125" r="AM83"/>
    </row>
    <row r="84">
      <c s="125" r="A84"/>
      <c s="125" r="B84"/>
      <c s="125" r="C84"/>
      <c s="125" r="D84"/>
      <c s="125" r="E84"/>
      <c s="125" r="F84"/>
      <c s="125" r="G84"/>
      <c s="125" r="H84"/>
      <c s="125" r="I84"/>
      <c s="125" r="J84"/>
      <c s="125" r="K84"/>
      <c s="125" r="L84"/>
      <c s="125" r="M84"/>
      <c s="125" r="N84"/>
      <c s="125" r="O84"/>
      <c s="125" r="P84"/>
      <c s="125" r="Q84"/>
      <c s="125" r="R84"/>
      <c s="125" r="S84"/>
      <c s="822" r="T84"/>
      <c t="str" s="309" r="U84">
        <f>IF((Profile!L112&gt;0),Profile!L112,"")</f>
        <v/>
      </c>
      <c t="str" s="861" r="V84">
        <f>IF((Profile!O112&gt;0),Profile!O112,"---")</f>
        <v>---</v>
      </c>
      <c t="str" s="861" r="W84">
        <f>IF((Profile!Y112=0),IF((Profile!Y111=0),"---",IF((Profile!Y113=0),"---",Profile!Y112)),Profile!Y112)</f>
        <v>---</v>
      </c>
      <c s="239" r="X84">
        <f>AB84+X83</f>
        <v>0</v>
      </c>
      <c s="796" r="Y84">
        <f>AC84+Y83</f>
        <v>0</v>
      </c>
      <c s="702" r="Z84"/>
      <c s="289" r="AA84">
        <f>IF(Profile!Y112,IF((Profile!O112=0),0,(Profile!O112-MAX(Profile!O$44:O111))),0)</f>
        <v>0</v>
      </c>
      <c s="605" r="AB84">
        <f>SIN(RADIANS(Profile!Y112))*AA84</f>
        <v>0</v>
      </c>
      <c s="605" r="AC84">
        <f>COS(RADIANS(Profile!Y112))*AA84</f>
        <v>0</v>
      </c>
      <c s="348" r="AD84">
        <f>IF((AJ$15=TRUE),X84,NA())</f>
        <v>0</v>
      </c>
      <c s="348" r="AE84">
        <f>IF((AJ$15=TRUE),Y84,NA())</f>
        <v>0</v>
      </c>
      <c t="str" s="348" r="AF84">
        <f>IF(Profile!L112,Y84,NA())</f>
        <v>#N/A:explicit</v>
      </c>
      <c s="348" r="AG84">
        <f>Profile!T112*E$40</f>
        <v>0</v>
      </c>
      <c t="str" s="348" r="AH84">
        <f>IF((AK$15=TRUE),IF(ISNUMBER(Profile!Y112),IF(ISNUMBER(Profile!Y113),(((X84+((F$63/2)*COS(RADIANS(Profile!Y113))))+(X84+((F$63/2)*COS(RADIANS(Profile!Y112)))))/2),(X84+((F$63/2)*COS(RADIANS(Profile!Y112))))),AH83),0)</f>
        <v>#VALUE!:notNumber:For input string: "---"</v>
      </c>
      <c t="str" s="348" r="AI84">
        <f>IF((AK$15=TRUE),IF(ISNUMBER(Profile!Y112),IF(ISNUMBER(Profile!Y113),(((Y84-((F$63/2)*SIN(RADIANS(Profile!Y113))))+(Y84-((F$63/2)*SIN(RADIANS(Profile!Y112)))))/2),(Y84-((F$63/2)*SIN(RADIANS(Profile!Y112))))),AI83),0)</f>
        <v>#VALUE!:notNumber:For input string: "---"</v>
      </c>
      <c t="str" s="348" r="AJ84">
        <f>IF((AK$15=TRUE),IF(ISNUMBER(Profile!Y112),IF(ISNUMBER(Profile!Y113),(((X84-((F$63/2)*COS(RADIANS(Profile!Y113))))+(X84-((F$63/2)*COS(RADIANS(Profile!Y112)))))/2),(X84-((F$63/2)*COS(RADIANS(Profile!Y112))))),AJ83),0)</f>
        <v>#VALUE!:notNumber:For input string: "---"</v>
      </c>
      <c t="str" s="799" r="AK84">
        <f>IF((AK$15=TRUE),IF(ISNUMBER(Profile!Y112),IF(ISNUMBER(Profile!Y113),(((Y84+((F$63/2)*SIN(RADIANS(Profile!Y113))))+(Y84+((F$63/2)*SIN(RADIANS(Profile!Y112)))))/2),(Y84+((F$63/2)*SIN(RADIANS(Profile!Y112))))),AK83),0)</f>
        <v>#VALUE!:notNumber:For input string: "---"</v>
      </c>
      <c s="51" r="AL84"/>
      <c s="125" r="AM84"/>
    </row>
    <row r="85">
      <c s="125" r="A85"/>
      <c s="125" r="B85"/>
      <c s="125" r="C85"/>
      <c s="125" r="D85"/>
      <c s="125" r="E85"/>
      <c s="125" r="F85"/>
      <c s="125" r="G85"/>
      <c s="125" r="H85"/>
      <c s="125" r="I85"/>
      <c s="125" r="J85"/>
      <c s="125" r="K85"/>
      <c s="125" r="L85"/>
      <c s="125" r="M85"/>
      <c s="125" r="N85"/>
      <c s="125" r="O85"/>
      <c s="125" r="P85"/>
      <c s="125" r="Q85"/>
      <c s="125" r="R85"/>
      <c s="125" r="S85"/>
      <c s="822" r="T85"/>
      <c t="str" s="309" r="U85">
        <f>IF((Profile!L113&gt;0),Profile!L113,"")</f>
        <v/>
      </c>
      <c t="str" s="861" r="V85">
        <f>IF((Profile!O113&gt;0),Profile!O113,"---")</f>
        <v>---</v>
      </c>
      <c t="str" s="861" r="W85">
        <f>IF((Profile!Y113=0),IF((Profile!Y112=0),"---",IF((Profile!Y114=0),"---",Profile!Y113)),Profile!Y113)</f>
        <v>---</v>
      </c>
      <c s="239" r="X85">
        <f>AB85+X84</f>
        <v>0</v>
      </c>
      <c s="796" r="Y85">
        <f>AC85+Y84</f>
        <v>0</v>
      </c>
      <c s="702" r="Z85"/>
      <c s="289" r="AA85">
        <f>IF(Profile!Y113,IF((Profile!O113=0),0,(Profile!O113-MAX(Profile!O$44:O112))),0)</f>
        <v>0</v>
      </c>
      <c s="605" r="AB85">
        <f>SIN(RADIANS(Profile!Y113))*AA85</f>
        <v>0</v>
      </c>
      <c s="605" r="AC85">
        <f>COS(RADIANS(Profile!Y113))*AA85</f>
        <v>0</v>
      </c>
      <c s="348" r="AD85">
        <f>IF((AJ$15=TRUE),X85,NA())</f>
        <v>0</v>
      </c>
      <c s="348" r="AE85">
        <f>IF((AJ$15=TRUE),Y85,NA())</f>
        <v>0</v>
      </c>
      <c t="str" s="348" r="AF85">
        <f>IF(Profile!L113,Y85,NA())</f>
        <v>#N/A:explicit</v>
      </c>
      <c s="348" r="AG85">
        <f>Profile!T113*E$40</f>
        <v>0</v>
      </c>
      <c t="str" s="348" r="AH85">
        <f>IF((AK$15=TRUE),IF(ISNUMBER(Profile!Y113),IF(ISNUMBER(Profile!Y114),(((X85+((F$63/2)*COS(RADIANS(Profile!Y114))))+(X85+((F$63/2)*COS(RADIANS(Profile!Y113)))))/2),(X85+((F$63/2)*COS(RADIANS(Profile!Y113))))),AH84),0)</f>
        <v>#VALUE!:notNumber:For input string: "---"</v>
      </c>
      <c t="str" s="348" r="AI85">
        <f>IF((AK$15=TRUE),IF(ISNUMBER(Profile!Y113),IF(ISNUMBER(Profile!Y114),(((Y85-((F$63/2)*SIN(RADIANS(Profile!Y114))))+(Y85-((F$63/2)*SIN(RADIANS(Profile!Y113)))))/2),(Y85-((F$63/2)*SIN(RADIANS(Profile!Y113))))),AI84),0)</f>
        <v>#VALUE!:notNumber:For input string: "---"</v>
      </c>
      <c t="str" s="348" r="AJ85">
        <f>IF((AK$15=TRUE),IF(ISNUMBER(Profile!Y113),IF(ISNUMBER(Profile!Y114),(((X85-((F$63/2)*COS(RADIANS(Profile!Y114))))+(X85-((F$63/2)*COS(RADIANS(Profile!Y113)))))/2),(X85-((F$63/2)*COS(RADIANS(Profile!Y113))))),AJ84),0)</f>
        <v>#VALUE!:notNumber:For input string: "---"</v>
      </c>
      <c t="str" s="799" r="AK85">
        <f>IF((AK$15=TRUE),IF(ISNUMBER(Profile!Y113),IF(ISNUMBER(Profile!Y114),(((Y85+((F$63/2)*SIN(RADIANS(Profile!Y114))))+(Y85+((F$63/2)*SIN(RADIANS(Profile!Y113)))))/2),(Y85+((F$63/2)*SIN(RADIANS(Profile!Y113))))),AK84),0)</f>
        <v>#VALUE!:notNumber:For input string: "---"</v>
      </c>
      <c s="51" r="AL85"/>
      <c s="125" r="AM85"/>
    </row>
    <row r="86">
      <c s="125" r="A86"/>
      <c s="125" r="B86"/>
      <c s="125" r="C86"/>
      <c s="125" r="D86"/>
      <c s="125" r="E86"/>
      <c s="125" r="F86"/>
      <c s="125" r="G86"/>
      <c s="125" r="H86"/>
      <c s="125" r="I86"/>
      <c s="125" r="J86"/>
      <c s="125" r="K86"/>
      <c s="125" r="L86"/>
      <c s="125" r="M86"/>
      <c s="125" r="N86"/>
      <c s="125" r="O86"/>
      <c s="125" r="P86"/>
      <c s="125" r="Q86"/>
      <c s="125" r="R86"/>
      <c s="125" r="S86"/>
      <c s="822" r="T86"/>
      <c t="str" s="309" r="U86">
        <f>IF((Profile!L114&gt;0),Profile!L114,"")</f>
        <v/>
      </c>
      <c t="str" s="861" r="V86">
        <f>IF((Profile!O114&gt;0),Profile!O114,"---")</f>
        <v>---</v>
      </c>
      <c t="str" s="861" r="W86">
        <f>IF((Profile!Y114=0),IF((Profile!Y113=0),"---",IF((Profile!Y115=0),"---",Profile!Y114)),Profile!Y114)</f>
        <v>---</v>
      </c>
      <c s="239" r="X86">
        <f>AB86+X85</f>
        <v>0</v>
      </c>
      <c s="796" r="Y86">
        <f>AC86+Y85</f>
        <v>0</v>
      </c>
      <c s="702" r="Z86"/>
      <c s="289" r="AA86">
        <f>IF(Profile!Y114,IF((Profile!O114=0),0,(Profile!O114-MAX(Profile!O$44:O113))),0)</f>
        <v>0</v>
      </c>
      <c s="605" r="AB86">
        <f>SIN(RADIANS(Profile!Y114))*AA86</f>
        <v>0</v>
      </c>
      <c s="605" r="AC86">
        <f>COS(RADIANS(Profile!Y114))*AA86</f>
        <v>0</v>
      </c>
      <c s="348" r="AD86">
        <f>IF((AJ$15=TRUE),X86,NA())</f>
        <v>0</v>
      </c>
      <c s="348" r="AE86">
        <f>IF((AJ$15=TRUE),Y86,NA())</f>
        <v>0</v>
      </c>
      <c t="str" s="348" r="AF86">
        <f>IF(Profile!L114,Y86,NA())</f>
        <v>#N/A:explicit</v>
      </c>
      <c s="348" r="AG86">
        <f>Profile!T114*E$40</f>
        <v>0</v>
      </c>
      <c t="str" s="348" r="AH86">
        <f>IF((AK$15=TRUE),IF(ISNUMBER(Profile!Y114),IF(ISNUMBER(Profile!Y115),(((X86+((F$63/2)*COS(RADIANS(Profile!Y115))))+(X86+((F$63/2)*COS(RADIANS(Profile!Y114)))))/2),(X86+((F$63/2)*COS(RADIANS(Profile!Y114))))),AH85),0)</f>
        <v>#VALUE!:notNumber:For input string: "---"</v>
      </c>
      <c t="str" s="348" r="AI86">
        <f>IF((AK$15=TRUE),IF(ISNUMBER(Profile!Y114),IF(ISNUMBER(Profile!Y115),(((Y86-((F$63/2)*SIN(RADIANS(Profile!Y115))))+(Y86-((F$63/2)*SIN(RADIANS(Profile!Y114)))))/2),(Y86-((F$63/2)*SIN(RADIANS(Profile!Y114))))),AI85),0)</f>
        <v>#VALUE!:notNumber:For input string: "---"</v>
      </c>
      <c t="str" s="348" r="AJ86">
        <f>IF((AK$15=TRUE),IF(ISNUMBER(Profile!Y114),IF(ISNUMBER(Profile!Y115),(((X86-((F$63/2)*COS(RADIANS(Profile!Y115))))+(X86-((F$63/2)*COS(RADIANS(Profile!Y114)))))/2),(X86-((F$63/2)*COS(RADIANS(Profile!Y114))))),AJ85),0)</f>
        <v>#VALUE!:notNumber:For input string: "---"</v>
      </c>
      <c t="str" s="799" r="AK86">
        <f>IF((AK$15=TRUE),IF(ISNUMBER(Profile!Y114),IF(ISNUMBER(Profile!Y115),(((Y86+((F$63/2)*SIN(RADIANS(Profile!Y115))))+(Y86+((F$63/2)*SIN(RADIANS(Profile!Y114)))))/2),(Y86+((F$63/2)*SIN(RADIANS(Profile!Y114))))),AK85),0)</f>
        <v>#VALUE!:notNumber:For input string: "---"</v>
      </c>
      <c s="51" r="AL86"/>
      <c s="125" r="AM86"/>
    </row>
    <row r="87">
      <c s="125" r="A87"/>
      <c s="125" r="B87"/>
      <c s="125" r="C87"/>
      <c s="125" r="D87"/>
      <c s="125" r="E87"/>
      <c s="125" r="F87"/>
      <c s="125" r="G87"/>
      <c s="125" r="H87"/>
      <c s="125" r="I87"/>
      <c s="125" r="J87"/>
      <c s="125" r="K87"/>
      <c s="125" r="L87"/>
      <c s="125" r="M87"/>
      <c s="125" r="N87"/>
      <c s="125" r="O87"/>
      <c s="125" r="P87"/>
      <c s="125" r="Q87"/>
      <c s="125" r="R87"/>
      <c s="125" r="S87"/>
      <c s="822" r="T87"/>
      <c t="str" s="309" r="U87">
        <f>IF((Profile!L115&gt;0),Profile!L115,"")</f>
        <v/>
      </c>
      <c t="str" s="861" r="V87">
        <f>IF((Profile!O115&gt;0),Profile!O115,"---")</f>
        <v>---</v>
      </c>
      <c t="str" s="861" r="W87">
        <f>IF((Profile!Y115=0),IF((Profile!Y114=0),"---",IF((Profile!Y116=0),"---",Profile!Y115)),Profile!Y115)</f>
        <v>---</v>
      </c>
      <c s="239" r="X87">
        <f>AB87+X86</f>
        <v>0</v>
      </c>
      <c s="796" r="Y87">
        <f>AC87+Y86</f>
        <v>0</v>
      </c>
      <c s="702" r="Z87"/>
      <c s="289" r="AA87">
        <f>IF(Profile!Y115,IF((Profile!O115=0),0,(Profile!O115-MAX(Profile!O$44:O114))),0)</f>
        <v>0</v>
      </c>
      <c s="605" r="AB87">
        <f>SIN(RADIANS(Profile!Y115))*AA87</f>
        <v>0</v>
      </c>
      <c s="605" r="AC87">
        <f>COS(RADIANS(Profile!Y115))*AA87</f>
        <v>0</v>
      </c>
      <c s="348" r="AD87">
        <f>IF((AJ$15=TRUE),X87,NA())</f>
        <v>0</v>
      </c>
      <c s="348" r="AE87">
        <f>IF((AJ$15=TRUE),Y87,NA())</f>
        <v>0</v>
      </c>
      <c t="str" s="348" r="AF87">
        <f>IF(Profile!L115,Y87,NA())</f>
        <v>#N/A:explicit</v>
      </c>
      <c s="348" r="AG87">
        <f>Profile!T115*E$40</f>
        <v>0</v>
      </c>
      <c t="str" s="348" r="AH87">
        <f>IF((AK$15=TRUE),IF(ISNUMBER(Profile!Y115),IF(ISNUMBER(Profile!Y116),(((X87+((F$63/2)*COS(RADIANS(Profile!Y116))))+(X87+((F$63/2)*COS(RADIANS(Profile!Y115)))))/2),(X87+((F$63/2)*COS(RADIANS(Profile!Y115))))),AH86),0)</f>
        <v>#VALUE!:notNumber:For input string: "---"</v>
      </c>
      <c t="str" s="348" r="AI87">
        <f>IF((AK$15=TRUE),IF(ISNUMBER(Profile!Y115),IF(ISNUMBER(Profile!Y116),(((Y87-((F$63/2)*SIN(RADIANS(Profile!Y116))))+(Y87-((F$63/2)*SIN(RADIANS(Profile!Y115)))))/2),(Y87-((F$63/2)*SIN(RADIANS(Profile!Y115))))),AI86),0)</f>
        <v>#VALUE!:notNumber:For input string: "---"</v>
      </c>
      <c t="str" s="348" r="AJ87">
        <f>IF((AK$15=TRUE),IF(ISNUMBER(Profile!Y115),IF(ISNUMBER(Profile!Y116),(((X87-((F$63/2)*COS(RADIANS(Profile!Y116))))+(X87-((F$63/2)*COS(RADIANS(Profile!Y115)))))/2),(X87-((F$63/2)*COS(RADIANS(Profile!Y115))))),AJ86),0)</f>
        <v>#VALUE!:notNumber:For input string: "---"</v>
      </c>
      <c t="str" s="799" r="AK87">
        <f>IF((AK$15=TRUE),IF(ISNUMBER(Profile!Y115),IF(ISNUMBER(Profile!Y116),(((Y87+((F$63/2)*SIN(RADIANS(Profile!Y116))))+(Y87+((F$63/2)*SIN(RADIANS(Profile!Y115)))))/2),(Y87+((F$63/2)*SIN(RADIANS(Profile!Y115))))),AK86),0)</f>
        <v>#VALUE!:notNumber:For input string: "---"</v>
      </c>
      <c s="51" r="AL87"/>
      <c s="125" r="AM87"/>
    </row>
    <row r="88">
      <c s="125" r="A88"/>
      <c s="125" r="B88"/>
      <c s="125" r="C88"/>
      <c s="125" r="D88"/>
      <c s="125" r="E88"/>
      <c s="125" r="F88"/>
      <c s="125" r="G88"/>
      <c s="125" r="H88"/>
      <c s="125" r="I88"/>
      <c s="125" r="J88"/>
      <c s="125" r="K88"/>
      <c s="125" r="L88"/>
      <c s="125" r="M88"/>
      <c s="125" r="N88"/>
      <c s="125" r="O88"/>
      <c s="125" r="P88"/>
      <c s="125" r="Q88"/>
      <c s="125" r="R88"/>
      <c s="125" r="S88"/>
      <c s="822" r="T88"/>
      <c t="str" s="309" r="U88">
        <f>IF((Profile!L116&gt;0),Profile!L116,"")</f>
        <v/>
      </c>
      <c t="str" s="861" r="V88">
        <f>IF((Profile!O116&gt;0),Profile!O116,"---")</f>
        <v>---</v>
      </c>
      <c t="str" s="861" r="W88">
        <f>IF((Profile!Y116=0),IF((Profile!Y115=0),"---",IF((Profile!Y117=0),"---",Profile!Y116)),Profile!Y116)</f>
        <v>---</v>
      </c>
      <c s="239" r="X88">
        <f>AB88+X87</f>
        <v>0</v>
      </c>
      <c s="796" r="Y88">
        <f>AC88+Y87</f>
        <v>0</v>
      </c>
      <c s="702" r="Z88"/>
      <c s="289" r="AA88">
        <f>IF(Profile!Y116,IF((Profile!O116=0),0,(Profile!O116-MAX(Profile!O$44:O115))),0)</f>
        <v>0</v>
      </c>
      <c s="605" r="AB88">
        <f>SIN(RADIANS(Profile!Y116))*AA88</f>
        <v>0</v>
      </c>
      <c s="605" r="AC88">
        <f>COS(RADIANS(Profile!Y116))*AA88</f>
        <v>0</v>
      </c>
      <c s="348" r="AD88">
        <f>IF((AJ$15=TRUE),X88,NA())</f>
        <v>0</v>
      </c>
      <c s="348" r="AE88">
        <f>IF((AJ$15=TRUE),Y88,NA())</f>
        <v>0</v>
      </c>
      <c t="str" s="348" r="AF88">
        <f>IF(Profile!L116,Y88,NA())</f>
        <v>#N/A:explicit</v>
      </c>
      <c s="348" r="AG88">
        <f>Profile!T116*E$40</f>
        <v>0</v>
      </c>
      <c t="str" s="348" r="AH88">
        <f>IF((AK$15=TRUE),IF(ISNUMBER(Profile!Y116),IF(ISNUMBER(Profile!Y117),(((X88+((F$63/2)*COS(RADIANS(Profile!Y117))))+(X88+((F$63/2)*COS(RADIANS(Profile!Y116)))))/2),(X88+((F$63/2)*COS(RADIANS(Profile!Y116))))),AH87),0)</f>
        <v>#VALUE!:notNumber:For input string: "---"</v>
      </c>
      <c t="str" s="348" r="AI88">
        <f>IF((AK$15=TRUE),IF(ISNUMBER(Profile!Y116),IF(ISNUMBER(Profile!Y117),(((Y88-((F$63/2)*SIN(RADIANS(Profile!Y117))))+(Y88-((F$63/2)*SIN(RADIANS(Profile!Y116)))))/2),(Y88-((F$63/2)*SIN(RADIANS(Profile!Y116))))),AI87),0)</f>
        <v>#VALUE!:notNumber:For input string: "---"</v>
      </c>
      <c t="str" s="348" r="AJ88">
        <f>IF((AK$15=TRUE),IF(ISNUMBER(Profile!Y116),IF(ISNUMBER(Profile!Y117),(((X88-((F$63/2)*COS(RADIANS(Profile!Y117))))+(X88-((F$63/2)*COS(RADIANS(Profile!Y116)))))/2),(X88-((F$63/2)*COS(RADIANS(Profile!Y116))))),AJ87),0)</f>
        <v>#VALUE!:notNumber:For input string: "---"</v>
      </c>
      <c t="str" s="799" r="AK88">
        <f>IF((AK$15=TRUE),IF(ISNUMBER(Profile!Y116),IF(ISNUMBER(Profile!Y117),(((Y88+((F$63/2)*SIN(RADIANS(Profile!Y117))))+(Y88+((F$63/2)*SIN(RADIANS(Profile!Y116)))))/2),(Y88+((F$63/2)*SIN(RADIANS(Profile!Y116))))),AK87),0)</f>
        <v>#VALUE!:notNumber:For input string: "---"</v>
      </c>
      <c s="51" r="AL88"/>
      <c s="125" r="AM88"/>
    </row>
    <row r="89">
      <c s="125" r="A89"/>
      <c s="125" r="B89"/>
      <c s="125" r="C89"/>
      <c s="125" r="D89"/>
      <c s="125" r="E89"/>
      <c s="125" r="F89"/>
      <c s="125" r="G89"/>
      <c s="125" r="H89"/>
      <c s="125" r="I89"/>
      <c s="125" r="J89"/>
      <c s="125" r="K89"/>
      <c s="125" r="L89"/>
      <c s="125" r="M89"/>
      <c s="125" r="N89"/>
      <c s="125" r="O89"/>
      <c s="125" r="P89"/>
      <c s="125" r="Q89"/>
      <c s="125" r="R89"/>
      <c s="125" r="S89"/>
      <c s="822" r="T89"/>
      <c t="str" s="309" r="U89">
        <f>IF((Profile!L117&gt;0),Profile!L117,"")</f>
        <v/>
      </c>
      <c t="str" s="861" r="V89">
        <f>IF((Profile!O117&gt;0),Profile!O117,"---")</f>
        <v>---</v>
      </c>
      <c t="str" s="861" r="W89">
        <f>IF((Profile!Y117=0),IF((Profile!Y116=0),"---",IF((Profile!Y118=0),"---",Profile!Y117)),Profile!Y117)</f>
        <v>---</v>
      </c>
      <c s="239" r="X89">
        <f>AB89+X88</f>
        <v>0</v>
      </c>
      <c s="796" r="Y89">
        <f>AC89+Y88</f>
        <v>0</v>
      </c>
      <c s="702" r="Z89"/>
      <c s="289" r="AA89">
        <f>IF(Profile!Y117,IF((Profile!O117=0),0,(Profile!O117-MAX(Profile!O$44:O116))),0)</f>
        <v>0</v>
      </c>
      <c s="605" r="AB89">
        <f>SIN(RADIANS(Profile!Y117))*AA89</f>
        <v>0</v>
      </c>
      <c s="605" r="AC89">
        <f>COS(RADIANS(Profile!Y117))*AA89</f>
        <v>0</v>
      </c>
      <c s="348" r="AD89">
        <f>IF((AJ$15=TRUE),X89,NA())</f>
        <v>0</v>
      </c>
      <c s="348" r="AE89">
        <f>IF((AJ$15=TRUE),Y89,NA())</f>
        <v>0</v>
      </c>
      <c t="str" s="348" r="AF89">
        <f>IF(Profile!L117,Y89,NA())</f>
        <v>#N/A:explicit</v>
      </c>
      <c s="348" r="AG89">
        <f>Profile!T117*E$40</f>
        <v>0</v>
      </c>
      <c t="str" s="348" r="AH89">
        <f>IF((AK$15=TRUE),IF(ISNUMBER(Profile!Y117),IF(ISNUMBER(Profile!Y118),(((X89+((F$63/2)*COS(RADIANS(Profile!Y118))))+(X89+((F$63/2)*COS(RADIANS(Profile!Y117)))))/2),(X89+((F$63/2)*COS(RADIANS(Profile!Y117))))),AH88),0)</f>
        <v>#VALUE!:notNumber:For input string: "---"</v>
      </c>
      <c t="str" s="348" r="AI89">
        <f>IF((AK$15=TRUE),IF(ISNUMBER(Profile!Y117),IF(ISNUMBER(Profile!Y118),(((Y89-((F$63/2)*SIN(RADIANS(Profile!Y118))))+(Y89-((F$63/2)*SIN(RADIANS(Profile!Y117)))))/2),(Y89-((F$63/2)*SIN(RADIANS(Profile!Y117))))),AI88),0)</f>
        <v>#VALUE!:notNumber:For input string: "---"</v>
      </c>
      <c t="str" s="348" r="AJ89">
        <f>IF((AK$15=TRUE),IF(ISNUMBER(Profile!Y117),IF(ISNUMBER(Profile!Y118),(((X89-((F$63/2)*COS(RADIANS(Profile!Y118))))+(X89-((F$63/2)*COS(RADIANS(Profile!Y117)))))/2),(X89-((F$63/2)*COS(RADIANS(Profile!Y117))))),AJ88),0)</f>
        <v>#VALUE!:notNumber:For input string: "---"</v>
      </c>
      <c t="str" s="799" r="AK89">
        <f>IF((AK$15=TRUE),IF(ISNUMBER(Profile!Y117),IF(ISNUMBER(Profile!Y118),(((Y89+((F$63/2)*SIN(RADIANS(Profile!Y118))))+(Y89+((F$63/2)*SIN(RADIANS(Profile!Y117)))))/2),(Y89+((F$63/2)*SIN(RADIANS(Profile!Y117))))),AK88),0)</f>
        <v>#VALUE!:notNumber:For input string: "---"</v>
      </c>
      <c s="51" r="AL89"/>
      <c s="125" r="AM89"/>
    </row>
    <row r="90">
      <c s="125" r="A90"/>
      <c s="125" r="B90"/>
      <c s="125" r="C90"/>
      <c s="125" r="D90"/>
      <c s="125" r="E90"/>
      <c s="125" r="F90"/>
      <c s="125" r="G90"/>
      <c s="125" r="H90"/>
      <c s="125" r="I90"/>
      <c s="125" r="J90"/>
      <c s="125" r="K90"/>
      <c s="125" r="L90"/>
      <c s="125" r="M90"/>
      <c s="125" r="N90"/>
      <c s="125" r="O90"/>
      <c s="125" r="P90"/>
      <c s="125" r="Q90"/>
      <c s="125" r="R90"/>
      <c s="125" r="S90"/>
      <c s="822" r="T90"/>
      <c t="str" s="309" r="U90">
        <f>IF((Profile!L118&gt;0),Profile!L118,"")</f>
        <v/>
      </c>
      <c t="str" s="861" r="V90">
        <f>IF((Profile!O118&gt;0),Profile!O118,"---")</f>
        <v>---</v>
      </c>
      <c t="str" s="861" r="W90">
        <f>IF((Profile!Y118=0),IF((Profile!Y117=0),"---",IF((Profile!Y119=0),"---",Profile!Y118)),Profile!Y118)</f>
        <v>---</v>
      </c>
      <c s="239" r="X90">
        <f>AB90+X89</f>
        <v>0</v>
      </c>
      <c s="796" r="Y90">
        <f>AC90+Y89</f>
        <v>0</v>
      </c>
      <c s="702" r="Z90"/>
      <c s="289" r="AA90">
        <f>IF(Profile!Y118,IF((Profile!O118=0),0,(Profile!O118-MAX(Profile!O$44:O117))),0)</f>
        <v>0</v>
      </c>
      <c s="605" r="AB90">
        <f>SIN(RADIANS(Profile!Y118))*AA90</f>
        <v>0</v>
      </c>
      <c s="605" r="AC90">
        <f>COS(RADIANS(Profile!Y118))*AA90</f>
        <v>0</v>
      </c>
      <c s="348" r="AD90">
        <f>IF((AJ$15=TRUE),X90,NA())</f>
        <v>0</v>
      </c>
      <c s="348" r="AE90">
        <f>IF((AJ$15=TRUE),Y90,NA())</f>
        <v>0</v>
      </c>
      <c t="str" s="348" r="AF90">
        <f>IF(Profile!L118,Y90,NA())</f>
        <v>#N/A:explicit</v>
      </c>
      <c s="348" r="AG90">
        <f>Profile!T118*E$40</f>
        <v>0</v>
      </c>
      <c t="str" s="348" r="AH90">
        <f>IF((AK$15=TRUE),IF(ISNUMBER(Profile!Y118),IF(ISNUMBER(Profile!Y119),(((X90+((F$63/2)*COS(RADIANS(Profile!Y119))))+(X90+((F$63/2)*COS(RADIANS(Profile!Y118)))))/2),(X90+((F$63/2)*COS(RADIANS(Profile!Y118))))),AH89),0)</f>
        <v>#VALUE!:notNumber:For input string: "---"</v>
      </c>
      <c t="str" s="348" r="AI90">
        <f>IF((AK$15=TRUE),IF(ISNUMBER(Profile!Y118),IF(ISNUMBER(Profile!Y119),(((Y90-((F$63/2)*SIN(RADIANS(Profile!Y119))))+(Y90-((F$63/2)*SIN(RADIANS(Profile!Y118)))))/2),(Y90-((F$63/2)*SIN(RADIANS(Profile!Y118))))),AI89),0)</f>
        <v>#VALUE!:notNumber:For input string: "---"</v>
      </c>
      <c t="str" s="348" r="AJ90">
        <f>IF((AK$15=TRUE),IF(ISNUMBER(Profile!Y118),IF(ISNUMBER(Profile!Y119),(((X90-((F$63/2)*COS(RADIANS(Profile!Y119))))+(X90-((F$63/2)*COS(RADIANS(Profile!Y118)))))/2),(X90-((F$63/2)*COS(RADIANS(Profile!Y118))))),AJ89),0)</f>
        <v>#VALUE!:notNumber:For input string: "---"</v>
      </c>
      <c t="str" s="799" r="AK90">
        <f>IF((AK$15=TRUE),IF(ISNUMBER(Profile!Y118),IF(ISNUMBER(Profile!Y119),(((Y90+((F$63/2)*SIN(RADIANS(Profile!Y119))))+(Y90+((F$63/2)*SIN(RADIANS(Profile!Y118)))))/2),(Y90+((F$63/2)*SIN(RADIANS(Profile!Y118))))),AK89),0)</f>
        <v>#VALUE!:notNumber:For input string: "---"</v>
      </c>
      <c s="51" r="AL90"/>
      <c s="125" r="AM90"/>
    </row>
    <row r="91">
      <c s="125" r="A91"/>
      <c s="125" r="B91"/>
      <c s="125" r="C91"/>
      <c s="125" r="D91"/>
      <c s="125" r="E91"/>
      <c s="125" r="F91"/>
      <c s="125" r="G91"/>
      <c s="125" r="H91"/>
      <c s="125" r="I91"/>
      <c s="125" r="J91"/>
      <c s="125" r="K91"/>
      <c s="125" r="L91"/>
      <c s="125" r="M91"/>
      <c s="125" r="N91"/>
      <c s="125" r="O91"/>
      <c s="125" r="P91"/>
      <c s="125" r="Q91"/>
      <c s="125" r="R91"/>
      <c s="125" r="S91"/>
      <c s="822" r="T91"/>
      <c t="str" s="309" r="U91">
        <f>IF((Profile!L119&gt;0),Profile!L119,"")</f>
        <v/>
      </c>
      <c t="str" s="861" r="V91">
        <f>IF((Profile!O119&gt;0),Profile!O119,"---")</f>
        <v>---</v>
      </c>
      <c t="str" s="861" r="W91">
        <f>IF((Profile!Y119=0),IF((Profile!Y118=0),"---",IF((Profile!Y120=0),"---",Profile!Y119)),Profile!Y119)</f>
        <v>---</v>
      </c>
      <c s="239" r="X91">
        <f>AB91+X90</f>
        <v>0</v>
      </c>
      <c s="796" r="Y91">
        <f>AC91+Y90</f>
        <v>0</v>
      </c>
      <c s="702" r="Z91"/>
      <c s="289" r="AA91">
        <f>IF(Profile!Y119,IF((Profile!O119=0),0,(Profile!O119-MAX(Profile!O$44:O118))),0)</f>
        <v>0</v>
      </c>
      <c s="605" r="AB91">
        <f>SIN(RADIANS(Profile!Y119))*AA91</f>
        <v>0</v>
      </c>
      <c s="605" r="AC91">
        <f>COS(RADIANS(Profile!Y119))*AA91</f>
        <v>0</v>
      </c>
      <c s="348" r="AD91">
        <f>IF((AJ$15=TRUE),X91,NA())</f>
        <v>0</v>
      </c>
      <c s="348" r="AE91">
        <f>IF((AJ$15=TRUE),Y91,NA())</f>
        <v>0</v>
      </c>
      <c t="str" s="348" r="AF91">
        <f>IF(Profile!L119,Y91,NA())</f>
        <v>#N/A:explicit</v>
      </c>
      <c s="348" r="AG91">
        <f>Profile!T119*E$40</f>
        <v>0</v>
      </c>
      <c t="str" s="348" r="AH91">
        <f>IF((AK$15=TRUE),IF(ISNUMBER(Profile!Y119),IF(ISNUMBER(Profile!Y120),(((X91+((F$63/2)*COS(RADIANS(Profile!Y120))))+(X91+((F$63/2)*COS(RADIANS(Profile!Y119)))))/2),(X91+((F$63/2)*COS(RADIANS(Profile!Y119))))),AH90),0)</f>
        <v>#VALUE!:notNumber:For input string: "---"</v>
      </c>
      <c t="str" s="348" r="AI91">
        <f>IF((AK$15=TRUE),IF(ISNUMBER(Profile!Y119),IF(ISNUMBER(Profile!Y120),(((Y91-((F$63/2)*SIN(RADIANS(Profile!Y120))))+(Y91-((F$63/2)*SIN(RADIANS(Profile!Y119)))))/2),(Y91-((F$63/2)*SIN(RADIANS(Profile!Y119))))),AI90),0)</f>
        <v>#VALUE!:notNumber:For input string: "---"</v>
      </c>
      <c t="str" s="348" r="AJ91">
        <f>IF((AK$15=TRUE),IF(ISNUMBER(Profile!Y119),IF(ISNUMBER(Profile!Y120),(((X91-((F$63/2)*COS(RADIANS(Profile!Y120))))+(X91-((F$63/2)*COS(RADIANS(Profile!Y119)))))/2),(X91-((F$63/2)*COS(RADIANS(Profile!Y119))))),AJ90),0)</f>
        <v>#VALUE!:notNumber:For input string: "---"</v>
      </c>
      <c t="str" s="799" r="AK91">
        <f>IF((AK$15=TRUE),IF(ISNUMBER(Profile!Y119),IF(ISNUMBER(Profile!Y120),(((Y91+((F$63/2)*SIN(RADIANS(Profile!Y120))))+(Y91+((F$63/2)*SIN(RADIANS(Profile!Y119)))))/2),(Y91+((F$63/2)*SIN(RADIANS(Profile!Y119))))),AK90),0)</f>
        <v>#VALUE!:notNumber:For input string: "---"</v>
      </c>
      <c s="51" r="AL91"/>
      <c s="125" r="AM91"/>
    </row>
    <row r="92">
      <c s="125" r="A92"/>
      <c s="125" r="B92"/>
      <c s="125" r="C92"/>
      <c s="125" r="D92"/>
      <c s="125" r="E92"/>
      <c s="125" r="F92"/>
      <c s="125" r="G92"/>
      <c s="125" r="H92"/>
      <c s="125" r="I92"/>
      <c s="125" r="J92"/>
      <c s="125" r="K92"/>
      <c s="125" r="L92"/>
      <c s="125" r="M92"/>
      <c s="125" r="N92"/>
      <c s="125" r="O92"/>
      <c s="125" r="P92"/>
      <c s="125" r="Q92"/>
      <c s="125" r="R92"/>
      <c s="125" r="S92"/>
      <c s="822" r="T92"/>
      <c t="str" s="309" r="U92">
        <f>IF((Profile!L120&gt;0),Profile!L120,"")</f>
        <v/>
      </c>
      <c t="str" s="861" r="V92">
        <f>IF((Profile!O120&gt;0),Profile!O120,"---")</f>
        <v>---</v>
      </c>
      <c t="str" s="861" r="W92">
        <f>IF((Profile!Y120=0),IF((Profile!Y119=0),"---",IF((Profile!Y121=0),"---",Profile!Y120)),Profile!Y120)</f>
        <v>---</v>
      </c>
      <c s="239" r="X92">
        <f>AB92+X91</f>
        <v>0</v>
      </c>
      <c s="796" r="Y92">
        <f>AC92+Y91</f>
        <v>0</v>
      </c>
      <c s="702" r="Z92"/>
      <c s="289" r="AA92">
        <f>IF(Profile!Y120,IF((Profile!O120=0),0,(Profile!O120-MAX(Profile!O$44:O119))),0)</f>
        <v>0</v>
      </c>
      <c s="605" r="AB92">
        <f>SIN(RADIANS(Profile!Y120))*AA92</f>
        <v>0</v>
      </c>
      <c s="605" r="AC92">
        <f>COS(RADIANS(Profile!Y120))*AA92</f>
        <v>0</v>
      </c>
      <c s="348" r="AD92">
        <f>IF((AJ$15=TRUE),X92,NA())</f>
        <v>0</v>
      </c>
      <c s="348" r="AE92">
        <f>IF((AJ$15=TRUE),Y92,NA())</f>
        <v>0</v>
      </c>
      <c t="str" s="348" r="AF92">
        <f>IF(Profile!L120,Y92,NA())</f>
        <v>#N/A:explicit</v>
      </c>
      <c s="348" r="AG92">
        <f>Profile!T120*E$40</f>
        <v>0</v>
      </c>
      <c t="str" s="348" r="AH92">
        <f>IF((AK$15=TRUE),IF(ISNUMBER(Profile!Y120),IF(ISNUMBER(Profile!Y121),(((X92+((F$63/2)*COS(RADIANS(Profile!Y121))))+(X92+((F$63/2)*COS(RADIANS(Profile!Y120)))))/2),(X92+((F$63/2)*COS(RADIANS(Profile!Y120))))),AH91),0)</f>
        <v>#VALUE!:notNumber:For input string: "---"</v>
      </c>
      <c t="str" s="348" r="AI92">
        <f>IF((AK$15=TRUE),IF(ISNUMBER(Profile!Y120),IF(ISNUMBER(Profile!Y121),(((Y92-((F$63/2)*SIN(RADIANS(Profile!Y121))))+(Y92-((F$63/2)*SIN(RADIANS(Profile!Y120)))))/2),(Y92-((F$63/2)*SIN(RADIANS(Profile!Y120))))),AI91),0)</f>
        <v>#VALUE!:notNumber:For input string: "---"</v>
      </c>
      <c t="str" s="348" r="AJ92">
        <f>IF((AK$15=TRUE),IF(ISNUMBER(Profile!Y120),IF(ISNUMBER(Profile!Y121),(((X92-((F$63/2)*COS(RADIANS(Profile!Y121))))+(X92-((F$63/2)*COS(RADIANS(Profile!Y120)))))/2),(X92-((F$63/2)*COS(RADIANS(Profile!Y120))))),AJ91),0)</f>
        <v>#VALUE!:notNumber:For input string: "---"</v>
      </c>
      <c t="str" s="799" r="AK92">
        <f>IF((AK$15=TRUE),IF(ISNUMBER(Profile!Y120),IF(ISNUMBER(Profile!Y121),(((Y92+((F$63/2)*SIN(RADIANS(Profile!Y121))))+(Y92+((F$63/2)*SIN(RADIANS(Profile!Y120)))))/2),(Y92+((F$63/2)*SIN(RADIANS(Profile!Y120))))),AK91),0)</f>
        <v>#VALUE!:notNumber:For input string: "---"</v>
      </c>
      <c s="51" r="AL92"/>
      <c s="125" r="AM92"/>
    </row>
    <row r="93">
      <c s="125" r="A93"/>
      <c s="125" r="B93"/>
      <c s="125" r="C93"/>
      <c s="125" r="D93"/>
      <c s="125" r="E93"/>
      <c s="125" r="F93"/>
      <c s="125" r="G93"/>
      <c s="125" r="H93"/>
      <c s="125" r="I93"/>
      <c s="125" r="J93"/>
      <c s="125" r="K93"/>
      <c s="125" r="L93"/>
      <c s="125" r="M93"/>
      <c s="125" r="N93"/>
      <c s="125" r="O93"/>
      <c s="125" r="P93"/>
      <c s="125" r="Q93"/>
      <c s="125" r="R93"/>
      <c s="125" r="S93"/>
      <c s="822" r="T93"/>
      <c t="str" s="309" r="U93">
        <f>IF((Profile!L121&gt;0),Profile!L121,"")</f>
        <v/>
      </c>
      <c t="str" s="861" r="V93">
        <f>IF((Profile!O121&gt;0),Profile!O121,"---")</f>
        <v>---</v>
      </c>
      <c t="str" s="861" r="W93">
        <f>IF((Profile!Y121=0),IF((Profile!Y120=0),"---",IF((Profile!Y122=0),"---",Profile!Y121)),Profile!Y121)</f>
        <v>---</v>
      </c>
      <c s="239" r="X93">
        <f>AB93+X92</f>
        <v>0</v>
      </c>
      <c s="796" r="Y93">
        <f>AC93+Y92</f>
        <v>0</v>
      </c>
      <c s="702" r="Z93"/>
      <c s="289" r="AA93">
        <f>IF(Profile!Y121,IF((Profile!O121=0),0,(Profile!O121-MAX(Profile!O$44:O120))),0)</f>
        <v>0</v>
      </c>
      <c s="605" r="AB93">
        <f>SIN(RADIANS(Profile!Y121))*AA93</f>
        <v>0</v>
      </c>
      <c s="605" r="AC93">
        <f>COS(RADIANS(Profile!Y121))*AA93</f>
        <v>0</v>
      </c>
      <c s="348" r="AD93">
        <f>IF((AJ$15=TRUE),X93,NA())</f>
        <v>0</v>
      </c>
      <c s="348" r="AE93">
        <f>IF((AJ$15=TRUE),Y93,NA())</f>
        <v>0</v>
      </c>
      <c t="str" s="348" r="AF93">
        <f>IF(Profile!L121,Y93,NA())</f>
        <v>#N/A:explicit</v>
      </c>
      <c s="348" r="AG93">
        <f>Profile!T121*E$40</f>
        <v>0</v>
      </c>
      <c t="str" s="348" r="AH93">
        <f>IF((AK$15=TRUE),IF(ISNUMBER(Profile!Y121),IF(ISNUMBER(Profile!Y122),(((X93+((F$63/2)*COS(RADIANS(Profile!Y122))))+(X93+((F$63/2)*COS(RADIANS(Profile!Y121)))))/2),(X93+((F$63/2)*COS(RADIANS(Profile!Y121))))),AH92),0)</f>
        <v>#VALUE!:notNumber:For input string: "---"</v>
      </c>
      <c t="str" s="348" r="AI93">
        <f>IF((AK$15=TRUE),IF(ISNUMBER(Profile!Y121),IF(ISNUMBER(Profile!Y122),(((Y93-((F$63/2)*SIN(RADIANS(Profile!Y122))))+(Y93-((F$63/2)*SIN(RADIANS(Profile!Y121)))))/2),(Y93-((F$63/2)*SIN(RADIANS(Profile!Y121))))),AI92),0)</f>
        <v>#VALUE!:notNumber:For input string: "---"</v>
      </c>
      <c t="str" s="348" r="AJ93">
        <f>IF((AK$15=TRUE),IF(ISNUMBER(Profile!Y121),IF(ISNUMBER(Profile!Y122),(((X93-((F$63/2)*COS(RADIANS(Profile!Y122))))+(X93-((F$63/2)*COS(RADIANS(Profile!Y121)))))/2),(X93-((F$63/2)*COS(RADIANS(Profile!Y121))))),AJ92),0)</f>
        <v>#VALUE!:notNumber:For input string: "---"</v>
      </c>
      <c t="str" s="799" r="AK93">
        <f>IF((AK$15=TRUE),IF(ISNUMBER(Profile!Y121),IF(ISNUMBER(Profile!Y122),(((Y93+((F$63/2)*SIN(RADIANS(Profile!Y122))))+(Y93+((F$63/2)*SIN(RADIANS(Profile!Y121)))))/2),(Y93+((F$63/2)*SIN(RADIANS(Profile!Y121))))),AK92),0)</f>
        <v>#VALUE!:notNumber:For input string: "---"</v>
      </c>
      <c s="51" r="AL93"/>
      <c s="125" r="AM93"/>
    </row>
    <row r="94">
      <c s="125" r="A94"/>
      <c s="125" r="B94"/>
      <c s="125" r="C94"/>
      <c s="125" r="D94"/>
      <c s="125" r="E94"/>
      <c s="125" r="F94"/>
      <c s="125" r="G94"/>
      <c s="125" r="H94"/>
      <c s="125" r="I94"/>
      <c s="125" r="J94"/>
      <c s="125" r="K94"/>
      <c s="125" r="L94"/>
      <c s="125" r="M94"/>
      <c s="125" r="N94"/>
      <c s="125" r="O94"/>
      <c s="125" r="P94"/>
      <c s="125" r="Q94"/>
      <c s="125" r="R94"/>
      <c s="125" r="S94"/>
      <c s="822" r="T94"/>
      <c t="str" s="309" r="U94">
        <f>IF((Profile!L122&gt;0),Profile!L122,"")</f>
        <v/>
      </c>
      <c t="str" s="861" r="V94">
        <f>IF((Profile!O122&gt;0),Profile!O122,"---")</f>
        <v>---</v>
      </c>
      <c t="str" s="861" r="W94">
        <f>IF((Profile!Y122=0),IF((Profile!Y121=0),"---",IF((Profile!Y123=0),"---",Profile!Y122)),Profile!Y122)</f>
        <v>---</v>
      </c>
      <c s="239" r="X94">
        <f>AB94+X93</f>
        <v>0</v>
      </c>
      <c s="796" r="Y94">
        <f>AC94+Y93</f>
        <v>0</v>
      </c>
      <c s="702" r="Z94"/>
      <c s="289" r="AA94">
        <f>IF(Profile!Y122,IF((Profile!O122=0),0,(Profile!O122-MAX(Profile!O$44:O121))),0)</f>
        <v>0</v>
      </c>
      <c s="605" r="AB94">
        <f>SIN(RADIANS(Profile!Y122))*AA94</f>
        <v>0</v>
      </c>
      <c s="605" r="AC94">
        <f>COS(RADIANS(Profile!Y122))*AA94</f>
        <v>0</v>
      </c>
      <c s="348" r="AD94">
        <f>IF((AJ$15=TRUE),X94,NA())</f>
        <v>0</v>
      </c>
      <c s="348" r="AE94">
        <f>IF((AJ$15=TRUE),Y94,NA())</f>
        <v>0</v>
      </c>
      <c t="str" s="348" r="AF94">
        <f>IF(Profile!L122,Y94,NA())</f>
        <v>#N/A:explicit</v>
      </c>
      <c s="348" r="AG94">
        <f>Profile!T122*E$40</f>
        <v>0</v>
      </c>
      <c t="str" s="348" r="AH94">
        <f>IF((AK$15=TRUE),IF(ISNUMBER(Profile!Y122),IF(ISNUMBER(Profile!Y123),(((X94+((F$63/2)*COS(RADIANS(Profile!Y123))))+(X94+((F$63/2)*COS(RADIANS(Profile!Y122)))))/2),(X94+((F$63/2)*COS(RADIANS(Profile!Y122))))),AH93),0)</f>
        <v>#VALUE!:notNumber:For input string: "---"</v>
      </c>
      <c t="str" s="348" r="AI94">
        <f>IF((AK$15=TRUE),IF(ISNUMBER(Profile!Y122),IF(ISNUMBER(Profile!Y123),(((Y94-((F$63/2)*SIN(RADIANS(Profile!Y123))))+(Y94-((F$63/2)*SIN(RADIANS(Profile!Y122)))))/2),(Y94-((F$63/2)*SIN(RADIANS(Profile!Y122))))),AI93),0)</f>
        <v>#VALUE!:notNumber:For input string: "---"</v>
      </c>
      <c t="str" s="348" r="AJ94">
        <f>IF((AK$15=TRUE),IF(ISNUMBER(Profile!Y122),IF(ISNUMBER(Profile!Y123),(((X94-((F$63/2)*COS(RADIANS(Profile!Y123))))+(X94-((F$63/2)*COS(RADIANS(Profile!Y122)))))/2),(X94-((F$63/2)*COS(RADIANS(Profile!Y122))))),AJ93),0)</f>
        <v>#VALUE!:notNumber:For input string: "---"</v>
      </c>
      <c t="str" s="799" r="AK94">
        <f>IF((AK$15=TRUE),IF(ISNUMBER(Profile!Y122),IF(ISNUMBER(Profile!Y123),(((Y94+((F$63/2)*SIN(RADIANS(Profile!Y123))))+(Y94+((F$63/2)*SIN(RADIANS(Profile!Y122)))))/2),(Y94+((F$63/2)*SIN(RADIANS(Profile!Y122))))),AK93),0)</f>
        <v>#VALUE!:notNumber:For input string: "---"</v>
      </c>
      <c s="51" r="AL94"/>
      <c s="125" r="AM94"/>
    </row>
    <row r="95">
      <c s="125" r="A95"/>
      <c s="125" r="B95"/>
      <c s="125" r="C95"/>
      <c s="125" r="D95"/>
      <c s="125" r="E95"/>
      <c s="125" r="F95"/>
      <c s="125" r="G95"/>
      <c s="125" r="H95"/>
      <c s="125" r="I95"/>
      <c s="125" r="J95"/>
      <c s="125" r="K95"/>
      <c s="125" r="L95"/>
      <c s="125" r="M95"/>
      <c s="125" r="N95"/>
      <c s="125" r="O95"/>
      <c s="125" r="P95"/>
      <c s="125" r="Q95"/>
      <c s="125" r="R95"/>
      <c s="125" r="S95"/>
      <c s="822" r="T95"/>
      <c t="str" s="309" r="U95">
        <f>IF((Profile!L123&gt;0),Profile!L123,"")</f>
        <v/>
      </c>
      <c t="str" s="861" r="V95">
        <f>IF((Profile!O123&gt;0),Profile!O123,"---")</f>
        <v>---</v>
      </c>
      <c t="str" s="861" r="W95">
        <f>IF((Profile!Y123=0),IF((Profile!Y122=0),"---",IF((Profile!Y124=0),"---",Profile!Y123)),Profile!Y123)</f>
        <v>---</v>
      </c>
      <c s="239" r="X95">
        <f>AB95+X94</f>
        <v>0</v>
      </c>
      <c s="796" r="Y95">
        <f>AC95+Y94</f>
        <v>0</v>
      </c>
      <c s="702" r="Z95"/>
      <c s="289" r="AA95">
        <f>IF(Profile!Y123,IF((Profile!O123=0),0,(Profile!O123-MAX(Profile!O$44:O122))),0)</f>
        <v>0</v>
      </c>
      <c s="605" r="AB95">
        <f>SIN(RADIANS(Profile!Y123))*AA95</f>
        <v>0</v>
      </c>
      <c s="605" r="AC95">
        <f>COS(RADIANS(Profile!Y123))*AA95</f>
        <v>0</v>
      </c>
      <c s="348" r="AD95">
        <f>IF((AJ$15=TRUE),X95,NA())</f>
        <v>0</v>
      </c>
      <c s="348" r="AE95">
        <f>IF((AJ$15=TRUE),Y95,NA())</f>
        <v>0</v>
      </c>
      <c t="str" s="348" r="AF95">
        <f>IF(Profile!L123,Y95,NA())</f>
        <v>#N/A:explicit</v>
      </c>
      <c s="348" r="AG95">
        <f>Profile!T123*E$40</f>
        <v>0</v>
      </c>
      <c t="str" s="348" r="AH95">
        <f>IF((AK$15=TRUE),IF(ISNUMBER(Profile!Y123),IF(ISNUMBER(Profile!Y124),(((X95+((F$63/2)*COS(RADIANS(Profile!Y124))))+(X95+((F$63/2)*COS(RADIANS(Profile!Y123)))))/2),(X95+((F$63/2)*COS(RADIANS(Profile!Y123))))),AH94),0)</f>
        <v>#VALUE!:notNumber:For input string: "---"</v>
      </c>
      <c t="str" s="348" r="AI95">
        <f>IF((AK$15=TRUE),IF(ISNUMBER(Profile!Y123),IF(ISNUMBER(Profile!Y124),(((Y95-((F$63/2)*SIN(RADIANS(Profile!Y124))))+(Y95-((F$63/2)*SIN(RADIANS(Profile!Y123)))))/2),(Y95-((F$63/2)*SIN(RADIANS(Profile!Y123))))),AI94),0)</f>
        <v>#VALUE!:notNumber:For input string: "---"</v>
      </c>
      <c t="str" s="348" r="AJ95">
        <f>IF((AK$15=TRUE),IF(ISNUMBER(Profile!Y123),IF(ISNUMBER(Profile!Y124),(((X95-((F$63/2)*COS(RADIANS(Profile!Y124))))+(X95-((F$63/2)*COS(RADIANS(Profile!Y123)))))/2),(X95-((F$63/2)*COS(RADIANS(Profile!Y123))))),AJ94),0)</f>
        <v>#VALUE!:notNumber:For input string: "---"</v>
      </c>
      <c t="str" s="799" r="AK95">
        <f>IF((AK$15=TRUE),IF(ISNUMBER(Profile!Y123),IF(ISNUMBER(Profile!Y124),(((Y95+((F$63/2)*SIN(RADIANS(Profile!Y124))))+(Y95+((F$63/2)*SIN(RADIANS(Profile!Y123)))))/2),(Y95+((F$63/2)*SIN(RADIANS(Profile!Y123))))),AK94),0)</f>
        <v>#VALUE!:notNumber:For input string: "---"</v>
      </c>
      <c s="51" r="AL95"/>
      <c s="125" r="AM95"/>
    </row>
    <row r="96">
      <c s="125" r="A96"/>
      <c s="125" r="B96"/>
      <c s="125" r="C96"/>
      <c s="125" r="D96"/>
      <c s="125" r="E96"/>
      <c s="125" r="F96"/>
      <c s="125" r="G96"/>
      <c s="125" r="H96"/>
      <c s="125" r="I96"/>
      <c s="125" r="J96"/>
      <c s="125" r="K96"/>
      <c s="125" r="L96"/>
      <c s="125" r="M96"/>
      <c s="125" r="N96"/>
      <c s="125" r="O96"/>
      <c s="125" r="P96"/>
      <c s="125" r="Q96"/>
      <c s="125" r="R96"/>
      <c s="125" r="S96"/>
      <c s="822" r="T96"/>
      <c t="str" s="309" r="U96">
        <f>IF((Profile!L124&gt;0),Profile!L124,"")</f>
        <v/>
      </c>
      <c t="str" s="861" r="V96">
        <f>IF((Profile!O124&gt;0),Profile!O124,"---")</f>
        <v>---</v>
      </c>
      <c t="str" s="861" r="W96">
        <f>IF((Profile!Y124=0),IF((Profile!Y123=0),"---",IF((Profile!Y125=0),"---",Profile!Y124)),Profile!Y124)</f>
        <v>---</v>
      </c>
      <c s="239" r="X96">
        <f>AB96+X95</f>
        <v>0</v>
      </c>
      <c s="796" r="Y96">
        <f>AC96+Y95</f>
        <v>0</v>
      </c>
      <c s="702" r="Z96"/>
      <c s="289" r="AA96">
        <f>IF(Profile!Y124,IF((Profile!O124=0),0,(Profile!O124-MAX(Profile!O$44:O123))),0)</f>
        <v>0</v>
      </c>
      <c s="605" r="AB96">
        <f>SIN(RADIANS(Profile!Y124))*AA96</f>
        <v>0</v>
      </c>
      <c s="605" r="AC96">
        <f>COS(RADIANS(Profile!Y124))*AA96</f>
        <v>0</v>
      </c>
      <c s="348" r="AD96">
        <f>IF((AJ$15=TRUE),X96,NA())</f>
        <v>0</v>
      </c>
      <c s="348" r="AE96">
        <f>IF((AJ$15=TRUE),Y96,NA())</f>
        <v>0</v>
      </c>
      <c t="str" s="348" r="AF96">
        <f>IF(Profile!L124,Y96,NA())</f>
        <v>#N/A:explicit</v>
      </c>
      <c s="348" r="AG96">
        <f>Profile!T124*E$40</f>
        <v>0</v>
      </c>
      <c t="str" s="348" r="AH96">
        <f>IF((AK$15=TRUE),IF(ISNUMBER(Profile!Y124),IF(ISNUMBER(Profile!Y125),(((X96+((F$63/2)*COS(RADIANS(Profile!Y125))))+(X96+((F$63/2)*COS(RADIANS(Profile!Y124)))))/2),(X96+((F$63/2)*COS(RADIANS(Profile!Y124))))),AH95),0)</f>
        <v>#VALUE!:notNumber:For input string: "---"</v>
      </c>
      <c t="str" s="348" r="AI96">
        <f>IF((AK$15=TRUE),IF(ISNUMBER(Profile!Y124),IF(ISNUMBER(Profile!Y125),(((Y96-((F$63/2)*SIN(RADIANS(Profile!Y125))))+(Y96-((F$63/2)*SIN(RADIANS(Profile!Y124)))))/2),(Y96-((F$63/2)*SIN(RADIANS(Profile!Y124))))),AI95),0)</f>
        <v>#VALUE!:notNumber:For input string: "---"</v>
      </c>
      <c t="str" s="348" r="AJ96">
        <f>IF((AK$15=TRUE),IF(ISNUMBER(Profile!Y124),IF(ISNUMBER(Profile!Y125),(((X96-((F$63/2)*COS(RADIANS(Profile!Y125))))+(X96-((F$63/2)*COS(RADIANS(Profile!Y124)))))/2),(X96-((F$63/2)*COS(RADIANS(Profile!Y124))))),AJ95),0)</f>
        <v>#VALUE!:notNumber:For input string: "---"</v>
      </c>
      <c t="str" s="799" r="AK96">
        <f>IF((AK$15=TRUE),IF(ISNUMBER(Profile!Y124),IF(ISNUMBER(Profile!Y125),(((Y96+((F$63/2)*SIN(RADIANS(Profile!Y125))))+(Y96+((F$63/2)*SIN(RADIANS(Profile!Y124)))))/2),(Y96+((F$63/2)*SIN(RADIANS(Profile!Y124))))),AK95),0)</f>
        <v>#VALUE!:notNumber:For input string: "---"</v>
      </c>
      <c s="51" r="AL96"/>
      <c s="125" r="AM96"/>
    </row>
    <row r="97">
      <c s="125" r="A97"/>
      <c s="125" r="B97"/>
      <c s="125" r="C97"/>
      <c s="125" r="D97"/>
      <c s="125" r="E97"/>
      <c s="125" r="F97"/>
      <c s="125" r="G97"/>
      <c s="125" r="H97"/>
      <c s="125" r="I97"/>
      <c s="125" r="J97"/>
      <c s="125" r="K97"/>
      <c s="125" r="L97"/>
      <c s="125" r="M97"/>
      <c s="125" r="N97"/>
      <c s="125" r="O97"/>
      <c s="125" r="P97"/>
      <c s="125" r="Q97"/>
      <c s="125" r="R97"/>
      <c s="125" r="S97"/>
      <c s="822" r="T97"/>
      <c t="str" s="309" r="U97">
        <f>IF((Profile!L125&gt;0),Profile!L125,"")</f>
        <v/>
      </c>
      <c t="str" s="861" r="V97">
        <f>IF((Profile!O125&gt;0),Profile!O125,"---")</f>
        <v>---</v>
      </c>
      <c t="str" s="861" r="W97">
        <f>IF((Profile!Y125=0),IF((Profile!Y124=0),"---",IF((Profile!Y126=0),"---",Profile!Y125)),Profile!Y125)</f>
        <v>---</v>
      </c>
      <c s="239" r="X97">
        <f>AB97+X96</f>
        <v>0</v>
      </c>
      <c s="796" r="Y97">
        <f>AC97+Y96</f>
        <v>0</v>
      </c>
      <c s="702" r="Z97"/>
      <c s="289" r="AA97">
        <f>IF(Profile!Y125,IF((Profile!O125=0),0,(Profile!O125-MAX(Profile!O$44:O124))),0)</f>
        <v>0</v>
      </c>
      <c s="605" r="AB97">
        <f>SIN(RADIANS(Profile!Y125))*AA97</f>
        <v>0</v>
      </c>
      <c s="605" r="AC97">
        <f>COS(RADIANS(Profile!Y125))*AA97</f>
        <v>0</v>
      </c>
      <c s="348" r="AD97">
        <f>IF((AJ$15=TRUE),X97,NA())</f>
        <v>0</v>
      </c>
      <c s="348" r="AE97">
        <f>IF((AJ$15=TRUE),Y97,NA())</f>
        <v>0</v>
      </c>
      <c t="str" s="348" r="AF97">
        <f>IF(Profile!L125,Y97,NA())</f>
        <v>#N/A:explicit</v>
      </c>
      <c s="348" r="AG97">
        <f>Profile!T125*E$40</f>
        <v>0</v>
      </c>
      <c t="str" s="348" r="AH97">
        <f>IF((AK$15=TRUE),IF(ISNUMBER(Profile!Y125),IF(ISNUMBER(Profile!Y126),(((X97+((F$63/2)*COS(RADIANS(Profile!Y126))))+(X97+((F$63/2)*COS(RADIANS(Profile!Y125)))))/2),(X97+((F$63/2)*COS(RADIANS(Profile!Y125))))),AH96),0)</f>
        <v>#VALUE!:notNumber:For input string: "---"</v>
      </c>
      <c t="str" s="348" r="AI97">
        <f>IF((AK$15=TRUE),IF(ISNUMBER(Profile!Y125),IF(ISNUMBER(Profile!Y126),(((Y97-((F$63/2)*SIN(RADIANS(Profile!Y126))))+(Y97-((F$63/2)*SIN(RADIANS(Profile!Y125)))))/2),(Y97-((F$63/2)*SIN(RADIANS(Profile!Y125))))),AI96),0)</f>
        <v>#VALUE!:notNumber:For input string: "---"</v>
      </c>
      <c t="str" s="348" r="AJ97">
        <f>IF((AK$15=TRUE),IF(ISNUMBER(Profile!Y125),IF(ISNUMBER(Profile!Y126),(((X97-((F$63/2)*COS(RADIANS(Profile!Y126))))+(X97-((F$63/2)*COS(RADIANS(Profile!Y125)))))/2),(X97-((F$63/2)*COS(RADIANS(Profile!Y125))))),AJ96),0)</f>
        <v>#VALUE!:notNumber:For input string: "---"</v>
      </c>
      <c t="str" s="799" r="AK97">
        <f>IF((AK$15=TRUE),IF(ISNUMBER(Profile!Y125),IF(ISNUMBER(Profile!Y126),(((Y97+((F$63/2)*SIN(RADIANS(Profile!Y126))))+(Y97+((F$63/2)*SIN(RADIANS(Profile!Y125)))))/2),(Y97+((F$63/2)*SIN(RADIANS(Profile!Y125))))),AK96),0)</f>
        <v>#VALUE!:notNumber:For input string: "---"</v>
      </c>
      <c s="51" r="AL97"/>
      <c s="125" r="AM97"/>
    </row>
    <row r="98">
      <c s="125" r="A98"/>
      <c s="125" r="B98"/>
      <c s="125" r="C98"/>
      <c s="125" r="D98"/>
      <c s="125" r="E98"/>
      <c s="125" r="F98"/>
      <c s="125" r="G98"/>
      <c s="125" r="H98"/>
      <c s="125" r="I98"/>
      <c s="125" r="J98"/>
      <c s="125" r="K98"/>
      <c s="125" r="L98"/>
      <c s="125" r="M98"/>
      <c s="125" r="N98"/>
      <c s="125" r="O98"/>
      <c s="125" r="P98"/>
      <c s="125" r="Q98"/>
      <c s="125" r="R98"/>
      <c s="125" r="S98"/>
      <c s="822" r="T98"/>
      <c t="str" s="309" r="U98">
        <f>IF((Profile!L126&gt;0),Profile!L126,"")</f>
        <v/>
      </c>
      <c t="str" s="861" r="V98">
        <f>IF((Profile!O126&gt;0),Profile!O126,"---")</f>
        <v>---</v>
      </c>
      <c t="str" s="861" r="W98">
        <f>IF((Profile!Y126=0),IF((Profile!Y125=0),"---",IF((Profile!Y127=0),"---",Profile!Y126)),Profile!Y126)</f>
        <v>---</v>
      </c>
      <c s="239" r="X98">
        <f>AB98+X97</f>
        <v>0</v>
      </c>
      <c s="796" r="Y98">
        <f>AC98+Y97</f>
        <v>0</v>
      </c>
      <c s="702" r="Z98"/>
      <c s="289" r="AA98">
        <f>IF(Profile!Y126,IF((Profile!O126=0),0,(Profile!O126-MAX(Profile!O$44:O125))),0)</f>
        <v>0</v>
      </c>
      <c s="605" r="AB98">
        <f>SIN(RADIANS(Profile!Y126))*AA98</f>
        <v>0</v>
      </c>
      <c s="605" r="AC98">
        <f>COS(RADIANS(Profile!Y126))*AA98</f>
        <v>0</v>
      </c>
      <c s="348" r="AD98">
        <f>IF((AJ$15=TRUE),X98,NA())</f>
        <v>0</v>
      </c>
      <c s="348" r="AE98">
        <f>IF((AJ$15=TRUE),Y98,NA())</f>
        <v>0</v>
      </c>
      <c t="str" s="348" r="AF98">
        <f>IF(Profile!L126,Y98,NA())</f>
        <v>#N/A:explicit</v>
      </c>
      <c s="348" r="AG98">
        <f>Profile!T126*E$40</f>
        <v>0</v>
      </c>
      <c t="str" s="348" r="AH98">
        <f>IF((AK$15=TRUE),IF(ISNUMBER(Profile!Y126),IF(ISNUMBER(Profile!Y127),(((X98+((F$63/2)*COS(RADIANS(Profile!Y127))))+(X98+((F$63/2)*COS(RADIANS(Profile!Y126)))))/2),(X98+((F$63/2)*COS(RADIANS(Profile!Y126))))),AH97),0)</f>
        <v>#VALUE!:notNumber:For input string: "---"</v>
      </c>
      <c t="str" s="348" r="AI98">
        <f>IF((AK$15=TRUE),IF(ISNUMBER(Profile!Y126),IF(ISNUMBER(Profile!Y127),(((Y98-((F$63/2)*SIN(RADIANS(Profile!Y127))))+(Y98-((F$63/2)*SIN(RADIANS(Profile!Y126)))))/2),(Y98-((F$63/2)*SIN(RADIANS(Profile!Y126))))),AI97),0)</f>
        <v>#VALUE!:notNumber:For input string: "---"</v>
      </c>
      <c t="str" s="348" r="AJ98">
        <f>IF((AK$15=TRUE),IF(ISNUMBER(Profile!Y126),IF(ISNUMBER(Profile!Y127),(((X98-((F$63/2)*COS(RADIANS(Profile!Y127))))+(X98-((F$63/2)*COS(RADIANS(Profile!Y126)))))/2),(X98-((F$63/2)*COS(RADIANS(Profile!Y126))))),AJ97),0)</f>
        <v>#VALUE!:notNumber:For input string: "---"</v>
      </c>
      <c t="str" s="799" r="AK98">
        <f>IF((AK$15=TRUE),IF(ISNUMBER(Profile!Y126),IF(ISNUMBER(Profile!Y127),(((Y98+((F$63/2)*SIN(RADIANS(Profile!Y127))))+(Y98+((F$63/2)*SIN(RADIANS(Profile!Y126)))))/2),(Y98+((F$63/2)*SIN(RADIANS(Profile!Y126))))),AK97),0)</f>
        <v>#VALUE!:notNumber:For input string: "---"</v>
      </c>
      <c s="51" r="AL98"/>
      <c s="125" r="AM98"/>
    </row>
    <row r="99">
      <c s="125" r="A99"/>
      <c s="125" r="B99"/>
      <c s="125" r="C99"/>
      <c s="125" r="D99"/>
      <c s="125" r="E99"/>
      <c s="125" r="F99"/>
      <c s="125" r="G99"/>
      <c s="125" r="H99"/>
      <c s="125" r="I99"/>
      <c s="125" r="J99"/>
      <c s="125" r="K99"/>
      <c s="125" r="L99"/>
      <c s="125" r="M99"/>
      <c s="125" r="N99"/>
      <c s="125" r="O99"/>
      <c s="125" r="P99"/>
      <c s="125" r="Q99"/>
      <c s="125" r="R99"/>
      <c s="125" r="S99"/>
      <c s="822" r="T99"/>
      <c t="str" s="309" r="U99">
        <f>IF((Profile!L127&gt;0),Profile!L127,"")</f>
        <v/>
      </c>
      <c t="str" s="861" r="V99">
        <f>IF((Profile!O127&gt;0),Profile!O127,"---")</f>
        <v>---</v>
      </c>
      <c t="str" s="861" r="W99">
        <f>IF((Profile!Y127=0),IF((Profile!Y126=0),"---",IF((Profile!Y128=0),"---",Profile!Y127)),Profile!Y127)</f>
        <v>---</v>
      </c>
      <c s="239" r="X99">
        <f>AB99+X98</f>
        <v>0</v>
      </c>
      <c s="796" r="Y99">
        <f>AC99+Y98</f>
        <v>0</v>
      </c>
      <c s="702" r="Z99"/>
      <c s="289" r="AA99">
        <f>IF(Profile!Y127,IF((Profile!O127=0),0,(Profile!O127-MAX(Profile!O$44:O126))),0)</f>
        <v>0</v>
      </c>
      <c s="605" r="AB99">
        <f>SIN(RADIANS(Profile!Y127))*AA99</f>
        <v>0</v>
      </c>
      <c s="605" r="AC99">
        <f>COS(RADIANS(Profile!Y127))*AA99</f>
        <v>0</v>
      </c>
      <c s="348" r="AD99">
        <f>IF((AJ$15=TRUE),X99,NA())</f>
        <v>0</v>
      </c>
      <c s="348" r="AE99">
        <f>IF((AJ$15=TRUE),Y99,NA())</f>
        <v>0</v>
      </c>
      <c t="str" s="348" r="AF99">
        <f>IF(Profile!L127,Y99,NA())</f>
        <v>#N/A:explicit</v>
      </c>
      <c s="348" r="AG99">
        <f>Profile!T127*E$40</f>
        <v>0</v>
      </c>
      <c t="str" s="348" r="AH99">
        <f>IF((AK$15=TRUE),IF(ISNUMBER(Profile!Y127),IF(ISNUMBER(Profile!Y128),(((X99+((F$63/2)*COS(RADIANS(Profile!Y128))))+(X99+((F$63/2)*COS(RADIANS(Profile!Y127)))))/2),(X99+((F$63/2)*COS(RADIANS(Profile!Y127))))),AH98),0)</f>
        <v>#VALUE!:notNumber:For input string: "---"</v>
      </c>
      <c t="str" s="348" r="AI99">
        <f>IF((AK$15=TRUE),IF(ISNUMBER(Profile!Y127),IF(ISNUMBER(Profile!Y128),(((Y99-((F$63/2)*SIN(RADIANS(Profile!Y128))))+(Y99-((F$63/2)*SIN(RADIANS(Profile!Y127)))))/2),(Y99-((F$63/2)*SIN(RADIANS(Profile!Y127))))),AI98),0)</f>
        <v>#VALUE!:notNumber:For input string: "---"</v>
      </c>
      <c t="str" s="348" r="AJ99">
        <f>IF((AK$15=TRUE),IF(ISNUMBER(Profile!Y127),IF(ISNUMBER(Profile!Y128),(((X99-((F$63/2)*COS(RADIANS(Profile!Y128))))+(X99-((F$63/2)*COS(RADIANS(Profile!Y127)))))/2),(X99-((F$63/2)*COS(RADIANS(Profile!Y127))))),AJ98),0)</f>
        <v>#VALUE!:notNumber:For input string: "---"</v>
      </c>
      <c t="str" s="799" r="AK99">
        <f>IF((AK$15=TRUE),IF(ISNUMBER(Profile!Y127),IF(ISNUMBER(Profile!Y128),(((Y99+((F$63/2)*SIN(RADIANS(Profile!Y128))))+(Y99+((F$63/2)*SIN(RADIANS(Profile!Y127)))))/2),(Y99+((F$63/2)*SIN(RADIANS(Profile!Y127))))),AK98),0)</f>
        <v>#VALUE!:notNumber:For input string: "---"</v>
      </c>
      <c s="51" r="AL99"/>
      <c s="125" r="AM99"/>
    </row>
    <row r="100">
      <c s="125" r="A100"/>
      <c s="125" r="B100"/>
      <c s="125" r="C100"/>
      <c s="125" r="D100"/>
      <c s="125" r="E100"/>
      <c s="125" r="F100"/>
      <c s="125" r="G100"/>
      <c s="125" r="H100"/>
      <c s="125" r="I100"/>
      <c s="125" r="J100"/>
      <c s="125" r="K100"/>
      <c s="125" r="L100"/>
      <c s="125" r="M100"/>
      <c s="125" r="N100"/>
      <c s="125" r="O100"/>
      <c s="125" r="P100"/>
      <c s="125" r="Q100"/>
      <c s="125" r="R100"/>
      <c s="125" r="S100"/>
      <c s="822" r="T100"/>
      <c t="str" s="309" r="U100">
        <f>IF((Profile!L128&gt;0),Profile!L128,"")</f>
        <v/>
      </c>
      <c t="str" s="861" r="V100">
        <f>IF((Profile!O128&gt;0),Profile!O128,"---")</f>
        <v>---</v>
      </c>
      <c t="str" s="861" r="W100">
        <f>IF((Profile!Y128=0),IF((Profile!Y127=0),"---",IF((Profile!Y129=0),"---",Profile!Y128)),Profile!Y128)</f>
        <v>---</v>
      </c>
      <c s="239" r="X100">
        <f>AB100+X99</f>
        <v>0</v>
      </c>
      <c s="796" r="Y100">
        <f>AC100+Y99</f>
        <v>0</v>
      </c>
      <c s="702" r="Z100"/>
      <c s="289" r="AA100">
        <f>IF(Profile!Y128,IF((Profile!O128=0),0,(Profile!O128-MAX(Profile!O$44:O127))),0)</f>
        <v>0</v>
      </c>
      <c s="605" r="AB100">
        <f>SIN(RADIANS(Profile!Y128))*AA100</f>
        <v>0</v>
      </c>
      <c s="605" r="AC100">
        <f>COS(RADIANS(Profile!Y128))*AA100</f>
        <v>0</v>
      </c>
      <c s="348" r="AD100">
        <f>IF((AJ$15=TRUE),X100,NA())</f>
        <v>0</v>
      </c>
      <c s="348" r="AE100">
        <f>IF((AJ$15=TRUE),Y100,NA())</f>
        <v>0</v>
      </c>
      <c t="str" s="348" r="AF100">
        <f>IF(Profile!L128,Y100,NA())</f>
        <v>#N/A:explicit</v>
      </c>
      <c s="348" r="AG100">
        <f>Profile!T128*E$40</f>
        <v>0</v>
      </c>
      <c t="str" s="348" r="AH100">
        <f>IF((AK$15=TRUE),IF(ISNUMBER(Profile!Y128),IF(ISNUMBER(Profile!Y129),(((X100+((F$63/2)*COS(RADIANS(Profile!Y129))))+(X100+((F$63/2)*COS(RADIANS(Profile!Y128)))))/2),(X100+((F$63/2)*COS(RADIANS(Profile!Y128))))),AH99),0)</f>
        <v>#VALUE!:notNumber:For input string: "---"</v>
      </c>
      <c t="str" s="348" r="AI100">
        <f>IF((AK$15=TRUE),IF(ISNUMBER(Profile!Y128),IF(ISNUMBER(Profile!Y129),(((Y100-((F$63/2)*SIN(RADIANS(Profile!Y129))))+(Y100-((F$63/2)*SIN(RADIANS(Profile!Y128)))))/2),(Y100-((F$63/2)*SIN(RADIANS(Profile!Y128))))),AI99),0)</f>
        <v>#VALUE!:notNumber:For input string: "---"</v>
      </c>
      <c t="str" s="348" r="AJ100">
        <f>IF((AK$15=TRUE),IF(ISNUMBER(Profile!Y128),IF(ISNUMBER(Profile!Y129),(((X100-((F$63/2)*COS(RADIANS(Profile!Y129))))+(X100-((F$63/2)*COS(RADIANS(Profile!Y128)))))/2),(X100-((F$63/2)*COS(RADIANS(Profile!Y128))))),AJ99),0)</f>
        <v>#VALUE!:notNumber:For input string: "---"</v>
      </c>
      <c t="str" s="799" r="AK100">
        <f>IF((AK$15=TRUE),IF(ISNUMBER(Profile!Y128),IF(ISNUMBER(Profile!Y129),(((Y100+((F$63/2)*SIN(RADIANS(Profile!Y129))))+(Y100+((F$63/2)*SIN(RADIANS(Profile!Y128)))))/2),(Y100+((F$63/2)*SIN(RADIANS(Profile!Y128))))),AK99),0)</f>
        <v>#VALUE!:notNumber:For input string: "---"</v>
      </c>
      <c s="51" r="AL100"/>
      <c s="125" r="AM100"/>
    </row>
    <row r="101">
      <c s="125" r="A101"/>
      <c s="125" r="B101"/>
      <c s="125" r="C101"/>
      <c s="125" r="D101"/>
      <c s="125" r="E101"/>
      <c s="125" r="F101"/>
      <c s="125" r="G101"/>
      <c s="125" r="H101"/>
      <c s="125" r="I101"/>
      <c s="125" r="J101"/>
      <c s="125" r="K101"/>
      <c s="125" r="L101"/>
      <c s="125" r="M101"/>
      <c s="125" r="N101"/>
      <c s="125" r="O101"/>
      <c s="125" r="P101"/>
      <c s="125" r="Q101"/>
      <c s="125" r="R101"/>
      <c s="125" r="S101"/>
      <c s="822" r="T101"/>
      <c t="str" s="309" r="U101">
        <f>IF((Profile!L129&gt;0),Profile!L129,"")</f>
        <v/>
      </c>
      <c t="str" s="861" r="V101">
        <f>IF((Profile!O129&gt;0),Profile!O129,"---")</f>
        <v>---</v>
      </c>
      <c t="str" s="861" r="W101">
        <f>IF((Profile!Y129=0),IF((Profile!Y128=0),"---",IF((Profile!Y130=0),"---",Profile!Y129)),Profile!Y129)</f>
        <v>---</v>
      </c>
      <c s="239" r="X101">
        <f>AB101+X100</f>
        <v>0</v>
      </c>
      <c s="796" r="Y101">
        <f>AC101+Y100</f>
        <v>0</v>
      </c>
      <c s="702" r="Z101"/>
      <c s="289" r="AA101">
        <f>IF(Profile!Y129,IF((Profile!O129=0),0,(Profile!O129-MAX(Profile!O$44:O128))),0)</f>
        <v>0</v>
      </c>
      <c s="605" r="AB101">
        <f>SIN(RADIANS(Profile!Y129))*AA101</f>
        <v>0</v>
      </c>
      <c s="605" r="AC101">
        <f>COS(RADIANS(Profile!Y129))*AA101</f>
        <v>0</v>
      </c>
      <c s="348" r="AD101">
        <f>IF((AJ$15=TRUE),X101,NA())</f>
        <v>0</v>
      </c>
      <c s="348" r="AE101">
        <f>IF((AJ$15=TRUE),Y101,NA())</f>
        <v>0</v>
      </c>
      <c t="str" s="348" r="AF101">
        <f>IF(Profile!L129,Y101,NA())</f>
        <v>#N/A:explicit</v>
      </c>
      <c s="348" r="AG101">
        <f>Profile!T129*E$40</f>
        <v>0</v>
      </c>
      <c t="str" s="348" r="AH101">
        <f>IF((AK$15=TRUE),IF(ISNUMBER(Profile!Y129),IF(ISNUMBER(Profile!Y130),(((X101+((F$63/2)*COS(RADIANS(Profile!Y130))))+(X101+((F$63/2)*COS(RADIANS(Profile!Y129)))))/2),(X101+((F$63/2)*COS(RADIANS(Profile!Y129))))),AH100),0)</f>
        <v>#VALUE!:notNumber:For input string: "---"</v>
      </c>
      <c t="str" s="348" r="AI101">
        <f>IF((AK$15=TRUE),IF(ISNUMBER(Profile!Y129),IF(ISNUMBER(Profile!Y130),(((Y101-((F$63/2)*SIN(RADIANS(Profile!Y130))))+(Y101-((F$63/2)*SIN(RADIANS(Profile!Y129)))))/2),(Y101-((F$63/2)*SIN(RADIANS(Profile!Y129))))),AI100),0)</f>
        <v>#VALUE!:notNumber:For input string: "---"</v>
      </c>
      <c t="str" s="348" r="AJ101">
        <f>IF((AK$15=TRUE),IF(ISNUMBER(Profile!Y129),IF(ISNUMBER(Profile!Y130),(((X101-((F$63/2)*COS(RADIANS(Profile!Y130))))+(X101-((F$63/2)*COS(RADIANS(Profile!Y129)))))/2),(X101-((F$63/2)*COS(RADIANS(Profile!Y129))))),AJ100),0)</f>
        <v>#VALUE!:notNumber:For input string: "---"</v>
      </c>
      <c t="str" s="799" r="AK101">
        <f>IF((AK$15=TRUE),IF(ISNUMBER(Profile!Y129),IF(ISNUMBER(Profile!Y130),(((Y101+((F$63/2)*SIN(RADIANS(Profile!Y130))))+(Y101+((F$63/2)*SIN(RADIANS(Profile!Y129)))))/2),(Y101+((F$63/2)*SIN(RADIANS(Profile!Y129))))),AK100),0)</f>
        <v>#VALUE!:notNumber:For input string: "---"</v>
      </c>
      <c s="51" r="AL101"/>
      <c s="125" r="AM101"/>
    </row>
    <row r="102">
      <c s="125" r="A102"/>
      <c s="125" r="B102"/>
      <c s="125" r="C102"/>
      <c s="125" r="D102"/>
      <c s="125" r="E102"/>
      <c s="125" r="F102"/>
      <c s="125" r="G102"/>
      <c s="125" r="H102"/>
      <c s="125" r="I102"/>
      <c s="125" r="J102"/>
      <c s="125" r="K102"/>
      <c s="125" r="L102"/>
      <c s="125" r="M102"/>
      <c s="125" r="N102"/>
      <c s="125" r="O102"/>
      <c s="125" r="P102"/>
      <c s="125" r="Q102"/>
      <c s="125" r="R102"/>
      <c s="125" r="S102"/>
      <c s="822" r="T102"/>
      <c t="str" s="309" r="U102">
        <f>IF((Profile!L130&gt;0),Profile!L130,"")</f>
        <v/>
      </c>
      <c t="str" s="861" r="V102">
        <f>IF((Profile!O130&gt;0),Profile!O130,"---")</f>
        <v>---</v>
      </c>
      <c t="str" s="861" r="W102">
        <f>IF((Profile!Y130=0),IF((Profile!Y129=0),"---",IF((Profile!Y131=0),"---",Profile!Y130)),Profile!Y130)</f>
        <v>---</v>
      </c>
      <c s="239" r="X102">
        <f>AB102+X101</f>
        <v>0</v>
      </c>
      <c s="796" r="Y102">
        <f>AC102+Y101</f>
        <v>0</v>
      </c>
      <c s="702" r="Z102"/>
      <c s="289" r="AA102">
        <f>IF(Profile!Y130,IF((Profile!O130=0),0,(Profile!O130-MAX(Profile!O$44:O129))),0)</f>
        <v>0</v>
      </c>
      <c s="605" r="AB102">
        <f>SIN(RADIANS(Profile!Y130))*AA102</f>
        <v>0</v>
      </c>
      <c s="605" r="AC102">
        <f>COS(RADIANS(Profile!Y130))*AA102</f>
        <v>0</v>
      </c>
      <c s="348" r="AD102">
        <f>IF((AJ$15=TRUE),X102,NA())</f>
        <v>0</v>
      </c>
      <c s="348" r="AE102">
        <f>IF((AJ$15=TRUE),Y102,NA())</f>
        <v>0</v>
      </c>
      <c t="str" s="348" r="AF102">
        <f>IF(Profile!L130,Y102,NA())</f>
        <v>#N/A:explicit</v>
      </c>
      <c s="348" r="AG102">
        <f>Profile!T130*E$40</f>
        <v>0</v>
      </c>
      <c t="str" s="348" r="AH102">
        <f>IF((AK$15=TRUE),IF(ISNUMBER(Profile!Y130),IF(ISNUMBER(Profile!Y131),(((X102+((F$63/2)*COS(RADIANS(Profile!Y131))))+(X102+((F$63/2)*COS(RADIANS(Profile!Y130)))))/2),(X102+((F$63/2)*COS(RADIANS(Profile!Y130))))),AH101),0)</f>
        <v>#VALUE!:notNumber:For input string: "---"</v>
      </c>
      <c t="str" s="348" r="AI102">
        <f>IF((AK$15=TRUE),IF(ISNUMBER(Profile!Y130),IF(ISNUMBER(Profile!Y131),(((Y102-((F$63/2)*SIN(RADIANS(Profile!Y131))))+(Y102-((F$63/2)*SIN(RADIANS(Profile!Y130)))))/2),(Y102-((F$63/2)*SIN(RADIANS(Profile!Y130))))),AI101),0)</f>
        <v>#VALUE!:notNumber:For input string: "---"</v>
      </c>
      <c t="str" s="348" r="AJ102">
        <f>IF((AK$15=TRUE),IF(ISNUMBER(Profile!Y130),IF(ISNUMBER(Profile!Y131),(((X102-((F$63/2)*COS(RADIANS(Profile!Y131))))+(X102-((F$63/2)*COS(RADIANS(Profile!Y130)))))/2),(X102-((F$63/2)*COS(RADIANS(Profile!Y130))))),AJ101),0)</f>
        <v>#VALUE!:notNumber:For input string: "---"</v>
      </c>
      <c t="str" s="799" r="AK102">
        <f>IF((AK$15=TRUE),IF(ISNUMBER(Profile!Y130),IF(ISNUMBER(Profile!Y131),(((Y102+((F$63/2)*SIN(RADIANS(Profile!Y131))))+(Y102+((F$63/2)*SIN(RADIANS(Profile!Y130)))))/2),(Y102+((F$63/2)*SIN(RADIANS(Profile!Y130))))),AK101),0)</f>
        <v>#VALUE!:notNumber:For input string: "---"</v>
      </c>
      <c s="51" r="AL102"/>
      <c s="125" r="AM102"/>
    </row>
    <row r="103">
      <c s="125" r="A103"/>
      <c s="125" r="B103"/>
      <c s="125" r="C103"/>
      <c s="125" r="D103"/>
      <c s="125" r="E103"/>
      <c s="125" r="F103"/>
      <c s="125" r="G103"/>
      <c s="125" r="H103"/>
      <c s="125" r="I103"/>
      <c s="125" r="J103"/>
      <c s="125" r="K103"/>
      <c s="125" r="L103"/>
      <c s="125" r="M103"/>
      <c s="125" r="N103"/>
      <c s="125" r="O103"/>
      <c s="125" r="P103"/>
      <c s="125" r="Q103"/>
      <c s="125" r="R103"/>
      <c s="125" r="S103"/>
      <c s="822" r="T103"/>
      <c t="str" s="309" r="U103">
        <f>IF((Profile!L131&gt;0),Profile!L131,"")</f>
        <v/>
      </c>
      <c t="str" s="861" r="V103">
        <f>IF((Profile!O131&gt;0),Profile!O131,"---")</f>
        <v>---</v>
      </c>
      <c t="str" s="861" r="W103">
        <f>IF((Profile!Y131=0),IF((Profile!Y130=0),"---",IF((Profile!Y132=0),"---",Profile!Y131)),Profile!Y131)</f>
        <v>---</v>
      </c>
      <c s="239" r="X103">
        <f>AB103+X102</f>
        <v>0</v>
      </c>
      <c s="796" r="Y103">
        <f>AC103+Y102</f>
        <v>0</v>
      </c>
      <c s="702" r="Z103"/>
      <c s="289" r="AA103">
        <f>IF(Profile!Y131,IF((Profile!O131=0),0,(Profile!O131-MAX(Profile!O$44:O130))),0)</f>
        <v>0</v>
      </c>
      <c s="605" r="AB103">
        <f>SIN(RADIANS(Profile!Y131))*AA103</f>
        <v>0</v>
      </c>
      <c s="605" r="AC103">
        <f>COS(RADIANS(Profile!Y131))*AA103</f>
        <v>0</v>
      </c>
      <c s="348" r="AD103">
        <f>IF((AJ$15=TRUE),X103,NA())</f>
        <v>0</v>
      </c>
      <c s="348" r="AE103">
        <f>IF((AJ$15=TRUE),Y103,NA())</f>
        <v>0</v>
      </c>
      <c t="str" s="348" r="AF103">
        <f>IF(Profile!L131,Y103,NA())</f>
        <v>#N/A:explicit</v>
      </c>
      <c s="348" r="AG103">
        <f>Profile!T131*E$40</f>
        <v>0</v>
      </c>
      <c t="str" s="348" r="AH103">
        <f>IF((AK$15=TRUE),IF(ISNUMBER(Profile!Y131),IF(ISNUMBER(Profile!Y132),(((X103+((F$63/2)*COS(RADIANS(Profile!Y132))))+(X103+((F$63/2)*COS(RADIANS(Profile!Y131)))))/2),(X103+((F$63/2)*COS(RADIANS(Profile!Y131))))),AH102),0)</f>
        <v>#VALUE!:notNumber:For input string: "---"</v>
      </c>
      <c t="str" s="348" r="AI103">
        <f>IF((AK$15=TRUE),IF(ISNUMBER(Profile!Y131),IF(ISNUMBER(Profile!Y132),(((Y103-((F$63/2)*SIN(RADIANS(Profile!Y132))))+(Y103-((F$63/2)*SIN(RADIANS(Profile!Y131)))))/2),(Y103-((F$63/2)*SIN(RADIANS(Profile!Y131))))),AI102),0)</f>
        <v>#VALUE!:notNumber:For input string: "---"</v>
      </c>
      <c t="str" s="348" r="AJ103">
        <f>IF((AK$15=TRUE),IF(ISNUMBER(Profile!Y131),IF(ISNUMBER(Profile!Y132),(((X103-((F$63/2)*COS(RADIANS(Profile!Y132))))+(X103-((F$63/2)*COS(RADIANS(Profile!Y131)))))/2),(X103-((F$63/2)*COS(RADIANS(Profile!Y131))))),AJ102),0)</f>
        <v>#VALUE!:notNumber:For input string: "---"</v>
      </c>
      <c t="str" s="799" r="AK103">
        <f>IF((AK$15=TRUE),IF(ISNUMBER(Profile!Y131),IF(ISNUMBER(Profile!Y132),(((Y103+((F$63/2)*SIN(RADIANS(Profile!Y132))))+(Y103+((F$63/2)*SIN(RADIANS(Profile!Y131)))))/2),(Y103+((F$63/2)*SIN(RADIANS(Profile!Y131))))),AK102),0)</f>
        <v>#VALUE!:notNumber:For input string: "---"</v>
      </c>
      <c s="51" r="AL103"/>
      <c s="125" r="AM103"/>
    </row>
    <row r="104">
      <c s="125" r="A104"/>
      <c s="125" r="B104"/>
      <c s="125" r="C104"/>
      <c s="125" r="D104"/>
      <c s="125" r="E104"/>
      <c s="125" r="F104"/>
      <c s="125" r="G104"/>
      <c s="125" r="H104"/>
      <c s="125" r="I104"/>
      <c s="125" r="J104"/>
      <c s="125" r="K104"/>
      <c s="125" r="L104"/>
      <c s="125" r="M104"/>
      <c s="125" r="N104"/>
      <c s="125" r="O104"/>
      <c s="125" r="P104"/>
      <c s="125" r="Q104"/>
      <c s="125" r="R104"/>
      <c s="125" r="S104"/>
      <c s="822" r="T104"/>
      <c t="str" s="309" r="U104">
        <f>IF((Profile!L132&gt;0),Profile!L132,"")</f>
        <v/>
      </c>
      <c t="str" s="861" r="V104">
        <f>IF((Profile!O132&gt;0),Profile!O132,"---")</f>
        <v>---</v>
      </c>
      <c t="str" s="861" r="W104">
        <f>IF((Profile!Y132=0),IF((Profile!Y131=0),"---",IF((Profile!Y133=0),"---",Profile!Y132)),Profile!Y132)</f>
        <v>---</v>
      </c>
      <c s="239" r="X104">
        <f>AB104+X103</f>
        <v>0</v>
      </c>
      <c s="796" r="Y104">
        <f>AC104+Y103</f>
        <v>0</v>
      </c>
      <c s="702" r="Z104"/>
      <c s="289" r="AA104">
        <f>IF(Profile!Y132,IF((Profile!O132=0),0,(Profile!O132-MAX(Profile!O$44:O131))),0)</f>
        <v>0</v>
      </c>
      <c s="605" r="AB104">
        <f>SIN(RADIANS(Profile!Y132))*AA104</f>
        <v>0</v>
      </c>
      <c s="605" r="AC104">
        <f>COS(RADIANS(Profile!Y132))*AA104</f>
        <v>0</v>
      </c>
      <c s="348" r="AD104">
        <f>IF((AJ$15=TRUE),X104,NA())</f>
        <v>0</v>
      </c>
      <c s="348" r="AE104">
        <f>IF((AJ$15=TRUE),Y104,NA())</f>
        <v>0</v>
      </c>
      <c t="str" s="348" r="AF104">
        <f>IF(Profile!L132,Y104,NA())</f>
        <v>#N/A:explicit</v>
      </c>
      <c s="348" r="AG104">
        <f>Profile!T132*E$40</f>
        <v>0</v>
      </c>
      <c t="str" s="348" r="AH104">
        <f>IF((AK$15=TRUE),IF(ISNUMBER(Profile!Y132),IF(ISNUMBER(Profile!Y133),(((X104+((F$63/2)*COS(RADIANS(Profile!Y133))))+(X104+((F$63/2)*COS(RADIANS(Profile!Y132)))))/2),(X104+((F$63/2)*COS(RADIANS(Profile!Y132))))),AH103),0)</f>
        <v>#VALUE!:notNumber:For input string: "---"</v>
      </c>
      <c t="str" s="348" r="AI104">
        <f>IF((AK$15=TRUE),IF(ISNUMBER(Profile!Y132),IF(ISNUMBER(Profile!Y133),(((Y104-((F$63/2)*SIN(RADIANS(Profile!Y133))))+(Y104-((F$63/2)*SIN(RADIANS(Profile!Y132)))))/2),(Y104-((F$63/2)*SIN(RADIANS(Profile!Y132))))),AI103),0)</f>
        <v>#VALUE!:notNumber:For input string: "---"</v>
      </c>
      <c t="str" s="348" r="AJ104">
        <f>IF((AK$15=TRUE),IF(ISNUMBER(Profile!Y132),IF(ISNUMBER(Profile!Y133),(((X104-((F$63/2)*COS(RADIANS(Profile!Y133))))+(X104-((F$63/2)*COS(RADIANS(Profile!Y132)))))/2),(X104-((F$63/2)*COS(RADIANS(Profile!Y132))))),AJ103),0)</f>
        <v>#VALUE!:notNumber:For input string: "---"</v>
      </c>
      <c t="str" s="799" r="AK104">
        <f>IF((AK$15=TRUE),IF(ISNUMBER(Profile!Y132),IF(ISNUMBER(Profile!Y133),(((Y104+((F$63/2)*SIN(RADIANS(Profile!Y133))))+(Y104+((F$63/2)*SIN(RADIANS(Profile!Y132)))))/2),(Y104+((F$63/2)*SIN(RADIANS(Profile!Y132))))),AK103),0)</f>
        <v>#VALUE!:notNumber:For input string: "---"</v>
      </c>
      <c s="51" r="AL104"/>
      <c s="125" r="AM104"/>
    </row>
    <row r="105">
      <c s="125" r="A105"/>
      <c s="125" r="B105"/>
      <c s="125" r="C105"/>
      <c s="125" r="D105"/>
      <c s="125" r="E105"/>
      <c s="125" r="F105"/>
      <c s="125" r="G105"/>
      <c s="125" r="H105"/>
      <c s="125" r="I105"/>
      <c s="125" r="J105"/>
      <c s="125" r="K105"/>
      <c s="125" r="L105"/>
      <c s="125" r="M105"/>
      <c s="125" r="N105"/>
      <c s="125" r="O105"/>
      <c s="125" r="P105"/>
      <c s="125" r="Q105"/>
      <c s="125" r="R105"/>
      <c s="125" r="S105"/>
      <c s="822" r="T105"/>
      <c t="str" s="309" r="U105">
        <f>IF((Profile!L133&gt;0),Profile!L133,"")</f>
        <v/>
      </c>
      <c t="str" s="861" r="V105">
        <f>IF((Profile!O133&gt;0),Profile!O133,"---")</f>
        <v>---</v>
      </c>
      <c t="str" s="861" r="W105">
        <f>IF((Profile!Y133=0),IF((Profile!Y132=0),"---",IF((Profile!Y134=0),"---",Profile!Y133)),Profile!Y133)</f>
        <v>---</v>
      </c>
      <c s="239" r="X105">
        <f>AB105+X104</f>
        <v>0</v>
      </c>
      <c s="796" r="Y105">
        <f>AC105+Y104</f>
        <v>0</v>
      </c>
      <c s="702" r="Z105"/>
      <c s="289" r="AA105">
        <f>IF(Profile!Y133,IF((Profile!O133=0),0,(Profile!O133-MAX(Profile!O$44:O132))),0)</f>
        <v>0</v>
      </c>
      <c s="605" r="AB105">
        <f>SIN(RADIANS(Profile!Y133))*AA105</f>
        <v>0</v>
      </c>
      <c s="605" r="AC105">
        <f>COS(RADIANS(Profile!Y133))*AA105</f>
        <v>0</v>
      </c>
      <c s="348" r="AD105">
        <f>IF((AJ$15=TRUE),X105,NA())</f>
        <v>0</v>
      </c>
      <c s="348" r="AE105">
        <f>IF((AJ$15=TRUE),Y105,NA())</f>
        <v>0</v>
      </c>
      <c t="str" s="348" r="AF105">
        <f>IF(Profile!L133,Y105,NA())</f>
        <v>#N/A:explicit</v>
      </c>
      <c s="348" r="AG105">
        <f>Profile!T133*E$40</f>
        <v>0</v>
      </c>
      <c t="str" s="348" r="AH105">
        <f>IF((AK$15=TRUE),IF(ISNUMBER(Profile!Y133),IF(ISNUMBER(Profile!Y134),(((X105+((F$63/2)*COS(RADIANS(Profile!Y134))))+(X105+((F$63/2)*COS(RADIANS(Profile!Y133)))))/2),(X105+((F$63/2)*COS(RADIANS(Profile!Y133))))),AH104),0)</f>
        <v>#VALUE!:notNumber:For input string: "---"</v>
      </c>
      <c t="str" s="348" r="AI105">
        <f>IF((AK$15=TRUE),IF(ISNUMBER(Profile!Y133),IF(ISNUMBER(Profile!Y134),(((Y105-((F$63/2)*SIN(RADIANS(Profile!Y134))))+(Y105-((F$63/2)*SIN(RADIANS(Profile!Y133)))))/2),(Y105-((F$63/2)*SIN(RADIANS(Profile!Y133))))),AI104),0)</f>
        <v>#VALUE!:notNumber:For input string: "---"</v>
      </c>
      <c t="str" s="348" r="AJ105">
        <f>IF((AK$15=TRUE),IF(ISNUMBER(Profile!Y133),IF(ISNUMBER(Profile!Y134),(((X105-((F$63/2)*COS(RADIANS(Profile!Y134))))+(X105-((F$63/2)*COS(RADIANS(Profile!Y133)))))/2),(X105-((F$63/2)*COS(RADIANS(Profile!Y133))))),AJ104),0)</f>
        <v>#VALUE!:notNumber:For input string: "---"</v>
      </c>
      <c t="str" s="799" r="AK105">
        <f>IF((AK$15=TRUE),IF(ISNUMBER(Profile!Y133),IF(ISNUMBER(Profile!Y134),(((Y105+((F$63/2)*SIN(RADIANS(Profile!Y134))))+(Y105+((F$63/2)*SIN(RADIANS(Profile!Y133)))))/2),(Y105+((F$63/2)*SIN(RADIANS(Profile!Y133))))),AK104),0)</f>
        <v>#VALUE!:notNumber:For input string: "---"</v>
      </c>
      <c s="51" r="AL105"/>
      <c s="125" r="AM105"/>
    </row>
    <row r="106">
      <c s="125" r="A106"/>
      <c s="125" r="B106"/>
      <c s="125" r="C106"/>
      <c s="125" r="D106"/>
      <c s="125" r="E106"/>
      <c s="125" r="F106"/>
      <c s="125" r="G106"/>
      <c s="125" r="H106"/>
      <c s="125" r="I106"/>
      <c s="125" r="J106"/>
      <c s="125" r="K106"/>
      <c s="125" r="L106"/>
      <c s="125" r="M106"/>
      <c s="125" r="N106"/>
      <c s="125" r="O106"/>
      <c s="125" r="P106"/>
      <c s="125" r="Q106"/>
      <c s="125" r="R106"/>
      <c s="125" r="S106"/>
      <c s="822" r="T106"/>
      <c t="str" s="309" r="U106">
        <f>IF((Profile!L134&gt;0),Profile!L134,"")</f>
        <v/>
      </c>
      <c t="str" s="861" r="V106">
        <f>IF((Profile!O134&gt;0),Profile!O134,"---")</f>
        <v>---</v>
      </c>
      <c t="str" s="861" r="W106">
        <f>IF((Profile!Y134=0),IF((Profile!Y133=0),"---",IF((Profile!Y135=0),"---",Profile!Y134)),Profile!Y134)</f>
        <v>---</v>
      </c>
      <c s="239" r="X106">
        <f>AB106+X105</f>
        <v>0</v>
      </c>
      <c s="796" r="Y106">
        <f>AC106+Y105</f>
        <v>0</v>
      </c>
      <c s="702" r="Z106"/>
      <c s="289" r="AA106">
        <f>IF(Profile!Y134,IF((Profile!O134=0),0,(Profile!O134-MAX(Profile!O$44:O133))),0)</f>
        <v>0</v>
      </c>
      <c s="605" r="AB106">
        <f>SIN(RADIANS(Profile!Y134))*AA106</f>
        <v>0</v>
      </c>
      <c s="605" r="AC106">
        <f>COS(RADIANS(Profile!Y134))*AA106</f>
        <v>0</v>
      </c>
      <c s="348" r="AD106">
        <f>IF((AJ$15=TRUE),X106,NA())</f>
        <v>0</v>
      </c>
      <c s="348" r="AE106">
        <f>IF((AJ$15=TRUE),Y106,NA())</f>
        <v>0</v>
      </c>
      <c t="str" s="348" r="AF106">
        <f>IF(Profile!L134,Y106,NA())</f>
        <v>#N/A:explicit</v>
      </c>
      <c s="348" r="AG106">
        <f>Profile!T134*E$40</f>
        <v>0</v>
      </c>
      <c t="str" s="348" r="AH106">
        <f>IF((AK$15=TRUE),IF(ISNUMBER(Profile!Y134),IF(ISNUMBER(Profile!Y135),(((X106+((F$63/2)*COS(RADIANS(Profile!Y135))))+(X106+((F$63/2)*COS(RADIANS(Profile!Y134)))))/2),(X106+((F$63/2)*COS(RADIANS(Profile!Y134))))),AH105),0)</f>
        <v>#VALUE!:notNumber:For input string: "---"</v>
      </c>
      <c t="str" s="348" r="AI106">
        <f>IF((AK$15=TRUE),IF(ISNUMBER(Profile!Y134),IF(ISNUMBER(Profile!Y135),(((Y106-((F$63/2)*SIN(RADIANS(Profile!Y135))))+(Y106-((F$63/2)*SIN(RADIANS(Profile!Y134)))))/2),(Y106-((F$63/2)*SIN(RADIANS(Profile!Y134))))),AI105),0)</f>
        <v>#VALUE!:notNumber:For input string: "---"</v>
      </c>
      <c t="str" s="348" r="AJ106">
        <f>IF((AK$15=TRUE),IF(ISNUMBER(Profile!Y134),IF(ISNUMBER(Profile!Y135),(((X106-((F$63/2)*COS(RADIANS(Profile!Y135))))+(X106-((F$63/2)*COS(RADIANS(Profile!Y134)))))/2),(X106-((F$63/2)*COS(RADIANS(Profile!Y134))))),AJ105),0)</f>
        <v>#VALUE!:notNumber:For input string: "---"</v>
      </c>
      <c t="str" s="799" r="AK106">
        <f>IF((AK$15=TRUE),IF(ISNUMBER(Profile!Y134),IF(ISNUMBER(Profile!Y135),(((Y106+((F$63/2)*SIN(RADIANS(Profile!Y135))))+(Y106+((F$63/2)*SIN(RADIANS(Profile!Y134)))))/2),(Y106+((F$63/2)*SIN(RADIANS(Profile!Y134))))),AK105),0)</f>
        <v>#VALUE!:notNumber:For input string: "---"</v>
      </c>
      <c s="51" r="AL106"/>
      <c s="125" r="AM106"/>
    </row>
    <row r="107">
      <c s="125" r="A107"/>
      <c s="125" r="B107"/>
      <c s="125" r="C107"/>
      <c s="125" r="D107"/>
      <c s="125" r="E107"/>
      <c s="125" r="F107"/>
      <c s="125" r="G107"/>
      <c s="125" r="H107"/>
      <c s="125" r="I107"/>
      <c s="125" r="J107"/>
      <c s="125" r="K107"/>
      <c s="125" r="L107"/>
      <c s="125" r="M107"/>
      <c s="125" r="N107"/>
      <c s="125" r="O107"/>
      <c s="125" r="P107"/>
      <c s="125" r="Q107"/>
      <c s="125" r="R107"/>
      <c s="125" r="S107"/>
      <c s="822" r="T107"/>
      <c t="str" s="309" r="U107">
        <f>IF((Profile!L135&gt;0),Profile!L135,"")</f>
        <v/>
      </c>
      <c t="str" s="861" r="V107">
        <f>IF((Profile!O135&gt;0),Profile!O135,"---")</f>
        <v>---</v>
      </c>
      <c t="str" s="861" r="W107">
        <f>IF((Profile!Y135=0),IF((Profile!Y134=0),"---",IF((Profile!Y136=0),"---",Profile!Y135)),Profile!Y135)</f>
        <v>---</v>
      </c>
      <c s="239" r="X107">
        <f>AB107+X106</f>
        <v>0</v>
      </c>
      <c s="796" r="Y107">
        <f>AC107+Y106</f>
        <v>0</v>
      </c>
      <c s="702" r="Z107"/>
      <c s="289" r="AA107">
        <f>IF(Profile!Y135,IF((Profile!O135=0),0,(Profile!O135-MAX(Profile!O$44:O134))),0)</f>
        <v>0</v>
      </c>
      <c s="605" r="AB107">
        <f>SIN(RADIANS(Profile!Y135))*AA107</f>
        <v>0</v>
      </c>
      <c s="605" r="AC107">
        <f>COS(RADIANS(Profile!Y135))*AA107</f>
        <v>0</v>
      </c>
      <c s="348" r="AD107">
        <f>IF((AJ$15=TRUE),X107,NA())</f>
        <v>0</v>
      </c>
      <c s="348" r="AE107">
        <f>IF((AJ$15=TRUE),Y107,NA())</f>
        <v>0</v>
      </c>
      <c t="str" s="348" r="AF107">
        <f>IF(Profile!L135,Y107,NA())</f>
        <v>#N/A:explicit</v>
      </c>
      <c s="348" r="AG107">
        <f>Profile!T135*E$40</f>
        <v>0</v>
      </c>
      <c t="str" s="348" r="AH107">
        <f>IF((AK$15=TRUE),IF(ISNUMBER(Profile!Y135),IF(ISNUMBER(Profile!Y136),(((X107+((F$63/2)*COS(RADIANS(Profile!Y136))))+(X107+((F$63/2)*COS(RADIANS(Profile!Y135)))))/2),(X107+((F$63/2)*COS(RADIANS(Profile!Y135))))),AH106),0)</f>
        <v>#VALUE!:notNumber:For input string: "---"</v>
      </c>
      <c t="str" s="348" r="AI107">
        <f>IF((AK$15=TRUE),IF(ISNUMBER(Profile!Y135),IF(ISNUMBER(Profile!Y136),(((Y107-((F$63/2)*SIN(RADIANS(Profile!Y136))))+(Y107-((F$63/2)*SIN(RADIANS(Profile!Y135)))))/2),(Y107-((F$63/2)*SIN(RADIANS(Profile!Y135))))),AI106),0)</f>
        <v>#VALUE!:notNumber:For input string: "---"</v>
      </c>
      <c t="str" s="348" r="AJ107">
        <f>IF((AK$15=TRUE),IF(ISNUMBER(Profile!Y135),IF(ISNUMBER(Profile!Y136),(((X107-((F$63/2)*COS(RADIANS(Profile!Y136))))+(X107-((F$63/2)*COS(RADIANS(Profile!Y135)))))/2),(X107-((F$63/2)*COS(RADIANS(Profile!Y135))))),AJ106),0)</f>
        <v>#VALUE!:notNumber:For input string: "---"</v>
      </c>
      <c t="str" s="799" r="AK107">
        <f>IF((AK$15=TRUE),IF(ISNUMBER(Profile!Y135),IF(ISNUMBER(Profile!Y136),(((Y107+((F$63/2)*SIN(RADIANS(Profile!Y136))))+(Y107+((F$63/2)*SIN(RADIANS(Profile!Y135)))))/2),(Y107+((F$63/2)*SIN(RADIANS(Profile!Y135))))),AK106),0)</f>
        <v>#VALUE!:notNumber:For input string: "---"</v>
      </c>
      <c s="51" r="AL107"/>
      <c s="125" r="AM107"/>
    </row>
    <row r="108">
      <c s="125" r="A108"/>
      <c s="125" r="B108"/>
      <c s="125" r="C108"/>
      <c s="125" r="D108"/>
      <c s="125" r="E108"/>
      <c s="125" r="F108"/>
      <c s="125" r="G108"/>
      <c s="125" r="H108"/>
      <c s="125" r="I108"/>
      <c s="125" r="J108"/>
      <c s="125" r="K108"/>
      <c s="125" r="L108"/>
      <c s="125" r="M108"/>
      <c s="125" r="N108"/>
      <c s="125" r="O108"/>
      <c s="125" r="P108"/>
      <c s="125" r="Q108"/>
      <c s="125" r="R108"/>
      <c s="125" r="S108"/>
      <c s="822" r="T108"/>
      <c t="str" s="309" r="U108">
        <f>IF((Profile!L136&gt;0),Profile!L136,"")</f>
        <v/>
      </c>
      <c t="str" s="861" r="V108">
        <f>IF((Profile!O136&gt;0),Profile!O136,"---")</f>
        <v>---</v>
      </c>
      <c t="str" s="861" r="W108">
        <f>IF((Profile!Y136=0),IF((Profile!Y135=0),"---",IF((Profile!Y137=0),"---",Profile!Y136)),Profile!Y136)</f>
        <v>---</v>
      </c>
      <c s="239" r="X108">
        <f>AB108+X107</f>
        <v>0</v>
      </c>
      <c s="796" r="Y108">
        <f>AC108+Y107</f>
        <v>0</v>
      </c>
      <c s="702" r="Z108"/>
      <c s="289" r="AA108">
        <f>IF(Profile!Y136,IF((Profile!O136=0),0,(Profile!O136-MAX(Profile!O$44:O135))),0)</f>
        <v>0</v>
      </c>
      <c s="605" r="AB108">
        <f>SIN(RADIANS(Profile!Y136))*AA108</f>
        <v>0</v>
      </c>
      <c s="605" r="AC108">
        <f>COS(RADIANS(Profile!Y136))*AA108</f>
        <v>0</v>
      </c>
      <c s="348" r="AD108">
        <f>IF((AJ$15=TRUE),X108,NA())</f>
        <v>0</v>
      </c>
      <c s="348" r="AE108">
        <f>IF((AJ$15=TRUE),Y108,NA())</f>
        <v>0</v>
      </c>
      <c t="str" s="348" r="AF108">
        <f>IF(Profile!L136,Y108,NA())</f>
        <v>#N/A:explicit</v>
      </c>
      <c s="348" r="AG108">
        <f>Profile!T136*E$40</f>
        <v>0</v>
      </c>
      <c t="str" s="348" r="AH108">
        <f>IF((AK$15=TRUE),IF(ISNUMBER(Profile!Y136),IF(ISNUMBER(Profile!Y137),(((X108+((F$63/2)*COS(RADIANS(Profile!Y137))))+(X108+((F$63/2)*COS(RADIANS(Profile!Y136)))))/2),(X108+((F$63/2)*COS(RADIANS(Profile!Y136))))),AH107),0)</f>
        <v>#VALUE!:notNumber:For input string: "---"</v>
      </c>
      <c t="str" s="348" r="AI108">
        <f>IF((AK$15=TRUE),IF(ISNUMBER(Profile!Y136),IF(ISNUMBER(Profile!Y137),(((Y108-((F$63/2)*SIN(RADIANS(Profile!Y137))))+(Y108-((F$63/2)*SIN(RADIANS(Profile!Y136)))))/2),(Y108-((F$63/2)*SIN(RADIANS(Profile!Y136))))),AI107),0)</f>
        <v>#VALUE!:notNumber:For input string: "---"</v>
      </c>
      <c t="str" s="348" r="AJ108">
        <f>IF((AK$15=TRUE),IF(ISNUMBER(Profile!Y136),IF(ISNUMBER(Profile!Y137),(((X108-((F$63/2)*COS(RADIANS(Profile!Y137))))+(X108-((F$63/2)*COS(RADIANS(Profile!Y136)))))/2),(X108-((F$63/2)*COS(RADIANS(Profile!Y136))))),AJ107),0)</f>
        <v>#VALUE!:notNumber:For input string: "---"</v>
      </c>
      <c t="str" s="799" r="AK108">
        <f>IF((AK$15=TRUE),IF(ISNUMBER(Profile!Y136),IF(ISNUMBER(Profile!Y137),(((Y108+((F$63/2)*SIN(RADIANS(Profile!Y137))))+(Y108+((F$63/2)*SIN(RADIANS(Profile!Y136)))))/2),(Y108+((F$63/2)*SIN(RADIANS(Profile!Y136))))),AK107),0)</f>
        <v>#VALUE!:notNumber:For input string: "---"</v>
      </c>
      <c s="51" r="AL108"/>
      <c s="125" r="AM108"/>
    </row>
    <row r="109">
      <c s="125" r="A109"/>
      <c s="125" r="B109"/>
      <c s="125" r="C109"/>
      <c s="125" r="D109"/>
      <c s="125" r="E109"/>
      <c s="125" r="F109"/>
      <c s="125" r="G109"/>
      <c s="125" r="H109"/>
      <c s="125" r="I109"/>
      <c s="125" r="J109"/>
      <c s="125" r="K109"/>
      <c s="125" r="L109"/>
      <c s="125" r="M109"/>
      <c s="125" r="N109"/>
      <c s="125" r="O109"/>
      <c s="125" r="P109"/>
      <c s="125" r="Q109"/>
      <c s="125" r="R109"/>
      <c s="125" r="S109"/>
      <c s="822" r="T109"/>
      <c t="str" s="309" r="U109">
        <f>IF((Profile!L137&gt;0),Profile!L137,"")</f>
        <v/>
      </c>
      <c t="str" s="861" r="V109">
        <f>IF((Profile!O137&gt;0),Profile!O137,"---")</f>
        <v>---</v>
      </c>
      <c t="str" s="861" r="W109">
        <f>IF((Profile!Y137=0),IF((Profile!Y136=0),"---",IF((Profile!Y138=0),"---",Profile!Y137)),Profile!Y137)</f>
        <v>---</v>
      </c>
      <c s="239" r="X109">
        <f>AB109+X108</f>
        <v>0</v>
      </c>
      <c s="796" r="Y109">
        <f>AC109+Y108</f>
        <v>0</v>
      </c>
      <c s="702" r="Z109"/>
      <c s="289" r="AA109">
        <f>IF(Profile!Y137,IF((Profile!O137=0),0,(Profile!O137-MAX(Profile!O$44:O136))),0)</f>
        <v>0</v>
      </c>
      <c s="605" r="AB109">
        <f>SIN(RADIANS(Profile!Y137))*AA109</f>
        <v>0</v>
      </c>
      <c s="605" r="AC109">
        <f>COS(RADIANS(Profile!Y137))*AA109</f>
        <v>0</v>
      </c>
      <c s="348" r="AD109">
        <f>IF((AJ$15=TRUE),X109,NA())</f>
        <v>0</v>
      </c>
      <c s="348" r="AE109">
        <f>IF((AJ$15=TRUE),Y109,NA())</f>
        <v>0</v>
      </c>
      <c t="str" s="348" r="AF109">
        <f>IF(Profile!L137,Y109,NA())</f>
        <v>#N/A:explicit</v>
      </c>
      <c s="348" r="AG109">
        <f>Profile!T137*E$40</f>
        <v>0</v>
      </c>
      <c t="str" s="348" r="AH109">
        <f>IF((AK$15=TRUE),IF(ISNUMBER(Profile!Y137),IF(ISNUMBER(Profile!Y138),(((X109+((F$63/2)*COS(RADIANS(Profile!Y138))))+(X109+((F$63/2)*COS(RADIANS(Profile!Y137)))))/2),(X109+((F$63/2)*COS(RADIANS(Profile!Y137))))),AH108),0)</f>
        <v>#VALUE!:notNumber:For input string: "---"</v>
      </c>
      <c t="str" s="348" r="AI109">
        <f>IF((AK$15=TRUE),IF(ISNUMBER(Profile!Y137),IF(ISNUMBER(Profile!Y138),(((Y109-((F$63/2)*SIN(RADIANS(Profile!Y138))))+(Y109-((F$63/2)*SIN(RADIANS(Profile!Y137)))))/2),(Y109-((F$63/2)*SIN(RADIANS(Profile!Y137))))),AI108),0)</f>
        <v>#VALUE!:notNumber:For input string: "---"</v>
      </c>
      <c t="str" s="348" r="AJ109">
        <f>IF((AK$15=TRUE),IF(ISNUMBER(Profile!Y137),IF(ISNUMBER(Profile!Y138),(((X109-((F$63/2)*COS(RADIANS(Profile!Y138))))+(X109-((F$63/2)*COS(RADIANS(Profile!Y137)))))/2),(X109-((F$63/2)*COS(RADIANS(Profile!Y137))))),AJ108),0)</f>
        <v>#VALUE!:notNumber:For input string: "---"</v>
      </c>
      <c t="str" s="799" r="AK109">
        <f>IF((AK$15=TRUE),IF(ISNUMBER(Profile!Y137),IF(ISNUMBER(Profile!Y138),(((Y109+((F$63/2)*SIN(RADIANS(Profile!Y138))))+(Y109+((F$63/2)*SIN(RADIANS(Profile!Y137)))))/2),(Y109+((F$63/2)*SIN(RADIANS(Profile!Y137))))),AK108),0)</f>
        <v>#VALUE!:notNumber:For input string: "---"</v>
      </c>
      <c s="51" r="AL109"/>
      <c s="125" r="AM109"/>
    </row>
    <row r="110">
      <c s="125" r="A110"/>
      <c s="125" r="B110"/>
      <c s="125" r="C110"/>
      <c s="125" r="D110"/>
      <c s="125" r="E110"/>
      <c s="125" r="F110"/>
      <c s="125" r="G110"/>
      <c s="125" r="H110"/>
      <c s="125" r="I110"/>
      <c s="125" r="J110"/>
      <c s="125" r="K110"/>
      <c s="125" r="L110"/>
      <c s="125" r="M110"/>
      <c s="125" r="N110"/>
      <c s="125" r="O110"/>
      <c s="125" r="P110"/>
      <c s="125" r="Q110"/>
      <c s="125" r="R110"/>
      <c s="125" r="S110"/>
      <c s="822" r="T110"/>
      <c t="str" s="309" r="U110">
        <f>IF((Profile!L138&gt;0),Profile!L138,"")</f>
        <v/>
      </c>
      <c t="str" s="861" r="V110">
        <f>IF((Profile!O138&gt;0),Profile!O138,"---")</f>
        <v>---</v>
      </c>
      <c t="str" s="861" r="W110">
        <f>IF((Profile!Y138=0),IF((Profile!Y137=0),"---",IF((Profile!Y139=0),"---",Profile!Y138)),Profile!Y138)</f>
        <v>---</v>
      </c>
      <c s="239" r="X110">
        <f>AB110+X109</f>
        <v>0</v>
      </c>
      <c s="796" r="Y110">
        <f>AC110+Y109</f>
        <v>0</v>
      </c>
      <c s="702" r="Z110"/>
      <c s="289" r="AA110">
        <f>IF(Profile!Y138,IF((Profile!O138=0),0,(Profile!O138-MAX(Profile!O$44:O137))),0)</f>
        <v>0</v>
      </c>
      <c s="605" r="AB110">
        <f>SIN(RADIANS(Profile!Y138))*AA110</f>
        <v>0</v>
      </c>
      <c s="605" r="AC110">
        <f>COS(RADIANS(Profile!Y138))*AA110</f>
        <v>0</v>
      </c>
      <c s="348" r="AD110">
        <f>IF((AJ$15=TRUE),X110,NA())</f>
        <v>0</v>
      </c>
      <c s="348" r="AE110">
        <f>IF((AJ$15=TRUE),Y110,NA())</f>
        <v>0</v>
      </c>
      <c t="str" s="348" r="AF110">
        <f>IF(Profile!L138,Y110,NA())</f>
        <v>#N/A:explicit</v>
      </c>
      <c s="348" r="AG110">
        <f>Profile!T138*E$40</f>
        <v>0</v>
      </c>
      <c t="str" s="348" r="AH110">
        <f>IF((AK$15=TRUE),IF(ISNUMBER(Profile!Y138),IF(ISNUMBER(Profile!Y139),(((X110+((F$63/2)*COS(RADIANS(Profile!Y139))))+(X110+((F$63/2)*COS(RADIANS(Profile!Y138)))))/2),(X110+((F$63/2)*COS(RADIANS(Profile!Y138))))),AH109),0)</f>
        <v>#VALUE!:notNumber:For input string: "---"</v>
      </c>
      <c t="str" s="348" r="AI110">
        <f>IF((AK$15=TRUE),IF(ISNUMBER(Profile!Y138),IF(ISNUMBER(Profile!Y139),(((Y110-((F$63/2)*SIN(RADIANS(Profile!Y139))))+(Y110-((F$63/2)*SIN(RADIANS(Profile!Y138)))))/2),(Y110-((F$63/2)*SIN(RADIANS(Profile!Y138))))),AI109),0)</f>
        <v>#VALUE!:notNumber:For input string: "---"</v>
      </c>
      <c t="str" s="348" r="AJ110">
        <f>IF((AK$15=TRUE),IF(ISNUMBER(Profile!Y138),IF(ISNUMBER(Profile!Y139),(((X110-((F$63/2)*COS(RADIANS(Profile!Y139))))+(X110-((F$63/2)*COS(RADIANS(Profile!Y138)))))/2),(X110-((F$63/2)*COS(RADIANS(Profile!Y138))))),AJ109),0)</f>
        <v>#VALUE!:notNumber:For input string: "---"</v>
      </c>
      <c t="str" s="799" r="AK110">
        <f>IF((AK$15=TRUE),IF(ISNUMBER(Profile!Y138),IF(ISNUMBER(Profile!Y139),(((Y110+((F$63/2)*SIN(RADIANS(Profile!Y139))))+(Y110+((F$63/2)*SIN(RADIANS(Profile!Y138)))))/2),(Y110+((F$63/2)*SIN(RADIANS(Profile!Y138))))),AK109),0)</f>
        <v>#VALUE!:notNumber:For input string: "---"</v>
      </c>
      <c s="51" r="AL110"/>
      <c s="125" r="AM110"/>
    </row>
    <row r="111">
      <c s="125" r="A111"/>
      <c s="125" r="B111"/>
      <c s="125" r="C111"/>
      <c s="125" r="D111"/>
      <c s="125" r="E111"/>
      <c s="125" r="F111"/>
      <c s="125" r="G111"/>
      <c s="125" r="H111"/>
      <c s="125" r="I111"/>
      <c s="125" r="J111"/>
      <c s="125" r="K111"/>
      <c s="125" r="L111"/>
      <c s="125" r="M111"/>
      <c s="125" r="N111"/>
      <c s="125" r="O111"/>
      <c s="125" r="P111"/>
      <c s="125" r="Q111"/>
      <c s="125" r="R111"/>
      <c s="125" r="S111"/>
      <c s="822" r="T111"/>
      <c t="str" s="309" r="U111">
        <f>IF((Profile!L139&gt;0),Profile!L139,"")</f>
        <v/>
      </c>
      <c t="str" s="861" r="V111">
        <f>IF((Profile!O139&gt;0),Profile!O139,"---")</f>
        <v>---</v>
      </c>
      <c t="str" s="861" r="W111">
        <f>IF((Profile!Y139=0),IF((Profile!Y138=0),"---",IF((Profile!Y140=0),"---",Profile!Y139)),Profile!Y139)</f>
        <v>---</v>
      </c>
      <c s="239" r="X111">
        <f>AB111+X110</f>
        <v>0</v>
      </c>
      <c s="796" r="Y111">
        <f>AC111+Y110</f>
        <v>0</v>
      </c>
      <c s="702" r="Z111"/>
      <c s="289" r="AA111">
        <f>IF(Profile!Y139,IF((Profile!O139=0),0,(Profile!O139-MAX(Profile!O$44:O138))),0)</f>
        <v>0</v>
      </c>
      <c s="605" r="AB111">
        <f>SIN(RADIANS(Profile!Y139))*AA111</f>
        <v>0</v>
      </c>
      <c s="605" r="AC111">
        <f>COS(RADIANS(Profile!Y139))*AA111</f>
        <v>0</v>
      </c>
      <c s="348" r="AD111">
        <f>IF((AJ$15=TRUE),X111,NA())</f>
        <v>0</v>
      </c>
      <c s="348" r="AE111">
        <f>IF((AJ$15=TRUE),Y111,NA())</f>
        <v>0</v>
      </c>
      <c t="str" s="348" r="AF111">
        <f>IF(Profile!L139,Y111,NA())</f>
        <v>#N/A:explicit</v>
      </c>
      <c s="348" r="AG111">
        <f>Profile!T139*E$40</f>
        <v>0</v>
      </c>
      <c t="str" s="348" r="AH111">
        <f>IF((AK$15=TRUE),IF(ISNUMBER(Profile!Y139),IF(ISNUMBER(Profile!Y140),(((X111+((F$63/2)*COS(RADIANS(Profile!Y140))))+(X111+((F$63/2)*COS(RADIANS(Profile!Y139)))))/2),(X111+((F$63/2)*COS(RADIANS(Profile!Y139))))),AH110),0)</f>
        <v>#VALUE!:notNumber:For input string: "---"</v>
      </c>
      <c t="str" s="348" r="AI111">
        <f>IF((AK$15=TRUE),IF(ISNUMBER(Profile!Y139),IF(ISNUMBER(Profile!Y140),(((Y111-((F$63/2)*SIN(RADIANS(Profile!Y140))))+(Y111-((F$63/2)*SIN(RADIANS(Profile!Y139)))))/2),(Y111-((F$63/2)*SIN(RADIANS(Profile!Y139))))),AI110),0)</f>
        <v>#VALUE!:notNumber:For input string: "---"</v>
      </c>
      <c t="str" s="348" r="AJ111">
        <f>IF((AK$15=TRUE),IF(ISNUMBER(Profile!Y139),IF(ISNUMBER(Profile!Y140),(((X111-((F$63/2)*COS(RADIANS(Profile!Y140))))+(X111-((F$63/2)*COS(RADIANS(Profile!Y139)))))/2),(X111-((F$63/2)*COS(RADIANS(Profile!Y139))))),AJ110),0)</f>
        <v>#VALUE!:notNumber:For input string: "---"</v>
      </c>
      <c t="str" s="799" r="AK111">
        <f>IF((AK$15=TRUE),IF(ISNUMBER(Profile!Y139),IF(ISNUMBER(Profile!Y140),(((Y111+((F$63/2)*SIN(RADIANS(Profile!Y140))))+(Y111+((F$63/2)*SIN(RADIANS(Profile!Y139)))))/2),(Y111+((F$63/2)*SIN(RADIANS(Profile!Y139))))),AK110),0)</f>
        <v>#VALUE!:notNumber:For input string: "---"</v>
      </c>
      <c s="51" r="AL111"/>
      <c s="125" r="AM111"/>
    </row>
    <row r="112">
      <c s="125" r="A112"/>
      <c s="125" r="B112"/>
      <c s="125" r="C112"/>
      <c s="125" r="D112"/>
      <c s="125" r="E112"/>
      <c s="125" r="F112"/>
      <c s="125" r="G112"/>
      <c s="125" r="H112"/>
      <c s="125" r="I112"/>
      <c s="125" r="J112"/>
      <c s="125" r="K112"/>
      <c s="125" r="L112"/>
      <c s="125" r="M112"/>
      <c s="125" r="N112"/>
      <c s="125" r="O112"/>
      <c s="125" r="P112"/>
      <c s="125" r="Q112"/>
      <c s="125" r="R112"/>
      <c s="125" r="S112"/>
      <c s="822" r="T112"/>
      <c t="str" s="309" r="U112">
        <f>IF((Profile!L140&gt;0),Profile!L140,"")</f>
        <v/>
      </c>
      <c t="str" s="861" r="V112">
        <f>IF((Profile!O140&gt;0),Profile!O140,"---")</f>
        <v>---</v>
      </c>
      <c t="str" s="861" r="W112">
        <f>IF((Profile!Y140=0),IF((Profile!Y139=0),"---",IF((Profile!Y141=0),"---",Profile!Y140)),Profile!Y140)</f>
        <v>---</v>
      </c>
      <c s="239" r="X112">
        <f>AB112+X111</f>
        <v>0</v>
      </c>
      <c s="796" r="Y112">
        <f>AC112+Y111</f>
        <v>0</v>
      </c>
      <c s="702" r="Z112"/>
      <c s="289" r="AA112">
        <f>IF(Profile!Y140,IF((Profile!O140=0),0,(Profile!O140-MAX(Profile!O$44:O139))),0)</f>
        <v>0</v>
      </c>
      <c s="605" r="AB112">
        <f>SIN(RADIANS(Profile!Y140))*AA112</f>
        <v>0</v>
      </c>
      <c s="605" r="AC112">
        <f>COS(RADIANS(Profile!Y140))*AA112</f>
        <v>0</v>
      </c>
      <c s="348" r="AD112">
        <f>IF((AJ$15=TRUE),X112,NA())</f>
        <v>0</v>
      </c>
      <c s="348" r="AE112">
        <f>IF((AJ$15=TRUE),Y112,NA())</f>
        <v>0</v>
      </c>
      <c t="str" s="348" r="AF112">
        <f>IF(Profile!L140,Y112,NA())</f>
        <v>#N/A:explicit</v>
      </c>
      <c s="348" r="AG112">
        <f>Profile!T140*E$40</f>
        <v>0</v>
      </c>
      <c t="str" s="348" r="AH112">
        <f>IF((AK$15=TRUE),IF(ISNUMBER(Profile!Y140),IF(ISNUMBER(Profile!Y141),(((X112+((F$63/2)*COS(RADIANS(Profile!Y141))))+(X112+((F$63/2)*COS(RADIANS(Profile!Y140)))))/2),(X112+((F$63/2)*COS(RADIANS(Profile!Y140))))),AH111),0)</f>
        <v>#VALUE!:notNumber:For input string: "---"</v>
      </c>
      <c t="str" s="348" r="AI112">
        <f>IF((AK$15=TRUE),IF(ISNUMBER(Profile!Y140),IF(ISNUMBER(Profile!Y141),(((Y112-((F$63/2)*SIN(RADIANS(Profile!Y141))))+(Y112-((F$63/2)*SIN(RADIANS(Profile!Y140)))))/2),(Y112-((F$63/2)*SIN(RADIANS(Profile!Y140))))),AI111),0)</f>
        <v>#VALUE!:notNumber:For input string: "---"</v>
      </c>
      <c t="str" s="348" r="AJ112">
        <f>IF((AK$15=TRUE),IF(ISNUMBER(Profile!Y140),IF(ISNUMBER(Profile!Y141),(((X112-((F$63/2)*COS(RADIANS(Profile!Y141))))+(X112-((F$63/2)*COS(RADIANS(Profile!Y140)))))/2),(X112-((F$63/2)*COS(RADIANS(Profile!Y140))))),AJ111),0)</f>
        <v>#VALUE!:notNumber:For input string: "---"</v>
      </c>
      <c t="str" s="799" r="AK112">
        <f>IF((AK$15=TRUE),IF(ISNUMBER(Profile!Y140),IF(ISNUMBER(Profile!Y141),(((Y112+((F$63/2)*SIN(RADIANS(Profile!Y141))))+(Y112+((F$63/2)*SIN(RADIANS(Profile!Y140)))))/2),(Y112+((F$63/2)*SIN(RADIANS(Profile!Y140))))),AK111),0)</f>
        <v>#VALUE!:notNumber:For input string: "---"</v>
      </c>
      <c s="51" r="AL112"/>
      <c s="125" r="AM112"/>
    </row>
    <row r="113">
      <c s="125" r="A113"/>
      <c s="125" r="B113"/>
      <c s="125" r="C113"/>
      <c s="125" r="D113"/>
      <c s="125" r="E113"/>
      <c s="125" r="F113"/>
      <c s="125" r="G113"/>
      <c s="125" r="H113"/>
      <c s="125" r="I113"/>
      <c s="125" r="J113"/>
      <c s="125" r="K113"/>
      <c s="125" r="L113"/>
      <c s="125" r="M113"/>
      <c s="125" r="N113"/>
      <c s="125" r="O113"/>
      <c s="125" r="P113"/>
      <c s="125" r="Q113"/>
      <c s="125" r="R113"/>
      <c s="125" r="S113"/>
      <c s="822" r="T113"/>
      <c t="str" s="309" r="U113">
        <f>IF((Profile!L141&gt;0),Profile!L141,"")</f>
        <v/>
      </c>
      <c t="str" s="861" r="V113">
        <f>IF((Profile!O141&gt;0),Profile!O141,"---")</f>
        <v>---</v>
      </c>
      <c t="str" s="861" r="W113">
        <f>IF((Profile!Y141=0),IF((Profile!Y140=0),"---",IF((Profile!Y142=0),"---",Profile!Y141)),Profile!Y141)</f>
        <v>---</v>
      </c>
      <c s="239" r="X113">
        <f>AB113+X112</f>
        <v>0</v>
      </c>
      <c s="796" r="Y113">
        <f>AC113+Y112</f>
        <v>0</v>
      </c>
      <c s="702" r="Z113"/>
      <c s="289" r="AA113">
        <f>IF(Profile!Y141,IF((Profile!O141=0),0,(Profile!O141-MAX(Profile!O$44:O140))),0)</f>
        <v>0</v>
      </c>
      <c s="605" r="AB113">
        <f>SIN(RADIANS(Profile!Y141))*AA113</f>
        <v>0</v>
      </c>
      <c s="605" r="AC113">
        <f>COS(RADIANS(Profile!Y141))*AA113</f>
        <v>0</v>
      </c>
      <c s="348" r="AD113">
        <f>IF((AJ$15=TRUE),X113,NA())</f>
        <v>0</v>
      </c>
      <c s="348" r="AE113">
        <f>IF((AJ$15=TRUE),Y113,NA())</f>
        <v>0</v>
      </c>
      <c t="str" s="348" r="AF113">
        <f>IF(Profile!L141,Y113,NA())</f>
        <v>#N/A:explicit</v>
      </c>
      <c s="348" r="AG113">
        <f>Profile!T141*E$40</f>
        <v>0</v>
      </c>
      <c t="str" s="348" r="AH113">
        <f>IF((AK$15=TRUE),IF(ISNUMBER(Profile!Y141),IF(ISNUMBER(Profile!Y142),(((X113+((F$63/2)*COS(RADIANS(Profile!Y142))))+(X113+((F$63/2)*COS(RADIANS(Profile!Y141)))))/2),(X113+((F$63/2)*COS(RADIANS(Profile!Y141))))),AH112),0)</f>
        <v>#VALUE!:notNumber:For input string: "---"</v>
      </c>
      <c t="str" s="348" r="AI113">
        <f>IF((AK$15=TRUE),IF(ISNUMBER(Profile!Y141),IF(ISNUMBER(Profile!Y142),(((Y113-((F$63/2)*SIN(RADIANS(Profile!Y142))))+(Y113-((F$63/2)*SIN(RADIANS(Profile!Y141)))))/2),(Y113-((F$63/2)*SIN(RADIANS(Profile!Y141))))),AI112),0)</f>
        <v>#VALUE!:notNumber:For input string: "---"</v>
      </c>
      <c t="str" s="348" r="AJ113">
        <f>IF((AK$15=TRUE),IF(ISNUMBER(Profile!Y141),IF(ISNUMBER(Profile!Y142),(((X113-((F$63/2)*COS(RADIANS(Profile!Y142))))+(X113-((F$63/2)*COS(RADIANS(Profile!Y141)))))/2),(X113-((F$63/2)*COS(RADIANS(Profile!Y141))))),AJ112),0)</f>
        <v>#VALUE!:notNumber:For input string: "---"</v>
      </c>
      <c t="str" s="799" r="AK113">
        <f>IF((AK$15=TRUE),IF(ISNUMBER(Profile!Y141),IF(ISNUMBER(Profile!Y142),(((Y113+((F$63/2)*SIN(RADIANS(Profile!Y142))))+(Y113+((F$63/2)*SIN(RADIANS(Profile!Y141)))))/2),(Y113+((F$63/2)*SIN(RADIANS(Profile!Y141))))),AK112),0)</f>
        <v>#VALUE!:notNumber:For input string: "---"</v>
      </c>
      <c s="51" r="AL113"/>
      <c s="125" r="AM113"/>
    </row>
    <row r="114">
      <c s="125" r="A114"/>
      <c s="125" r="B114"/>
      <c s="125" r="C114"/>
      <c s="125" r="D114"/>
      <c s="125" r="E114"/>
      <c s="125" r="F114"/>
      <c s="125" r="G114"/>
      <c s="125" r="H114"/>
      <c s="125" r="I114"/>
      <c s="125" r="J114"/>
      <c s="125" r="K114"/>
      <c s="125" r="L114"/>
      <c s="125" r="M114"/>
      <c s="125" r="N114"/>
      <c s="125" r="O114"/>
      <c s="125" r="P114"/>
      <c s="125" r="Q114"/>
      <c s="125" r="R114"/>
      <c s="125" r="S114"/>
      <c s="822" r="T114"/>
      <c t="str" s="309" r="U114">
        <f>IF((Profile!L142&gt;0),Profile!L142,"")</f>
        <v/>
      </c>
      <c t="str" s="861" r="V114">
        <f>IF((Profile!O142&gt;0),Profile!O142,"---")</f>
        <v>---</v>
      </c>
      <c t="str" s="861" r="W114">
        <f>IF((Profile!Y142=0),IF((Profile!Y141=0),"---",IF((Profile!Y143=0),"---",Profile!Y142)),Profile!Y142)</f>
        <v>---</v>
      </c>
      <c s="239" r="X114">
        <f>AB114+X113</f>
        <v>0</v>
      </c>
      <c s="796" r="Y114">
        <f>AC114+Y113</f>
        <v>0</v>
      </c>
      <c s="702" r="Z114"/>
      <c s="289" r="AA114">
        <f>IF(Profile!Y142,IF((Profile!O142=0),0,(Profile!O142-MAX(Profile!O$44:O141))),0)</f>
        <v>0</v>
      </c>
      <c s="605" r="AB114">
        <f>SIN(RADIANS(Profile!Y142))*AA114</f>
        <v>0</v>
      </c>
      <c s="605" r="AC114">
        <f>COS(RADIANS(Profile!Y142))*AA114</f>
        <v>0</v>
      </c>
      <c s="348" r="AD114">
        <f>IF((AJ$15=TRUE),X114,NA())</f>
        <v>0</v>
      </c>
      <c s="348" r="AE114">
        <f>IF((AJ$15=TRUE),Y114,NA())</f>
        <v>0</v>
      </c>
      <c t="str" s="348" r="AF114">
        <f>IF(Profile!L142,Y114,NA())</f>
        <v>#N/A:explicit</v>
      </c>
      <c s="348" r="AG114">
        <f>Profile!T142*E$40</f>
        <v>0</v>
      </c>
      <c t="str" s="348" r="AH114">
        <f>IF((AK$15=TRUE),IF(ISNUMBER(Profile!Y142),IF(ISNUMBER(Profile!Y143),(((X114+((F$63/2)*COS(RADIANS(Profile!Y143))))+(X114+((F$63/2)*COS(RADIANS(Profile!Y142)))))/2),(X114+((F$63/2)*COS(RADIANS(Profile!Y142))))),AH113),0)</f>
        <v>#VALUE!:notNumber:For input string: "---"</v>
      </c>
      <c t="str" s="348" r="AI114">
        <f>IF((AK$15=TRUE),IF(ISNUMBER(Profile!Y142),IF(ISNUMBER(Profile!Y143),(((Y114-((F$63/2)*SIN(RADIANS(Profile!Y143))))+(Y114-((F$63/2)*SIN(RADIANS(Profile!Y142)))))/2),(Y114-((F$63/2)*SIN(RADIANS(Profile!Y142))))),AI113),0)</f>
        <v>#VALUE!:notNumber:For input string: "---"</v>
      </c>
      <c t="str" s="348" r="AJ114">
        <f>IF((AK$15=TRUE),IF(ISNUMBER(Profile!Y142),IF(ISNUMBER(Profile!Y143),(((X114-((F$63/2)*COS(RADIANS(Profile!Y143))))+(X114-((F$63/2)*COS(RADIANS(Profile!Y142)))))/2),(X114-((F$63/2)*COS(RADIANS(Profile!Y142))))),AJ113),0)</f>
        <v>#VALUE!:notNumber:For input string: "---"</v>
      </c>
      <c t="str" s="799" r="AK114">
        <f>IF((AK$15=TRUE),IF(ISNUMBER(Profile!Y142),IF(ISNUMBER(Profile!Y143),(((Y114+((F$63/2)*SIN(RADIANS(Profile!Y143))))+(Y114+((F$63/2)*SIN(RADIANS(Profile!Y142)))))/2),(Y114+((F$63/2)*SIN(RADIANS(Profile!Y142))))),AK113),0)</f>
        <v>#VALUE!:notNumber:For input string: "---"</v>
      </c>
      <c s="51" r="AL114"/>
      <c s="125" r="AM114"/>
    </row>
    <row r="115">
      <c s="125" r="A115"/>
      <c s="125" r="B115"/>
      <c s="125" r="C115"/>
      <c s="125" r="D115"/>
      <c s="125" r="E115"/>
      <c s="125" r="F115"/>
      <c s="125" r="G115"/>
      <c s="125" r="H115"/>
      <c s="125" r="I115"/>
      <c s="125" r="J115"/>
      <c s="125" r="K115"/>
      <c s="125" r="L115"/>
      <c s="125" r="M115"/>
      <c s="125" r="N115"/>
      <c s="125" r="O115"/>
      <c s="125" r="P115"/>
      <c s="125" r="Q115"/>
      <c s="125" r="R115"/>
      <c s="125" r="S115"/>
      <c s="822" r="T115"/>
      <c t="str" s="309" r="U115">
        <f>IF((Profile!L143&gt;0),Profile!L143,"")</f>
        <v/>
      </c>
      <c t="str" s="861" r="V115">
        <f>IF((Profile!O143&gt;0),Profile!O143,"---")</f>
        <v>---</v>
      </c>
      <c t="str" s="861" r="W115">
        <f>IF((Profile!Y143=0),IF((Profile!Y142=0),"---",IF((Profile!Y144=0),"---",Profile!Y143)),Profile!Y143)</f>
        <v>---</v>
      </c>
      <c s="239" r="X115">
        <f>AB115+X114</f>
        <v>0</v>
      </c>
      <c s="796" r="Y115">
        <f>AC115+Y114</f>
        <v>0</v>
      </c>
      <c s="702" r="Z115"/>
      <c s="289" r="AA115">
        <f>IF(Profile!Y143,IF((Profile!O143=0),0,(Profile!O143-MAX(Profile!O$44:O142))),0)</f>
        <v>0</v>
      </c>
      <c s="605" r="AB115">
        <f>SIN(RADIANS(Profile!Y143))*AA115</f>
        <v>0</v>
      </c>
      <c s="605" r="AC115">
        <f>COS(RADIANS(Profile!Y143))*AA115</f>
        <v>0</v>
      </c>
      <c s="348" r="AD115">
        <f>IF((AJ$15=TRUE),X115,NA())</f>
        <v>0</v>
      </c>
      <c s="348" r="AE115">
        <f>IF((AJ$15=TRUE),Y115,NA())</f>
        <v>0</v>
      </c>
      <c t="str" s="348" r="AF115">
        <f>IF(Profile!L143,Y115,NA())</f>
        <v>#N/A:explicit</v>
      </c>
      <c s="348" r="AG115">
        <f>Profile!T143*E$40</f>
        <v>0</v>
      </c>
      <c t="str" s="348" r="AH115">
        <f>IF((AK$15=TRUE),IF(ISNUMBER(Profile!Y143),IF(ISNUMBER(Profile!Y144),(((X115+((F$63/2)*COS(RADIANS(Profile!Y144))))+(X115+((F$63/2)*COS(RADIANS(Profile!Y143)))))/2),(X115+((F$63/2)*COS(RADIANS(Profile!Y143))))),AH114),0)</f>
        <v>#VALUE!:notNumber:For input string: "---"</v>
      </c>
      <c t="str" s="348" r="AI115">
        <f>IF((AK$15=TRUE),IF(ISNUMBER(Profile!Y143),IF(ISNUMBER(Profile!Y144),(((Y115-((F$63/2)*SIN(RADIANS(Profile!Y144))))+(Y115-((F$63/2)*SIN(RADIANS(Profile!Y143)))))/2),(Y115-((F$63/2)*SIN(RADIANS(Profile!Y143))))),AI114),0)</f>
        <v>#VALUE!:notNumber:For input string: "---"</v>
      </c>
      <c t="str" s="348" r="AJ115">
        <f>IF((AK$15=TRUE),IF(ISNUMBER(Profile!Y143),IF(ISNUMBER(Profile!Y144),(((X115-((F$63/2)*COS(RADIANS(Profile!Y144))))+(X115-((F$63/2)*COS(RADIANS(Profile!Y143)))))/2),(X115-((F$63/2)*COS(RADIANS(Profile!Y143))))),AJ114),0)</f>
        <v>#VALUE!:notNumber:For input string: "---"</v>
      </c>
      <c t="str" s="799" r="AK115">
        <f>IF((AK$15=TRUE),IF(ISNUMBER(Profile!Y143),IF(ISNUMBER(Profile!Y144),(((Y115+((F$63/2)*SIN(RADIANS(Profile!Y144))))+(Y115+((F$63/2)*SIN(RADIANS(Profile!Y143)))))/2),(Y115+((F$63/2)*SIN(RADIANS(Profile!Y143))))),AK114),0)</f>
        <v>#VALUE!:notNumber:For input string: "---"</v>
      </c>
      <c s="51" r="AL115"/>
      <c s="125" r="AM115"/>
    </row>
    <row r="116">
      <c s="125" r="A116"/>
      <c s="125" r="B116"/>
      <c s="125" r="C116"/>
      <c s="125" r="D116"/>
      <c s="125" r="E116"/>
      <c s="125" r="F116"/>
      <c s="125" r="G116"/>
      <c s="125" r="H116"/>
      <c s="125" r="I116"/>
      <c s="125" r="J116"/>
      <c s="125" r="K116"/>
      <c s="125" r="L116"/>
      <c s="125" r="M116"/>
      <c s="125" r="N116"/>
      <c s="125" r="O116"/>
      <c s="125" r="P116"/>
      <c s="125" r="Q116"/>
      <c s="125" r="R116"/>
      <c s="125" r="S116"/>
      <c s="822" r="T116"/>
      <c t="str" s="309" r="U116">
        <f>IF((Profile!L144&gt;0),Profile!L144,"")</f>
        <v/>
      </c>
      <c t="str" s="861" r="V116">
        <f>IF((Profile!O144&gt;0),Profile!O144,"---")</f>
        <v>---</v>
      </c>
      <c t="str" s="861" r="W116">
        <f>IF((Profile!Y144=0),IF((Profile!Y143=0),"---",IF((Profile!Y145=0),"---",Profile!Y144)),Profile!Y144)</f>
        <v>---</v>
      </c>
      <c s="239" r="X116">
        <f>AB116+X115</f>
        <v>0</v>
      </c>
      <c s="796" r="Y116">
        <f>AC116+Y115</f>
        <v>0</v>
      </c>
      <c s="702" r="Z116"/>
      <c s="289" r="AA116">
        <f>IF(Profile!Y144,IF((Profile!O144=0),0,(Profile!O144-MAX(Profile!O$44:O143))),0)</f>
        <v>0</v>
      </c>
      <c s="605" r="AB116">
        <f>SIN(RADIANS(Profile!Y144))*AA116</f>
        <v>0</v>
      </c>
      <c s="605" r="AC116">
        <f>COS(RADIANS(Profile!Y144))*AA116</f>
        <v>0</v>
      </c>
      <c s="348" r="AD116">
        <f>IF((AJ$15=TRUE),X116,NA())</f>
        <v>0</v>
      </c>
      <c s="348" r="AE116">
        <f>IF((AJ$15=TRUE),Y116,NA())</f>
        <v>0</v>
      </c>
      <c t="str" s="348" r="AF116">
        <f>IF(Profile!L144,Y116,NA())</f>
        <v>#N/A:explicit</v>
      </c>
      <c s="348" r="AG116">
        <f>Profile!T144*E$40</f>
        <v>0</v>
      </c>
      <c t="str" s="348" r="AH116">
        <f>IF((AK$15=TRUE),IF(ISNUMBER(Profile!Y144),IF(ISNUMBER(Profile!Y145),(((X116+((F$63/2)*COS(RADIANS(Profile!Y145))))+(X116+((F$63/2)*COS(RADIANS(Profile!Y144)))))/2),(X116+((F$63/2)*COS(RADIANS(Profile!Y144))))),AH115),0)</f>
        <v>#VALUE!:notNumber:For input string: "---"</v>
      </c>
      <c t="str" s="348" r="AI116">
        <f>IF((AK$15=TRUE),IF(ISNUMBER(Profile!Y144),IF(ISNUMBER(Profile!Y145),(((Y116-((F$63/2)*SIN(RADIANS(Profile!Y145))))+(Y116-((F$63/2)*SIN(RADIANS(Profile!Y144)))))/2),(Y116-((F$63/2)*SIN(RADIANS(Profile!Y144))))),AI115),0)</f>
        <v>#VALUE!:notNumber:For input string: "---"</v>
      </c>
      <c t="str" s="348" r="AJ116">
        <f>IF((AK$15=TRUE),IF(ISNUMBER(Profile!Y144),IF(ISNUMBER(Profile!Y145),(((X116-((F$63/2)*COS(RADIANS(Profile!Y145))))+(X116-((F$63/2)*COS(RADIANS(Profile!Y144)))))/2),(X116-((F$63/2)*COS(RADIANS(Profile!Y144))))),AJ115),0)</f>
        <v>#VALUE!:notNumber:For input string: "---"</v>
      </c>
      <c t="str" s="799" r="AK116">
        <f>IF((AK$15=TRUE),IF(ISNUMBER(Profile!Y144),IF(ISNUMBER(Profile!Y145),(((Y116+((F$63/2)*SIN(RADIANS(Profile!Y145))))+(Y116+((F$63/2)*SIN(RADIANS(Profile!Y144)))))/2),(Y116+((F$63/2)*SIN(RADIANS(Profile!Y144))))),AK115),0)</f>
        <v>#VALUE!:notNumber:For input string: "---"</v>
      </c>
      <c s="51" r="AL116"/>
      <c s="125" r="AM116"/>
    </row>
    <row r="117">
      <c s="125" r="A117"/>
      <c s="125" r="B117"/>
      <c s="125" r="C117"/>
      <c s="125" r="D117"/>
      <c s="125" r="E117"/>
      <c s="125" r="F117"/>
      <c s="125" r="G117"/>
      <c s="125" r="H117"/>
      <c s="125" r="I117"/>
      <c s="125" r="J117"/>
      <c s="125" r="K117"/>
      <c s="125" r="L117"/>
      <c s="125" r="M117"/>
      <c s="125" r="N117"/>
      <c s="125" r="O117"/>
      <c s="125" r="P117"/>
      <c s="125" r="Q117"/>
      <c s="125" r="R117"/>
      <c s="125" r="S117"/>
      <c s="822" r="T117"/>
      <c t="str" s="309" r="U117">
        <f>IF((Profile!L145&gt;0),Profile!L145,"")</f>
        <v/>
      </c>
      <c t="str" s="861" r="V117">
        <f>IF((Profile!O145&gt;0),Profile!O145,"---")</f>
        <v>---</v>
      </c>
      <c t="str" s="861" r="W117">
        <f>IF((Profile!Y145=0),IF((Profile!Y144=0),"---",IF((Profile!Y146=0),"---",Profile!Y145)),Profile!Y145)</f>
        <v>---</v>
      </c>
      <c s="239" r="X117">
        <f>AB117+X116</f>
        <v>0</v>
      </c>
      <c s="796" r="Y117">
        <f>AC117+Y116</f>
        <v>0</v>
      </c>
      <c s="702" r="Z117"/>
      <c s="289" r="AA117">
        <f>IF(Profile!Y145,IF((Profile!O145=0),0,(Profile!O145-MAX(Profile!O$44:O144))),0)</f>
        <v>0</v>
      </c>
      <c s="605" r="AB117">
        <f>SIN(RADIANS(Profile!Y145))*AA117</f>
        <v>0</v>
      </c>
      <c s="605" r="AC117">
        <f>COS(RADIANS(Profile!Y145))*AA117</f>
        <v>0</v>
      </c>
      <c s="348" r="AD117">
        <f>IF((AJ$15=TRUE),X117,NA())</f>
        <v>0</v>
      </c>
      <c s="348" r="AE117">
        <f>IF((AJ$15=TRUE),Y117,NA())</f>
        <v>0</v>
      </c>
      <c t="str" s="348" r="AF117">
        <f>IF(Profile!L145,Y117,NA())</f>
        <v>#N/A:explicit</v>
      </c>
      <c s="348" r="AG117">
        <f>Profile!T145*E$40</f>
        <v>0</v>
      </c>
      <c t="str" s="348" r="AH117">
        <f>IF((AK$15=TRUE),IF(ISNUMBER(Profile!Y145),IF(ISNUMBER(Profile!Y146),(((X117+((F$63/2)*COS(RADIANS(Profile!Y146))))+(X117+((F$63/2)*COS(RADIANS(Profile!Y145)))))/2),(X117+((F$63/2)*COS(RADIANS(Profile!Y145))))),AH116),0)</f>
        <v>#VALUE!:notNumber:For input string: "---"</v>
      </c>
      <c t="str" s="348" r="AI117">
        <f>IF((AK$15=TRUE),IF(ISNUMBER(Profile!Y145),IF(ISNUMBER(Profile!Y146),(((Y117-((F$63/2)*SIN(RADIANS(Profile!Y146))))+(Y117-((F$63/2)*SIN(RADIANS(Profile!Y145)))))/2),(Y117-((F$63/2)*SIN(RADIANS(Profile!Y145))))),AI116),0)</f>
        <v>#VALUE!:notNumber:For input string: "---"</v>
      </c>
      <c t="str" s="348" r="AJ117">
        <f>IF((AK$15=TRUE),IF(ISNUMBER(Profile!Y145),IF(ISNUMBER(Profile!Y146),(((X117-((F$63/2)*COS(RADIANS(Profile!Y146))))+(X117-((F$63/2)*COS(RADIANS(Profile!Y145)))))/2),(X117-((F$63/2)*COS(RADIANS(Profile!Y145))))),AJ116),0)</f>
        <v>#VALUE!:notNumber:For input string: "---"</v>
      </c>
      <c t="str" s="799" r="AK117">
        <f>IF((AK$15=TRUE),IF(ISNUMBER(Profile!Y145),IF(ISNUMBER(Profile!Y146),(((Y117+((F$63/2)*SIN(RADIANS(Profile!Y146))))+(Y117+((F$63/2)*SIN(RADIANS(Profile!Y145)))))/2),(Y117+((F$63/2)*SIN(RADIANS(Profile!Y145))))),AK116),0)</f>
        <v>#VALUE!:notNumber:For input string: "---"</v>
      </c>
      <c s="51" r="AL117"/>
      <c s="125" r="AM117"/>
    </row>
    <row r="118">
      <c s="125" r="A118"/>
      <c s="125" r="B118"/>
      <c s="125" r="C118"/>
      <c s="125" r="D118"/>
      <c s="125" r="E118"/>
      <c s="125" r="F118"/>
      <c s="125" r="G118"/>
      <c s="125" r="H118"/>
      <c s="125" r="I118"/>
      <c s="125" r="J118"/>
      <c s="125" r="K118"/>
      <c s="125" r="L118"/>
      <c s="125" r="M118"/>
      <c s="125" r="N118"/>
      <c s="125" r="O118"/>
      <c s="125" r="P118"/>
      <c s="125" r="Q118"/>
      <c s="125" r="R118"/>
      <c s="125" r="S118"/>
      <c s="822" r="T118"/>
      <c t="str" s="309" r="U118">
        <f>IF((Profile!L146&gt;0),Profile!L146,"")</f>
        <v/>
      </c>
      <c t="str" s="861" r="V118">
        <f>IF((Profile!O146&gt;0),Profile!O146,"---")</f>
        <v>---</v>
      </c>
      <c t="str" s="861" r="W118">
        <f>IF((Profile!Y146=0),IF((Profile!Y145=0),"---",IF((Profile!Y147=0),"---",Profile!Y146)),Profile!Y146)</f>
        <v>---</v>
      </c>
      <c s="239" r="X118">
        <f>AB118+X117</f>
        <v>0</v>
      </c>
      <c s="796" r="Y118">
        <f>AC118+Y117</f>
        <v>0</v>
      </c>
      <c s="702" r="Z118"/>
      <c s="289" r="AA118">
        <f>IF(Profile!Y146,IF((Profile!O146=0),0,(Profile!O146-MAX(Profile!O$44:O145))),0)</f>
        <v>0</v>
      </c>
      <c s="605" r="AB118">
        <f>SIN(RADIANS(Profile!Y146))*AA118</f>
        <v>0</v>
      </c>
      <c s="605" r="AC118">
        <f>COS(RADIANS(Profile!Y146))*AA118</f>
        <v>0</v>
      </c>
      <c s="348" r="AD118">
        <f>IF((AJ$15=TRUE),X118,NA())</f>
        <v>0</v>
      </c>
      <c s="348" r="AE118">
        <f>IF((AJ$15=TRUE),Y118,NA())</f>
        <v>0</v>
      </c>
      <c t="str" s="348" r="AF118">
        <f>IF(Profile!L146,Y118,NA())</f>
        <v>#N/A:explicit</v>
      </c>
      <c s="348" r="AG118">
        <f>Profile!T146*E$40</f>
        <v>0</v>
      </c>
      <c t="str" s="348" r="AH118">
        <f>IF((AK$15=TRUE),IF(ISNUMBER(Profile!Y146),IF(ISNUMBER(Profile!Y147),(((X118+((F$63/2)*COS(RADIANS(Profile!Y147))))+(X118+((F$63/2)*COS(RADIANS(Profile!Y146)))))/2),(X118+((F$63/2)*COS(RADIANS(Profile!Y146))))),AH117),0)</f>
        <v>#VALUE!:notNumber:For input string: "---"</v>
      </c>
      <c t="str" s="348" r="AI118">
        <f>IF((AK$15=TRUE),IF(ISNUMBER(Profile!Y146),IF(ISNUMBER(Profile!Y147),(((Y118-((F$63/2)*SIN(RADIANS(Profile!Y147))))+(Y118-((F$63/2)*SIN(RADIANS(Profile!Y146)))))/2),(Y118-((F$63/2)*SIN(RADIANS(Profile!Y146))))),AI117),0)</f>
        <v>#VALUE!:notNumber:For input string: "---"</v>
      </c>
      <c t="str" s="348" r="AJ118">
        <f>IF((AK$15=TRUE),IF(ISNUMBER(Profile!Y146),IF(ISNUMBER(Profile!Y147),(((X118-((F$63/2)*COS(RADIANS(Profile!Y147))))+(X118-((F$63/2)*COS(RADIANS(Profile!Y146)))))/2),(X118-((F$63/2)*COS(RADIANS(Profile!Y146))))),AJ117),0)</f>
        <v>#VALUE!:notNumber:For input string: "---"</v>
      </c>
      <c t="str" s="799" r="AK118">
        <f>IF((AK$15=TRUE),IF(ISNUMBER(Profile!Y146),IF(ISNUMBER(Profile!Y147),(((Y118+((F$63/2)*SIN(RADIANS(Profile!Y147))))+(Y118+((F$63/2)*SIN(RADIANS(Profile!Y146)))))/2),(Y118+((F$63/2)*SIN(RADIANS(Profile!Y146))))),AK117),0)</f>
        <v>#VALUE!:notNumber:For input string: "---"</v>
      </c>
      <c s="51" r="AL118"/>
      <c s="125" r="AM118"/>
    </row>
    <row r="119">
      <c s="125" r="A119"/>
      <c s="125" r="B119"/>
      <c s="125" r="C119"/>
      <c s="125" r="D119"/>
      <c s="125" r="E119"/>
      <c s="125" r="F119"/>
      <c s="125" r="G119"/>
      <c s="125" r="H119"/>
      <c s="125" r="I119"/>
      <c s="125" r="J119"/>
      <c s="125" r="K119"/>
      <c s="125" r="L119"/>
      <c s="125" r="M119"/>
      <c s="125" r="N119"/>
      <c s="125" r="O119"/>
      <c s="125" r="P119"/>
      <c s="125" r="Q119"/>
      <c s="125" r="R119"/>
      <c s="125" r="S119"/>
      <c s="822" r="T119"/>
      <c t="str" s="309" r="U119">
        <f>IF((Profile!L147&gt;0),Profile!L147,"")</f>
        <v/>
      </c>
      <c t="str" s="861" r="V119">
        <f>IF((Profile!O147&gt;0),Profile!O147,"---")</f>
        <v>---</v>
      </c>
      <c t="str" s="861" r="W119">
        <f>IF((Profile!Y147=0),IF((Profile!Y146=0),"---",IF((Profile!Y148=0),"---",Profile!Y147)),Profile!Y147)</f>
        <v>---</v>
      </c>
      <c s="239" r="X119">
        <f>AB119+X118</f>
        <v>0</v>
      </c>
      <c s="796" r="Y119">
        <f>AC119+Y118</f>
        <v>0</v>
      </c>
      <c s="702" r="Z119"/>
      <c s="289" r="AA119">
        <f>IF(Profile!Y147,IF((Profile!O147=0),0,(Profile!O147-MAX(Profile!O$44:O146))),0)</f>
        <v>0</v>
      </c>
      <c s="605" r="AB119">
        <f>SIN(RADIANS(Profile!Y147))*AA119</f>
        <v>0</v>
      </c>
      <c s="605" r="AC119">
        <f>COS(RADIANS(Profile!Y147))*AA119</f>
        <v>0</v>
      </c>
      <c s="348" r="AD119">
        <f>IF((AJ$15=TRUE),X119,NA())</f>
        <v>0</v>
      </c>
      <c s="348" r="AE119">
        <f>IF((AJ$15=TRUE),Y119,NA())</f>
        <v>0</v>
      </c>
      <c t="str" s="348" r="AF119">
        <f>IF(Profile!L147,Y119,NA())</f>
        <v>#N/A:explicit</v>
      </c>
      <c s="348" r="AG119">
        <f>Profile!T147*E$40</f>
        <v>0</v>
      </c>
      <c t="str" s="348" r="AH119">
        <f>IF((AK$15=TRUE),IF(ISNUMBER(Profile!Y147),IF(ISNUMBER(Profile!Y148),(((X119+((F$63/2)*COS(RADIANS(Profile!Y148))))+(X119+((F$63/2)*COS(RADIANS(Profile!Y147)))))/2),(X119+((F$63/2)*COS(RADIANS(Profile!Y147))))),AH118),0)</f>
        <v>#VALUE!:notNumber:For input string: "---"</v>
      </c>
      <c t="str" s="348" r="AI119">
        <f>IF((AK$15=TRUE),IF(ISNUMBER(Profile!Y147),IF(ISNUMBER(Profile!Y148),(((Y119-((F$63/2)*SIN(RADIANS(Profile!Y148))))+(Y119-((F$63/2)*SIN(RADIANS(Profile!Y147)))))/2),(Y119-((F$63/2)*SIN(RADIANS(Profile!Y147))))),AI118),0)</f>
        <v>#VALUE!:notNumber:For input string: "---"</v>
      </c>
      <c t="str" s="348" r="AJ119">
        <f>IF((AK$15=TRUE),IF(ISNUMBER(Profile!Y147),IF(ISNUMBER(Profile!Y148),(((X119-((F$63/2)*COS(RADIANS(Profile!Y148))))+(X119-((F$63/2)*COS(RADIANS(Profile!Y147)))))/2),(X119-((F$63/2)*COS(RADIANS(Profile!Y147))))),AJ118),0)</f>
        <v>#VALUE!:notNumber:For input string: "---"</v>
      </c>
      <c t="str" s="799" r="AK119">
        <f>IF((AK$15=TRUE),IF(ISNUMBER(Profile!Y147),IF(ISNUMBER(Profile!Y148),(((Y119+((F$63/2)*SIN(RADIANS(Profile!Y148))))+(Y119+((F$63/2)*SIN(RADIANS(Profile!Y147)))))/2),(Y119+((F$63/2)*SIN(RADIANS(Profile!Y147))))),AK118),0)</f>
        <v>#VALUE!:notNumber:For input string: "---"</v>
      </c>
      <c s="51" r="AL119"/>
      <c s="125" r="AM119"/>
    </row>
    <row r="120">
      <c s="125" r="A120"/>
      <c s="125" r="B120"/>
      <c s="125" r="C120"/>
      <c s="125" r="D120"/>
      <c s="125" r="E120"/>
      <c s="125" r="F120"/>
      <c s="125" r="G120"/>
      <c s="125" r="H120"/>
      <c s="125" r="I120"/>
      <c s="125" r="J120"/>
      <c s="125" r="K120"/>
      <c s="125" r="L120"/>
      <c s="125" r="M120"/>
      <c s="125" r="N120"/>
      <c s="125" r="O120"/>
      <c s="125" r="P120"/>
      <c s="125" r="Q120"/>
      <c s="125" r="R120"/>
      <c s="125" r="S120"/>
      <c s="822" r="T120"/>
      <c t="str" s="309" r="U120">
        <f>IF((Profile!L148&gt;0),Profile!L148,"")</f>
        <v/>
      </c>
      <c t="str" s="861" r="V120">
        <f>IF((Profile!O148&gt;0),Profile!O148,"---")</f>
        <v>---</v>
      </c>
      <c t="str" s="861" r="W120">
        <f>IF((Profile!Y148=0),IF((Profile!Y147=0),"---",IF((Profile!Y149=0),"---",Profile!Y148)),Profile!Y148)</f>
        <v>---</v>
      </c>
      <c s="239" r="X120">
        <f>AB120+X119</f>
        <v>0</v>
      </c>
      <c s="796" r="Y120">
        <f>AC120+Y119</f>
        <v>0</v>
      </c>
      <c s="702" r="Z120"/>
      <c s="289" r="AA120">
        <f>IF(Profile!Y148,IF((Profile!O148=0),0,(Profile!O148-MAX(Profile!O$44:O147))),0)</f>
        <v>0</v>
      </c>
      <c s="605" r="AB120">
        <f>SIN(RADIANS(Profile!Y148))*AA120</f>
        <v>0</v>
      </c>
      <c s="605" r="AC120">
        <f>COS(RADIANS(Profile!Y148))*AA120</f>
        <v>0</v>
      </c>
      <c s="348" r="AD120">
        <f>IF((AJ$15=TRUE),X120,NA())</f>
        <v>0</v>
      </c>
      <c s="348" r="AE120">
        <f>IF((AJ$15=TRUE),Y120,NA())</f>
        <v>0</v>
      </c>
      <c t="str" s="348" r="AF120">
        <f>IF(Profile!L148,Y120,NA())</f>
        <v>#N/A:explicit</v>
      </c>
      <c s="348" r="AG120">
        <f>Profile!T148*E$40</f>
        <v>0</v>
      </c>
      <c t="str" s="348" r="AH120">
        <f>IF((AK$15=TRUE),IF(ISNUMBER(Profile!Y148),IF(ISNUMBER(Profile!Y149),(((X120+((F$63/2)*COS(RADIANS(Profile!Y149))))+(X120+((F$63/2)*COS(RADIANS(Profile!Y148)))))/2),(X120+((F$63/2)*COS(RADIANS(Profile!Y148))))),AH119),0)</f>
        <v>#VALUE!:notNumber:For input string: "---"</v>
      </c>
      <c t="str" s="348" r="AI120">
        <f>IF((AK$15=TRUE),IF(ISNUMBER(Profile!Y148),IF(ISNUMBER(Profile!Y149),(((Y120-((F$63/2)*SIN(RADIANS(Profile!Y149))))+(Y120-((F$63/2)*SIN(RADIANS(Profile!Y148)))))/2),(Y120-((F$63/2)*SIN(RADIANS(Profile!Y148))))),AI119),0)</f>
        <v>#VALUE!:notNumber:For input string: "---"</v>
      </c>
      <c t="str" s="348" r="AJ120">
        <f>IF((AK$15=TRUE),IF(ISNUMBER(Profile!Y148),IF(ISNUMBER(Profile!Y149),(((X120-((F$63/2)*COS(RADIANS(Profile!Y149))))+(X120-((F$63/2)*COS(RADIANS(Profile!Y148)))))/2),(X120-((F$63/2)*COS(RADIANS(Profile!Y148))))),AJ119),0)</f>
        <v>#VALUE!:notNumber:For input string: "---"</v>
      </c>
      <c t="str" s="799" r="AK120">
        <f>IF((AK$15=TRUE),IF(ISNUMBER(Profile!Y148),IF(ISNUMBER(Profile!Y149),(((Y120+((F$63/2)*SIN(RADIANS(Profile!Y149))))+(Y120+((F$63/2)*SIN(RADIANS(Profile!Y148)))))/2),(Y120+((F$63/2)*SIN(RADIANS(Profile!Y148))))),AK119),0)</f>
        <v>#VALUE!:notNumber:For input string: "---"</v>
      </c>
      <c s="51" r="AL120"/>
      <c s="125" r="AM120"/>
    </row>
    <row r="121">
      <c s="125" r="A121"/>
      <c s="125" r="B121"/>
      <c s="125" r="C121"/>
      <c s="125" r="D121"/>
      <c s="125" r="E121"/>
      <c s="125" r="F121"/>
      <c s="125" r="G121"/>
      <c s="125" r="H121"/>
      <c s="125" r="I121"/>
      <c s="125" r="J121"/>
      <c s="125" r="K121"/>
      <c s="125" r="L121"/>
      <c s="125" r="M121"/>
      <c s="125" r="N121"/>
      <c s="125" r="O121"/>
      <c s="125" r="P121"/>
      <c s="125" r="Q121"/>
      <c s="125" r="R121"/>
      <c s="125" r="S121"/>
      <c s="822" r="T121"/>
      <c t="str" s="309" r="U121">
        <f>IF((Profile!L149&gt;0),Profile!L149,"")</f>
        <v/>
      </c>
      <c t="str" s="861" r="V121">
        <f>IF((Profile!O149&gt;0),Profile!O149,"---")</f>
        <v>---</v>
      </c>
      <c t="str" s="861" r="W121">
        <f>IF((Profile!Y149=0),IF((Profile!Y148=0),"---",IF((Profile!Y150=0),"---",Profile!Y149)),Profile!Y149)</f>
        <v>---</v>
      </c>
      <c s="239" r="X121">
        <f>AB121+X120</f>
        <v>0</v>
      </c>
      <c s="796" r="Y121">
        <f>AC121+Y120</f>
        <v>0</v>
      </c>
      <c s="702" r="Z121"/>
      <c s="289" r="AA121">
        <f>IF(Profile!Y149,IF((Profile!O149=0),0,(Profile!O149-MAX(Profile!O$44:O148))),0)</f>
        <v>0</v>
      </c>
      <c s="605" r="AB121">
        <f>SIN(RADIANS(Profile!Y149))*AA121</f>
        <v>0</v>
      </c>
      <c s="605" r="AC121">
        <f>COS(RADIANS(Profile!Y149))*AA121</f>
        <v>0</v>
      </c>
      <c s="348" r="AD121">
        <f>IF((AJ$15=TRUE),X121,NA())</f>
        <v>0</v>
      </c>
      <c s="348" r="AE121">
        <f>IF((AJ$15=TRUE),Y121,NA())</f>
        <v>0</v>
      </c>
      <c t="str" s="348" r="AF121">
        <f>IF(Profile!L149,Y121,NA())</f>
        <v>#N/A:explicit</v>
      </c>
      <c s="348" r="AG121">
        <f>Profile!T149*E$40</f>
        <v>0</v>
      </c>
      <c t="str" s="348" r="AH121">
        <f>IF((AK$15=TRUE),IF(ISNUMBER(Profile!Y149),IF(ISNUMBER(Profile!Y150),(((X121+((F$63/2)*COS(RADIANS(Profile!Y150))))+(X121+((F$63/2)*COS(RADIANS(Profile!Y149)))))/2),(X121+((F$63/2)*COS(RADIANS(Profile!Y149))))),AH120),0)</f>
        <v>#VALUE!:notNumber:For input string: "---"</v>
      </c>
      <c t="str" s="348" r="AI121">
        <f>IF((AK$15=TRUE),IF(ISNUMBER(Profile!Y149),IF(ISNUMBER(Profile!Y150),(((Y121-((F$63/2)*SIN(RADIANS(Profile!Y150))))+(Y121-((F$63/2)*SIN(RADIANS(Profile!Y149)))))/2),(Y121-((F$63/2)*SIN(RADIANS(Profile!Y149))))),AI120),0)</f>
        <v>#VALUE!:notNumber:For input string: "---"</v>
      </c>
      <c t="str" s="348" r="AJ121">
        <f>IF((AK$15=TRUE),IF(ISNUMBER(Profile!Y149),IF(ISNUMBER(Profile!Y150),(((X121-((F$63/2)*COS(RADIANS(Profile!Y150))))+(X121-((F$63/2)*COS(RADIANS(Profile!Y149)))))/2),(X121-((F$63/2)*COS(RADIANS(Profile!Y149))))),AJ120),0)</f>
        <v>#VALUE!:notNumber:For input string: "---"</v>
      </c>
      <c t="str" s="799" r="AK121">
        <f>IF((AK$15=TRUE),IF(ISNUMBER(Profile!Y149),IF(ISNUMBER(Profile!Y150),(((Y121+((F$63/2)*SIN(RADIANS(Profile!Y150))))+(Y121+((F$63/2)*SIN(RADIANS(Profile!Y149)))))/2),(Y121+((F$63/2)*SIN(RADIANS(Profile!Y149))))),AK120),0)</f>
        <v>#VALUE!:notNumber:For input string: "---"</v>
      </c>
      <c s="51" r="AL121"/>
      <c s="125" r="AM121"/>
    </row>
    <row r="122">
      <c s="125" r="A122"/>
      <c s="125" r="B122"/>
      <c s="125" r="C122"/>
      <c s="125" r="D122"/>
      <c s="125" r="E122"/>
      <c s="125" r="F122"/>
      <c s="125" r="G122"/>
      <c s="125" r="H122"/>
      <c s="125" r="I122"/>
      <c s="125" r="J122"/>
      <c s="125" r="K122"/>
      <c s="125" r="L122"/>
      <c s="125" r="M122"/>
      <c s="125" r="N122"/>
      <c s="125" r="O122"/>
      <c s="125" r="P122"/>
      <c s="125" r="Q122"/>
      <c s="125" r="R122"/>
      <c s="125" r="S122"/>
      <c s="822" r="T122"/>
      <c t="str" s="309" r="U122">
        <f>IF((Profile!L150&gt;0),Profile!L150,"")</f>
        <v/>
      </c>
      <c t="str" s="861" r="V122">
        <f>IF((Profile!O150&gt;0),Profile!O150,"---")</f>
        <v>---</v>
      </c>
      <c t="str" s="861" r="W122">
        <f>IF((Profile!Y150=0),IF((Profile!Y149=0),"---",IF((Profile!Y151=0),"---",Profile!Y150)),Profile!Y150)</f>
        <v>---</v>
      </c>
      <c s="239" r="X122">
        <f>AB122+X121</f>
        <v>0</v>
      </c>
      <c s="796" r="Y122">
        <f>AC122+Y121</f>
        <v>0</v>
      </c>
      <c s="702" r="Z122"/>
      <c s="289" r="AA122">
        <f>IF(Profile!Y150,IF((Profile!O150=0),0,(Profile!O150-MAX(Profile!O$44:O149))),0)</f>
        <v>0</v>
      </c>
      <c s="605" r="AB122">
        <f>SIN(RADIANS(Profile!Y150))*AA122</f>
        <v>0</v>
      </c>
      <c s="605" r="AC122">
        <f>COS(RADIANS(Profile!Y150))*AA122</f>
        <v>0</v>
      </c>
      <c s="348" r="AD122">
        <f>IF((AJ$15=TRUE),X122,NA())</f>
        <v>0</v>
      </c>
      <c s="348" r="AE122">
        <f>IF((AJ$15=TRUE),Y122,NA())</f>
        <v>0</v>
      </c>
      <c t="str" s="348" r="AF122">
        <f>IF(Profile!L150,Y122,NA())</f>
        <v>#N/A:explicit</v>
      </c>
      <c s="348" r="AG122">
        <f>Profile!T150*E$40</f>
        <v>0</v>
      </c>
      <c t="str" s="348" r="AH122">
        <f>IF((AK$15=TRUE),IF(ISNUMBER(Profile!Y150),IF(ISNUMBER(Profile!Y151),(((X122+((F$63/2)*COS(RADIANS(Profile!Y151))))+(X122+((F$63/2)*COS(RADIANS(Profile!Y150)))))/2),(X122+((F$63/2)*COS(RADIANS(Profile!Y150))))),AH121),0)</f>
        <v>#VALUE!:notNumber:For input string: "---"</v>
      </c>
      <c t="str" s="348" r="AI122">
        <f>IF((AK$15=TRUE),IF(ISNUMBER(Profile!Y150),IF(ISNUMBER(Profile!Y151),(((Y122-((F$63/2)*SIN(RADIANS(Profile!Y151))))+(Y122-((F$63/2)*SIN(RADIANS(Profile!Y150)))))/2),(Y122-((F$63/2)*SIN(RADIANS(Profile!Y150))))),AI121),0)</f>
        <v>#VALUE!:notNumber:For input string: "---"</v>
      </c>
      <c t="str" s="348" r="AJ122">
        <f>IF((AK$15=TRUE),IF(ISNUMBER(Profile!Y150),IF(ISNUMBER(Profile!Y151),(((X122-((F$63/2)*COS(RADIANS(Profile!Y151))))+(X122-((F$63/2)*COS(RADIANS(Profile!Y150)))))/2),(X122-((F$63/2)*COS(RADIANS(Profile!Y150))))),AJ121),0)</f>
        <v>#VALUE!:notNumber:For input string: "---"</v>
      </c>
      <c t="str" s="799" r="AK122">
        <f>IF((AK$15=TRUE),IF(ISNUMBER(Profile!Y150),IF(ISNUMBER(Profile!Y151),(((Y122+((F$63/2)*SIN(RADIANS(Profile!Y151))))+(Y122+((F$63/2)*SIN(RADIANS(Profile!Y150)))))/2),(Y122+((F$63/2)*SIN(RADIANS(Profile!Y150))))),AK121),0)</f>
        <v>#VALUE!:notNumber:For input string: "---"</v>
      </c>
      <c s="51" r="AL122"/>
      <c s="125" r="AM122"/>
    </row>
    <row r="123">
      <c s="125" r="A123"/>
      <c s="125" r="B123"/>
      <c s="125" r="C123"/>
      <c s="125" r="D123"/>
      <c s="125" r="E123"/>
      <c s="125" r="F123"/>
      <c s="125" r="G123"/>
      <c s="125" r="H123"/>
      <c s="125" r="I123"/>
      <c s="125" r="J123"/>
      <c s="125" r="K123"/>
      <c s="125" r="L123"/>
      <c s="125" r="M123"/>
      <c s="125" r="N123"/>
      <c s="125" r="O123"/>
      <c s="125" r="P123"/>
      <c s="125" r="Q123"/>
      <c s="125" r="R123"/>
      <c s="125" r="S123"/>
      <c s="822" r="T123"/>
      <c t="str" s="309" r="U123">
        <f>IF((Profile!L151&gt;0),Profile!L151,"")</f>
        <v/>
      </c>
      <c t="str" s="861" r="V123">
        <f>IF((Profile!O151&gt;0),Profile!O151,"---")</f>
        <v>---</v>
      </c>
      <c t="str" s="861" r="W123">
        <f>IF((Profile!Y151=0),IF((Profile!Y150=0),"---",IF((Profile!Y152=0),"---",Profile!Y151)),Profile!Y151)</f>
        <v>---</v>
      </c>
      <c s="239" r="X123">
        <f>AB123+X122</f>
        <v>0</v>
      </c>
      <c s="796" r="Y123">
        <f>AC123+Y122</f>
        <v>0</v>
      </c>
      <c s="702" r="Z123"/>
      <c s="289" r="AA123">
        <f>IF(Profile!Y151,IF((Profile!O151=0),0,(Profile!O151-MAX(Profile!O$44:O150))),0)</f>
        <v>0</v>
      </c>
      <c s="605" r="AB123">
        <f>SIN(RADIANS(Profile!Y151))*AA123</f>
        <v>0</v>
      </c>
      <c s="605" r="AC123">
        <f>COS(RADIANS(Profile!Y151))*AA123</f>
        <v>0</v>
      </c>
      <c s="348" r="AD123">
        <f>IF((AJ$15=TRUE),X123,NA())</f>
        <v>0</v>
      </c>
      <c s="348" r="AE123">
        <f>IF((AJ$15=TRUE),Y123,NA())</f>
        <v>0</v>
      </c>
      <c t="str" s="348" r="AF123">
        <f>IF(Profile!L151,Y123,NA())</f>
        <v>#N/A:explicit</v>
      </c>
      <c s="348" r="AG123">
        <f>Profile!T151*E$40</f>
        <v>0</v>
      </c>
      <c t="str" s="348" r="AH123">
        <f>IF((AK$15=TRUE),IF(ISNUMBER(Profile!Y151),IF(ISNUMBER(Profile!Y152),(((X123+((F$63/2)*COS(RADIANS(Profile!Y152))))+(X123+((F$63/2)*COS(RADIANS(Profile!Y151)))))/2),(X123+((F$63/2)*COS(RADIANS(Profile!Y151))))),AH122),0)</f>
        <v>#VALUE!:notNumber:For input string: "---"</v>
      </c>
      <c t="str" s="348" r="AI123">
        <f>IF((AK$15=TRUE),IF(ISNUMBER(Profile!Y151),IF(ISNUMBER(Profile!Y152),(((Y123-((F$63/2)*SIN(RADIANS(Profile!Y152))))+(Y123-((F$63/2)*SIN(RADIANS(Profile!Y151)))))/2),(Y123-((F$63/2)*SIN(RADIANS(Profile!Y151))))),AI122),0)</f>
        <v>#VALUE!:notNumber:For input string: "---"</v>
      </c>
      <c t="str" s="348" r="AJ123">
        <f>IF((AK$15=TRUE),IF(ISNUMBER(Profile!Y151),IF(ISNUMBER(Profile!Y152),(((X123-((F$63/2)*COS(RADIANS(Profile!Y152))))+(X123-((F$63/2)*COS(RADIANS(Profile!Y151)))))/2),(X123-((F$63/2)*COS(RADIANS(Profile!Y151))))),AJ122),0)</f>
        <v>#VALUE!:notNumber:For input string: "---"</v>
      </c>
      <c t="str" s="799" r="AK123">
        <f>IF((AK$15=TRUE),IF(ISNUMBER(Profile!Y151),IF(ISNUMBER(Profile!Y152),(((Y123+((F$63/2)*SIN(RADIANS(Profile!Y152))))+(Y123+((F$63/2)*SIN(RADIANS(Profile!Y151)))))/2),(Y123+((F$63/2)*SIN(RADIANS(Profile!Y151))))),AK122),0)</f>
        <v>#VALUE!:notNumber:For input string: "---"</v>
      </c>
      <c s="51" r="AL123"/>
      <c s="125" r="AM123"/>
    </row>
    <row r="124">
      <c s="125" r="A124"/>
      <c s="125" r="B124"/>
      <c s="125" r="C124"/>
      <c s="125" r="D124"/>
      <c s="125" r="E124"/>
      <c s="125" r="F124"/>
      <c s="125" r="G124"/>
      <c s="125" r="H124"/>
      <c s="125" r="I124"/>
      <c s="125" r="J124"/>
      <c s="125" r="K124"/>
      <c s="125" r="L124"/>
      <c s="125" r="M124"/>
      <c s="125" r="N124"/>
      <c s="125" r="O124"/>
      <c s="125" r="P124"/>
      <c s="125" r="Q124"/>
      <c s="125" r="R124"/>
      <c s="125" r="S124"/>
      <c s="822" r="T124"/>
      <c t="str" s="309" r="U124">
        <f>IF((Profile!L152&gt;0),Profile!L152,"")</f>
        <v/>
      </c>
      <c t="str" s="861" r="V124">
        <f>IF((Profile!O152&gt;0),Profile!O152,"---")</f>
        <v>---</v>
      </c>
      <c t="str" s="861" r="W124">
        <f>IF((Profile!Y152=0),IF((Profile!Y151=0),"---",IF((Profile!Y153=0),"---",Profile!Y152)),Profile!Y152)</f>
        <v>---</v>
      </c>
      <c s="239" r="X124">
        <f>AB124+X123</f>
        <v>0</v>
      </c>
      <c s="796" r="Y124">
        <f>AC124+Y123</f>
        <v>0</v>
      </c>
      <c s="702" r="Z124"/>
      <c s="289" r="AA124">
        <f>IF(Profile!Y152,IF((Profile!O152=0),0,(Profile!O152-MAX(Profile!O$44:O151))),0)</f>
        <v>0</v>
      </c>
      <c s="605" r="AB124">
        <f>SIN(RADIANS(Profile!Y152))*AA124</f>
        <v>0</v>
      </c>
      <c s="605" r="AC124">
        <f>COS(RADIANS(Profile!Y152))*AA124</f>
        <v>0</v>
      </c>
      <c s="348" r="AD124">
        <f>IF((AJ$15=TRUE),X124,NA())</f>
        <v>0</v>
      </c>
      <c s="348" r="AE124">
        <f>IF((AJ$15=TRUE),Y124,NA())</f>
        <v>0</v>
      </c>
      <c t="str" s="348" r="AF124">
        <f>IF(Profile!L152,Y124,NA())</f>
        <v>#N/A:explicit</v>
      </c>
      <c s="348" r="AG124">
        <f>Profile!T152*E$40</f>
        <v>0</v>
      </c>
      <c t="str" s="348" r="AH124">
        <f>IF((AK$15=TRUE),IF(ISNUMBER(Profile!Y152),IF(ISNUMBER(Profile!Y153),(((X124+((F$63/2)*COS(RADIANS(Profile!Y153))))+(X124+((F$63/2)*COS(RADIANS(Profile!Y152)))))/2),(X124+((F$63/2)*COS(RADIANS(Profile!Y152))))),AH123),0)</f>
        <v>#VALUE!:notNumber:For input string: "---"</v>
      </c>
      <c t="str" s="348" r="AI124">
        <f>IF((AK$15=TRUE),IF(ISNUMBER(Profile!Y152),IF(ISNUMBER(Profile!Y153),(((Y124-((F$63/2)*SIN(RADIANS(Profile!Y153))))+(Y124-((F$63/2)*SIN(RADIANS(Profile!Y152)))))/2),(Y124-((F$63/2)*SIN(RADIANS(Profile!Y152))))),AI123),0)</f>
        <v>#VALUE!:notNumber:For input string: "---"</v>
      </c>
      <c t="str" s="348" r="AJ124">
        <f>IF((AK$15=TRUE),IF(ISNUMBER(Profile!Y152),IF(ISNUMBER(Profile!Y153),(((X124-((F$63/2)*COS(RADIANS(Profile!Y153))))+(X124-((F$63/2)*COS(RADIANS(Profile!Y152)))))/2),(X124-((F$63/2)*COS(RADIANS(Profile!Y152))))),AJ123),0)</f>
        <v>#VALUE!:notNumber:For input string: "---"</v>
      </c>
      <c t="str" s="799" r="AK124">
        <f>IF((AK$15=TRUE),IF(ISNUMBER(Profile!Y152),IF(ISNUMBER(Profile!Y153),(((Y124+((F$63/2)*SIN(RADIANS(Profile!Y153))))+(Y124+((F$63/2)*SIN(RADIANS(Profile!Y152)))))/2),(Y124+((F$63/2)*SIN(RADIANS(Profile!Y152))))),AK123),0)</f>
        <v>#VALUE!:notNumber:For input string: "---"</v>
      </c>
      <c s="51" r="AL124"/>
      <c s="125" r="AM124"/>
    </row>
    <row r="125">
      <c s="125" r="A125"/>
      <c s="125" r="B125"/>
      <c s="125" r="C125"/>
      <c s="125" r="D125"/>
      <c s="125" r="E125"/>
      <c s="125" r="F125"/>
      <c s="125" r="G125"/>
      <c s="125" r="H125"/>
      <c s="125" r="I125"/>
      <c s="125" r="J125"/>
      <c s="125" r="K125"/>
      <c s="125" r="L125"/>
      <c s="125" r="M125"/>
      <c s="125" r="N125"/>
      <c s="125" r="O125"/>
      <c s="125" r="P125"/>
      <c s="125" r="Q125"/>
      <c s="125" r="R125"/>
      <c s="125" r="S125"/>
      <c s="822" r="T125"/>
      <c t="str" s="309" r="U125">
        <f>IF((Profile!L153&gt;0),Profile!L153,"")</f>
        <v/>
      </c>
      <c t="str" s="861" r="V125">
        <f>IF((Profile!O153&gt;0),Profile!O153,"---")</f>
        <v>---</v>
      </c>
      <c t="str" s="861" r="W125">
        <f>IF((Profile!Y153=0),IF((Profile!Y152=0),"---",IF((Profile!Y154=0),"---",Profile!Y153)),Profile!Y153)</f>
        <v>---</v>
      </c>
      <c s="239" r="X125">
        <f>AB125+X124</f>
        <v>0</v>
      </c>
      <c s="796" r="Y125">
        <f>AC125+Y124</f>
        <v>0</v>
      </c>
      <c s="702" r="Z125"/>
      <c s="289" r="AA125">
        <f>IF(Profile!Y153,IF((Profile!O153=0),0,(Profile!O153-MAX(Profile!O$44:O152))),0)</f>
        <v>0</v>
      </c>
      <c s="605" r="AB125">
        <f>SIN(RADIANS(Profile!Y153))*AA125</f>
        <v>0</v>
      </c>
      <c s="605" r="AC125">
        <f>COS(RADIANS(Profile!Y153))*AA125</f>
        <v>0</v>
      </c>
      <c s="348" r="AD125">
        <f>IF((AJ$15=TRUE),X125,NA())</f>
        <v>0</v>
      </c>
      <c s="348" r="AE125">
        <f>IF((AJ$15=TRUE),Y125,NA())</f>
        <v>0</v>
      </c>
      <c t="str" s="348" r="AF125">
        <f>IF(Profile!L153,Y125,NA())</f>
        <v>#N/A:explicit</v>
      </c>
      <c s="348" r="AG125">
        <f>Profile!T153*E$40</f>
        <v>0</v>
      </c>
      <c t="str" s="348" r="AH125">
        <f>IF((AK$15=TRUE),IF(ISNUMBER(Profile!Y153),IF(ISNUMBER(Profile!Y154),(((X125+((F$63/2)*COS(RADIANS(Profile!Y154))))+(X125+((F$63/2)*COS(RADIANS(Profile!Y153)))))/2),(X125+((F$63/2)*COS(RADIANS(Profile!Y153))))),AH124),0)</f>
        <v>#VALUE!:notNumber:For input string: "---"</v>
      </c>
      <c t="str" s="348" r="AI125">
        <f>IF((AK$15=TRUE),IF(ISNUMBER(Profile!Y153),IF(ISNUMBER(Profile!Y154),(((Y125-((F$63/2)*SIN(RADIANS(Profile!Y154))))+(Y125-((F$63/2)*SIN(RADIANS(Profile!Y153)))))/2),(Y125-((F$63/2)*SIN(RADIANS(Profile!Y153))))),AI124),0)</f>
        <v>#VALUE!:notNumber:For input string: "---"</v>
      </c>
      <c t="str" s="348" r="AJ125">
        <f>IF((AK$15=TRUE),IF(ISNUMBER(Profile!Y153),IF(ISNUMBER(Profile!Y154),(((X125-((F$63/2)*COS(RADIANS(Profile!Y154))))+(X125-((F$63/2)*COS(RADIANS(Profile!Y153)))))/2),(X125-((F$63/2)*COS(RADIANS(Profile!Y153))))),AJ124),0)</f>
        <v>#VALUE!:notNumber:For input string: "---"</v>
      </c>
      <c t="str" s="799" r="AK125">
        <f>IF((AK$15=TRUE),IF(ISNUMBER(Profile!Y153),IF(ISNUMBER(Profile!Y154),(((Y125+((F$63/2)*SIN(RADIANS(Profile!Y154))))+(Y125+((F$63/2)*SIN(RADIANS(Profile!Y153)))))/2),(Y125+((F$63/2)*SIN(RADIANS(Profile!Y153))))),AK124),0)</f>
        <v>#VALUE!:notNumber:For input string: "---"</v>
      </c>
      <c s="51" r="AL125"/>
      <c s="125" r="AM125"/>
    </row>
    <row r="126">
      <c s="125" r="A126"/>
      <c s="125" r="B126"/>
      <c s="125" r="C126"/>
      <c s="125" r="D126"/>
      <c s="125" r="E126"/>
      <c s="125" r="F126"/>
      <c s="125" r="G126"/>
      <c s="125" r="H126"/>
      <c s="125" r="I126"/>
      <c s="125" r="J126"/>
      <c s="125" r="K126"/>
      <c s="125" r="L126"/>
      <c s="125" r="M126"/>
      <c s="125" r="N126"/>
      <c s="125" r="O126"/>
      <c s="125" r="P126"/>
      <c s="125" r="Q126"/>
      <c s="125" r="R126"/>
      <c s="125" r="S126"/>
      <c s="822" r="T126"/>
      <c t="str" s="309" r="U126">
        <f>IF((Profile!L154&gt;0),Profile!L154,"")</f>
        <v/>
      </c>
      <c t="str" s="861" r="V126">
        <f>IF((Profile!O154&gt;0),Profile!O154,"---")</f>
        <v>---</v>
      </c>
      <c t="str" s="861" r="W126">
        <f>IF((Profile!Y154=0),IF((Profile!Y153=0),"---",IF((Profile!Y155=0),"---",Profile!Y154)),Profile!Y154)</f>
        <v>---</v>
      </c>
      <c s="239" r="X126">
        <f>AB126+X125</f>
        <v>0</v>
      </c>
      <c s="796" r="Y126">
        <f>AC126+Y125</f>
        <v>0</v>
      </c>
      <c s="702" r="Z126"/>
      <c s="289" r="AA126">
        <f>IF(Profile!Y154,IF((Profile!O154=0),0,(Profile!O154-MAX(Profile!O$44:O153))),0)</f>
        <v>0</v>
      </c>
      <c s="605" r="AB126">
        <f>SIN(RADIANS(Profile!Y154))*AA126</f>
        <v>0</v>
      </c>
      <c s="605" r="AC126">
        <f>COS(RADIANS(Profile!Y154))*AA126</f>
        <v>0</v>
      </c>
      <c s="348" r="AD126">
        <f>IF((AJ$15=TRUE),X126,NA())</f>
        <v>0</v>
      </c>
      <c s="348" r="AE126">
        <f>IF((AJ$15=TRUE),Y126,NA())</f>
        <v>0</v>
      </c>
      <c t="str" s="348" r="AF126">
        <f>IF(Profile!L154,Y126,NA())</f>
        <v>#N/A:explicit</v>
      </c>
      <c s="348" r="AG126">
        <f>Profile!T154*E$40</f>
        <v>0</v>
      </c>
      <c t="str" s="348" r="AH126">
        <f>IF((AK$15=TRUE),IF(ISNUMBER(Profile!Y154),IF(ISNUMBER(Profile!Y155),(((X126+((F$63/2)*COS(RADIANS(Profile!Y155))))+(X126+((F$63/2)*COS(RADIANS(Profile!Y154)))))/2),(X126+((F$63/2)*COS(RADIANS(Profile!Y154))))),AH125),0)</f>
        <v>#VALUE!:notNumber:For input string: "---"</v>
      </c>
      <c t="str" s="348" r="AI126">
        <f>IF((AK$15=TRUE),IF(ISNUMBER(Profile!Y154),IF(ISNUMBER(Profile!Y155),(((Y126-((F$63/2)*SIN(RADIANS(Profile!Y155))))+(Y126-((F$63/2)*SIN(RADIANS(Profile!Y154)))))/2),(Y126-((F$63/2)*SIN(RADIANS(Profile!Y154))))),AI125),0)</f>
        <v>#VALUE!:notNumber:For input string: "---"</v>
      </c>
      <c t="str" s="348" r="AJ126">
        <f>IF((AK$15=TRUE),IF(ISNUMBER(Profile!Y154),IF(ISNUMBER(Profile!Y155),(((X126-((F$63/2)*COS(RADIANS(Profile!Y155))))+(X126-((F$63/2)*COS(RADIANS(Profile!Y154)))))/2),(X126-((F$63/2)*COS(RADIANS(Profile!Y154))))),AJ125),0)</f>
        <v>#VALUE!:notNumber:For input string: "---"</v>
      </c>
      <c t="str" s="799" r="AK126">
        <f>IF((AK$15=TRUE),IF(ISNUMBER(Profile!Y154),IF(ISNUMBER(Profile!Y155),(((Y126+((F$63/2)*SIN(RADIANS(Profile!Y155))))+(Y126+((F$63/2)*SIN(RADIANS(Profile!Y154)))))/2),(Y126+((F$63/2)*SIN(RADIANS(Profile!Y154))))),AK125),0)</f>
        <v>#VALUE!:notNumber:For input string: "---"</v>
      </c>
      <c s="51" r="AL126"/>
      <c s="125" r="AM126"/>
    </row>
    <row r="127">
      <c s="125" r="A127"/>
      <c s="125" r="B127"/>
      <c s="125" r="C127"/>
      <c s="125" r="D127"/>
      <c s="125" r="E127"/>
      <c s="125" r="F127"/>
      <c s="125" r="G127"/>
      <c s="125" r="H127"/>
      <c s="125" r="I127"/>
      <c s="125" r="J127"/>
      <c s="125" r="K127"/>
      <c s="125" r="L127"/>
      <c s="125" r="M127"/>
      <c s="125" r="N127"/>
      <c s="125" r="O127"/>
      <c s="125" r="P127"/>
      <c s="125" r="Q127"/>
      <c s="125" r="R127"/>
      <c s="125" r="S127"/>
      <c s="822" r="T127"/>
      <c t="str" s="309" r="U127">
        <f>IF((Profile!L155&gt;0),Profile!L155,"")</f>
        <v/>
      </c>
      <c t="str" s="861" r="V127">
        <f>IF((Profile!O155&gt;0),Profile!O155,"---")</f>
        <v>---</v>
      </c>
      <c t="str" s="861" r="W127">
        <f>IF((Profile!Y155=0),IF((Profile!Y154=0),"---",IF((Profile!Y156=0),"---",Profile!Y155)),Profile!Y155)</f>
        <v>---</v>
      </c>
      <c s="239" r="X127">
        <f>AB127+X126</f>
        <v>0</v>
      </c>
      <c s="796" r="Y127">
        <f>AC127+Y126</f>
        <v>0</v>
      </c>
      <c s="702" r="Z127"/>
      <c s="289" r="AA127">
        <f>IF(Profile!Y155,IF((Profile!O155=0),0,(Profile!O155-MAX(Profile!O$44:O154))),0)</f>
        <v>0</v>
      </c>
      <c s="605" r="AB127">
        <f>SIN(RADIANS(Profile!Y155))*AA127</f>
        <v>0</v>
      </c>
      <c s="605" r="AC127">
        <f>COS(RADIANS(Profile!Y155))*AA127</f>
        <v>0</v>
      </c>
      <c s="348" r="AD127">
        <f>IF((AJ$15=TRUE),X127,NA())</f>
        <v>0</v>
      </c>
      <c s="348" r="AE127">
        <f>IF((AJ$15=TRUE),Y127,NA())</f>
        <v>0</v>
      </c>
      <c t="str" s="348" r="AF127">
        <f>IF(Profile!L155,Y127,NA())</f>
        <v>#N/A:explicit</v>
      </c>
      <c s="348" r="AG127">
        <f>Profile!T155*E$40</f>
        <v>0</v>
      </c>
      <c t="str" s="348" r="AH127">
        <f>IF((AK$15=TRUE),IF(ISNUMBER(Profile!Y155),IF(ISNUMBER(Profile!Y156),(((X127+((F$63/2)*COS(RADIANS(Profile!Y156))))+(X127+((F$63/2)*COS(RADIANS(Profile!Y155)))))/2),(X127+((F$63/2)*COS(RADIANS(Profile!Y155))))),AH126),0)</f>
        <v>#VALUE!:notNumber:For input string: "---"</v>
      </c>
      <c t="str" s="348" r="AI127">
        <f>IF((AK$15=TRUE),IF(ISNUMBER(Profile!Y155),IF(ISNUMBER(Profile!Y156),(((Y127-((F$63/2)*SIN(RADIANS(Profile!Y156))))+(Y127-((F$63/2)*SIN(RADIANS(Profile!Y155)))))/2),(Y127-((F$63/2)*SIN(RADIANS(Profile!Y155))))),AI126),0)</f>
        <v>#VALUE!:notNumber:For input string: "---"</v>
      </c>
      <c t="str" s="348" r="AJ127">
        <f>IF((AK$15=TRUE),IF(ISNUMBER(Profile!Y155),IF(ISNUMBER(Profile!Y156),(((X127-((F$63/2)*COS(RADIANS(Profile!Y156))))+(X127-((F$63/2)*COS(RADIANS(Profile!Y155)))))/2),(X127-((F$63/2)*COS(RADIANS(Profile!Y155))))),AJ126),0)</f>
        <v>#VALUE!:notNumber:For input string: "---"</v>
      </c>
      <c t="str" s="799" r="AK127">
        <f>IF((AK$15=TRUE),IF(ISNUMBER(Profile!Y155),IF(ISNUMBER(Profile!Y156),(((Y127+((F$63/2)*SIN(RADIANS(Profile!Y156))))+(Y127+((F$63/2)*SIN(RADIANS(Profile!Y155)))))/2),(Y127+((F$63/2)*SIN(RADIANS(Profile!Y155))))),AK126),0)</f>
        <v>#VALUE!:notNumber:For input string: "---"</v>
      </c>
      <c s="51" r="AL127"/>
      <c s="125" r="AM127"/>
    </row>
    <row r="128">
      <c s="125" r="A128"/>
      <c s="125" r="B128"/>
      <c s="125" r="C128"/>
      <c s="125" r="D128"/>
      <c s="125" r="E128"/>
      <c s="125" r="F128"/>
      <c s="125" r="G128"/>
      <c s="125" r="H128"/>
      <c s="125" r="I128"/>
      <c s="125" r="J128"/>
      <c s="125" r="K128"/>
      <c s="125" r="L128"/>
      <c s="125" r="M128"/>
      <c s="125" r="N128"/>
      <c s="125" r="O128"/>
      <c s="125" r="P128"/>
      <c s="125" r="Q128"/>
      <c s="125" r="R128"/>
      <c s="125" r="S128"/>
      <c s="822" r="T128"/>
      <c t="str" s="309" r="U128">
        <f>IF((Profile!L156&gt;0),Profile!L156,"")</f>
        <v/>
      </c>
      <c t="str" s="861" r="V128">
        <f>IF((Profile!O156&gt;0),Profile!O156,"---")</f>
        <v>---</v>
      </c>
      <c t="str" s="861" r="W128">
        <f>IF((Profile!Y156=0),IF((Profile!Y155=0),"---",IF((Profile!Y157=0),"---",Profile!Y156)),Profile!Y156)</f>
        <v>---</v>
      </c>
      <c s="239" r="X128">
        <f>AB128+X127</f>
        <v>0</v>
      </c>
      <c s="796" r="Y128">
        <f>AC128+Y127</f>
        <v>0</v>
      </c>
      <c s="702" r="Z128"/>
      <c s="289" r="AA128">
        <f>IF(Profile!Y156,IF((Profile!O156=0),0,(Profile!O156-MAX(Profile!O$44:O155))),0)</f>
        <v>0</v>
      </c>
      <c s="605" r="AB128">
        <f>SIN(RADIANS(Profile!Y156))*AA128</f>
        <v>0</v>
      </c>
      <c s="605" r="AC128">
        <f>COS(RADIANS(Profile!Y156))*AA128</f>
        <v>0</v>
      </c>
      <c s="348" r="AD128">
        <f>IF((AJ$15=TRUE),X128,NA())</f>
        <v>0</v>
      </c>
      <c s="348" r="AE128">
        <f>IF((AJ$15=TRUE),Y128,NA())</f>
        <v>0</v>
      </c>
      <c t="str" s="348" r="AF128">
        <f>IF(Profile!L156,Y128,NA())</f>
        <v>#N/A:explicit</v>
      </c>
      <c s="348" r="AG128">
        <f>Profile!T156*E$40</f>
        <v>0</v>
      </c>
      <c t="str" s="348" r="AH128">
        <f>IF((AK$15=TRUE),IF(ISNUMBER(Profile!Y156),IF(ISNUMBER(Profile!Y157),(((X128+((F$63/2)*COS(RADIANS(Profile!Y157))))+(X128+((F$63/2)*COS(RADIANS(Profile!Y156)))))/2),(X128+((F$63/2)*COS(RADIANS(Profile!Y156))))),AH127),0)</f>
        <v>#VALUE!:notNumber:For input string: "---"</v>
      </c>
      <c t="str" s="348" r="AI128">
        <f>IF((AK$15=TRUE),IF(ISNUMBER(Profile!Y156),IF(ISNUMBER(Profile!Y157),(((Y128-((F$63/2)*SIN(RADIANS(Profile!Y157))))+(Y128-((F$63/2)*SIN(RADIANS(Profile!Y156)))))/2),(Y128-((F$63/2)*SIN(RADIANS(Profile!Y156))))),AI127),0)</f>
        <v>#VALUE!:notNumber:For input string: "---"</v>
      </c>
      <c t="str" s="348" r="AJ128">
        <f>IF((AK$15=TRUE),IF(ISNUMBER(Profile!Y156),IF(ISNUMBER(Profile!Y157),(((X128-((F$63/2)*COS(RADIANS(Profile!Y157))))+(X128-((F$63/2)*COS(RADIANS(Profile!Y156)))))/2),(X128-((F$63/2)*COS(RADIANS(Profile!Y156))))),AJ127),0)</f>
        <v>#VALUE!:notNumber:For input string: "---"</v>
      </c>
      <c t="str" s="799" r="AK128">
        <f>IF((AK$15=TRUE),IF(ISNUMBER(Profile!Y156),IF(ISNUMBER(Profile!Y157),(((Y128+((F$63/2)*SIN(RADIANS(Profile!Y157))))+(Y128+((F$63/2)*SIN(RADIANS(Profile!Y156)))))/2),(Y128+((F$63/2)*SIN(RADIANS(Profile!Y156))))),AK127),0)</f>
        <v>#VALUE!:notNumber:For input string: "---"</v>
      </c>
      <c s="51" r="AL128"/>
      <c s="125" r="AM128"/>
    </row>
    <row r="129">
      <c s="125" r="A129"/>
      <c s="125" r="B129"/>
      <c s="125" r="C129"/>
      <c s="125" r="D129"/>
      <c s="125" r="E129"/>
      <c s="125" r="F129"/>
      <c s="125" r="G129"/>
      <c s="125" r="H129"/>
      <c s="125" r="I129"/>
      <c s="125" r="J129"/>
      <c s="125" r="K129"/>
      <c s="125" r="L129"/>
      <c s="125" r="M129"/>
      <c s="125" r="N129"/>
      <c s="125" r="O129"/>
      <c s="125" r="P129"/>
      <c s="125" r="Q129"/>
      <c s="125" r="R129"/>
      <c s="125" r="S129"/>
      <c s="822" r="T129"/>
      <c t="str" s="309" r="U129">
        <f>IF((Profile!L157&gt;0),Profile!L157,"")</f>
        <v/>
      </c>
      <c t="str" s="861" r="V129">
        <f>IF((Profile!O157&gt;0),Profile!O157,"---")</f>
        <v>---</v>
      </c>
      <c t="str" s="861" r="W129">
        <f>IF((Profile!Y157=0),IF((Profile!Y156=0),"---",IF((Profile!Y158=0),"---",Profile!Y157)),Profile!Y157)</f>
        <v>---</v>
      </c>
      <c s="239" r="X129">
        <f>AB129+X128</f>
        <v>0</v>
      </c>
      <c s="796" r="Y129">
        <f>AC129+Y128</f>
        <v>0</v>
      </c>
      <c s="702" r="Z129"/>
      <c s="289" r="AA129">
        <f>IF(Profile!Y157,IF((Profile!O157=0),0,(Profile!O157-MAX(Profile!O$44:O156))),0)</f>
        <v>0</v>
      </c>
      <c s="605" r="AB129">
        <f>SIN(RADIANS(Profile!Y157))*AA129</f>
        <v>0</v>
      </c>
      <c s="605" r="AC129">
        <f>COS(RADIANS(Profile!Y157))*AA129</f>
        <v>0</v>
      </c>
      <c s="348" r="AD129">
        <f>IF((AJ$15=TRUE),X129,NA())</f>
        <v>0</v>
      </c>
      <c s="348" r="AE129">
        <f>IF((AJ$15=TRUE),Y129,NA())</f>
        <v>0</v>
      </c>
      <c t="str" s="348" r="AF129">
        <f>IF(Profile!L157,Y129,NA())</f>
        <v>#N/A:explicit</v>
      </c>
      <c s="348" r="AG129">
        <f>Profile!T157*E$40</f>
        <v>0</v>
      </c>
      <c t="str" s="348" r="AH129">
        <f>IF((AK$15=TRUE),IF(ISNUMBER(Profile!Y157),IF(ISNUMBER(Profile!Y158),(((X129+((F$63/2)*COS(RADIANS(Profile!Y158))))+(X129+((F$63/2)*COS(RADIANS(Profile!Y157)))))/2),(X129+((F$63/2)*COS(RADIANS(Profile!Y157))))),AH128),0)</f>
        <v>#VALUE!:notNumber:For input string: "---"</v>
      </c>
      <c t="str" s="348" r="AI129">
        <f>IF((AK$15=TRUE),IF(ISNUMBER(Profile!Y157),IF(ISNUMBER(Profile!Y158),(((Y129-((F$63/2)*SIN(RADIANS(Profile!Y158))))+(Y129-((F$63/2)*SIN(RADIANS(Profile!Y157)))))/2),(Y129-((F$63/2)*SIN(RADIANS(Profile!Y157))))),AI128),0)</f>
        <v>#VALUE!:notNumber:For input string: "---"</v>
      </c>
      <c t="str" s="348" r="AJ129">
        <f>IF((AK$15=TRUE),IF(ISNUMBER(Profile!Y157),IF(ISNUMBER(Profile!Y158),(((X129-((F$63/2)*COS(RADIANS(Profile!Y158))))+(X129-((F$63/2)*COS(RADIANS(Profile!Y157)))))/2),(X129-((F$63/2)*COS(RADIANS(Profile!Y157))))),AJ128),0)</f>
        <v>#VALUE!:notNumber:For input string: "---"</v>
      </c>
      <c t="str" s="799" r="AK129">
        <f>IF((AK$15=TRUE),IF(ISNUMBER(Profile!Y157),IF(ISNUMBER(Profile!Y158),(((Y129+((F$63/2)*SIN(RADIANS(Profile!Y158))))+(Y129+((F$63/2)*SIN(RADIANS(Profile!Y157)))))/2),(Y129+((F$63/2)*SIN(RADIANS(Profile!Y157))))),AK128),0)</f>
        <v>#VALUE!:notNumber:For input string: "---"</v>
      </c>
      <c s="51" r="AL129"/>
      <c s="125" r="AM129"/>
    </row>
    <row r="130">
      <c s="125" r="A130"/>
      <c s="125" r="B130"/>
      <c s="125" r="C130"/>
      <c s="125" r="D130"/>
      <c s="125" r="E130"/>
      <c s="125" r="F130"/>
      <c s="125" r="G130"/>
      <c s="125" r="H130"/>
      <c s="125" r="I130"/>
      <c s="125" r="J130"/>
      <c s="125" r="K130"/>
      <c s="125" r="L130"/>
      <c s="125" r="M130"/>
      <c s="125" r="N130"/>
      <c s="125" r="O130"/>
      <c s="125" r="P130"/>
      <c s="125" r="Q130"/>
      <c s="125" r="R130"/>
      <c s="125" r="S130"/>
      <c s="822" r="T130"/>
      <c t="str" s="309" r="U130">
        <f>IF((Profile!L158&gt;0),Profile!L158,"")</f>
        <v/>
      </c>
      <c t="str" s="861" r="V130">
        <f>IF((Profile!O158&gt;0),Profile!O158,"---")</f>
        <v>---</v>
      </c>
      <c t="str" s="861" r="W130">
        <f>IF((Profile!Y158=0),IF((Profile!Y157=0),"---",IF((Profile!Y159=0),"---",Profile!Y158)),Profile!Y158)</f>
        <v>---</v>
      </c>
      <c s="239" r="X130">
        <f>AB130+X129</f>
        <v>0</v>
      </c>
      <c s="796" r="Y130">
        <f>AC130+Y129</f>
        <v>0</v>
      </c>
      <c s="702" r="Z130"/>
      <c s="289" r="AA130">
        <f>IF(Profile!Y158,IF((Profile!O158=0),0,(Profile!O158-MAX(Profile!O$44:O157))),0)</f>
        <v>0</v>
      </c>
      <c s="605" r="AB130">
        <f>SIN(RADIANS(Profile!Y158))*AA130</f>
        <v>0</v>
      </c>
      <c s="605" r="AC130">
        <f>COS(RADIANS(Profile!Y158))*AA130</f>
        <v>0</v>
      </c>
      <c s="348" r="AD130">
        <f>IF((AJ$15=TRUE),X130,NA())</f>
        <v>0</v>
      </c>
      <c s="348" r="AE130">
        <f>IF((AJ$15=TRUE),Y130,NA())</f>
        <v>0</v>
      </c>
      <c t="str" s="348" r="AF130">
        <f>IF(Profile!L158,Y130,NA())</f>
        <v>#N/A:explicit</v>
      </c>
      <c s="348" r="AG130">
        <f>Profile!T158*E$40</f>
        <v>0</v>
      </c>
      <c t="str" s="348" r="AH130">
        <f>IF((AK$15=TRUE),IF(ISNUMBER(Profile!Y158),IF(ISNUMBER(Profile!Y159),(((X130+((F$63/2)*COS(RADIANS(Profile!Y159))))+(X130+((F$63/2)*COS(RADIANS(Profile!Y158)))))/2),(X130+((F$63/2)*COS(RADIANS(Profile!Y158))))),AH129),0)</f>
        <v>#VALUE!:notNumber:For input string: "---"</v>
      </c>
      <c t="str" s="348" r="AI130">
        <f>IF((AK$15=TRUE),IF(ISNUMBER(Profile!Y158),IF(ISNUMBER(Profile!Y159),(((Y130-((F$63/2)*SIN(RADIANS(Profile!Y159))))+(Y130-((F$63/2)*SIN(RADIANS(Profile!Y158)))))/2),(Y130-((F$63/2)*SIN(RADIANS(Profile!Y158))))),AI129),0)</f>
        <v>#VALUE!:notNumber:For input string: "---"</v>
      </c>
      <c t="str" s="348" r="AJ130">
        <f>IF((AK$15=TRUE),IF(ISNUMBER(Profile!Y158),IF(ISNUMBER(Profile!Y159),(((X130-((F$63/2)*COS(RADIANS(Profile!Y159))))+(X130-((F$63/2)*COS(RADIANS(Profile!Y158)))))/2),(X130-((F$63/2)*COS(RADIANS(Profile!Y158))))),AJ129),0)</f>
        <v>#VALUE!:notNumber:For input string: "---"</v>
      </c>
      <c t="str" s="799" r="AK130">
        <f>IF((AK$15=TRUE),IF(ISNUMBER(Profile!Y158),IF(ISNUMBER(Profile!Y159),(((Y130+((F$63/2)*SIN(RADIANS(Profile!Y159))))+(Y130+((F$63/2)*SIN(RADIANS(Profile!Y158)))))/2),(Y130+((F$63/2)*SIN(RADIANS(Profile!Y158))))),AK129),0)</f>
        <v>#VALUE!:notNumber:For input string: "---"</v>
      </c>
      <c s="51" r="AL130"/>
      <c s="125" r="AM130"/>
    </row>
    <row r="131">
      <c s="125" r="A131"/>
      <c s="125" r="B131"/>
      <c s="125" r="C131"/>
      <c s="125" r="D131"/>
      <c s="125" r="E131"/>
      <c s="125" r="F131"/>
      <c s="125" r="G131"/>
      <c s="125" r="H131"/>
      <c s="125" r="I131"/>
      <c s="125" r="J131"/>
      <c s="125" r="K131"/>
      <c s="125" r="L131"/>
      <c s="125" r="M131"/>
      <c s="125" r="N131"/>
      <c s="125" r="O131"/>
      <c s="125" r="P131"/>
      <c s="125" r="Q131"/>
      <c s="125" r="R131"/>
      <c s="125" r="S131"/>
      <c s="822" r="T131"/>
      <c t="str" s="309" r="U131">
        <f>IF((Profile!L159&gt;0),Profile!L159,"")</f>
        <v/>
      </c>
      <c t="str" s="861" r="V131">
        <f>IF((Profile!O159&gt;0),Profile!O159,"---")</f>
        <v>---</v>
      </c>
      <c t="str" s="861" r="W131">
        <f>IF((Profile!Y159=0),IF((Profile!Y158=0),"---",IF((Profile!Y160=0),"---",Profile!Y159)),Profile!Y159)</f>
        <v>---</v>
      </c>
      <c s="239" r="X131">
        <f>AB131+X130</f>
        <v>0</v>
      </c>
      <c s="796" r="Y131">
        <f>AC131+Y130</f>
        <v>0</v>
      </c>
      <c s="702" r="Z131"/>
      <c s="289" r="AA131">
        <f>IF(Profile!Y159,IF((Profile!O159=0),0,(Profile!O159-MAX(Profile!O$44:O158))),0)</f>
        <v>0</v>
      </c>
      <c s="605" r="AB131">
        <f>SIN(RADIANS(Profile!Y159))*AA131</f>
        <v>0</v>
      </c>
      <c s="605" r="AC131">
        <f>COS(RADIANS(Profile!Y159))*AA131</f>
        <v>0</v>
      </c>
      <c s="348" r="AD131">
        <f>IF((AJ$15=TRUE),X131,NA())</f>
        <v>0</v>
      </c>
      <c s="348" r="AE131">
        <f>IF((AJ$15=TRUE),Y131,NA())</f>
        <v>0</v>
      </c>
      <c t="str" s="348" r="AF131">
        <f>IF(Profile!L159,Y131,NA())</f>
        <v>#N/A:explicit</v>
      </c>
      <c s="348" r="AG131">
        <f>Profile!T159*E$40</f>
        <v>0</v>
      </c>
      <c t="str" s="348" r="AH131">
        <f>IF((AK$15=TRUE),IF(ISNUMBER(Profile!Y159),IF(ISNUMBER(Profile!Y160),(((X131+((F$63/2)*COS(RADIANS(Profile!Y160))))+(X131+((F$63/2)*COS(RADIANS(Profile!Y159)))))/2),(X131+((F$63/2)*COS(RADIANS(Profile!Y159))))),AH130),0)</f>
        <v>#VALUE!:notNumber:For input string: "---"</v>
      </c>
      <c t="str" s="348" r="AI131">
        <f>IF((AK$15=TRUE),IF(ISNUMBER(Profile!Y159),IF(ISNUMBER(Profile!Y160),(((Y131-((F$63/2)*SIN(RADIANS(Profile!Y160))))+(Y131-((F$63/2)*SIN(RADIANS(Profile!Y159)))))/2),(Y131-((F$63/2)*SIN(RADIANS(Profile!Y159))))),AI130),0)</f>
        <v>#VALUE!:notNumber:For input string: "---"</v>
      </c>
      <c t="str" s="348" r="AJ131">
        <f>IF((AK$15=TRUE),IF(ISNUMBER(Profile!Y159),IF(ISNUMBER(Profile!Y160),(((X131-((F$63/2)*COS(RADIANS(Profile!Y160))))+(X131-((F$63/2)*COS(RADIANS(Profile!Y159)))))/2),(X131-((F$63/2)*COS(RADIANS(Profile!Y159))))),AJ130),0)</f>
        <v>#VALUE!:notNumber:For input string: "---"</v>
      </c>
      <c t="str" s="799" r="AK131">
        <f>IF((AK$15=TRUE),IF(ISNUMBER(Profile!Y159),IF(ISNUMBER(Profile!Y160),(((Y131+((F$63/2)*SIN(RADIANS(Profile!Y160))))+(Y131+((F$63/2)*SIN(RADIANS(Profile!Y159)))))/2),(Y131+((F$63/2)*SIN(RADIANS(Profile!Y159))))),AK130),0)</f>
        <v>#VALUE!:notNumber:For input string: "---"</v>
      </c>
      <c s="51" r="AL131"/>
      <c s="125" r="AM131"/>
    </row>
    <row r="132">
      <c s="125" r="A132"/>
      <c s="125" r="B132"/>
      <c s="125" r="C132"/>
      <c s="125" r="D132"/>
      <c s="125" r="E132"/>
      <c s="125" r="F132"/>
      <c s="125" r="G132"/>
      <c s="125" r="H132"/>
      <c s="125" r="I132"/>
      <c s="125" r="J132"/>
      <c s="125" r="K132"/>
      <c s="125" r="L132"/>
      <c s="125" r="M132"/>
      <c s="125" r="N132"/>
      <c s="125" r="O132"/>
      <c s="125" r="P132"/>
      <c s="125" r="Q132"/>
      <c s="125" r="R132"/>
      <c s="125" r="S132"/>
      <c s="822" r="T132"/>
      <c t="str" s="309" r="U132">
        <f>IF((Profile!L160&gt;0),Profile!L160,"")</f>
        <v/>
      </c>
      <c t="str" s="861" r="V132">
        <f>IF((Profile!O160&gt;0),Profile!O160,"---")</f>
        <v>---</v>
      </c>
      <c t="str" s="861" r="W132">
        <f>IF((Profile!Y160=0),IF((Profile!Y159=0),"---",IF((Profile!Y161=0),"---",Profile!Y160)),Profile!Y160)</f>
        <v>---</v>
      </c>
      <c s="239" r="X132">
        <f>AB132+X131</f>
        <v>0</v>
      </c>
      <c s="796" r="Y132">
        <f>AC132+Y131</f>
        <v>0</v>
      </c>
      <c s="702" r="Z132"/>
      <c s="289" r="AA132">
        <f>IF(Profile!Y160,IF((Profile!O160=0),0,(Profile!O160-MAX(Profile!O$44:O159))),0)</f>
        <v>0</v>
      </c>
      <c s="605" r="AB132">
        <f>SIN(RADIANS(Profile!Y160))*AA132</f>
        <v>0</v>
      </c>
      <c s="605" r="AC132">
        <f>COS(RADIANS(Profile!Y160))*AA132</f>
        <v>0</v>
      </c>
      <c s="348" r="AD132">
        <f>IF((AJ$15=TRUE),X132,NA())</f>
        <v>0</v>
      </c>
      <c s="348" r="AE132">
        <f>IF((AJ$15=TRUE),Y132,NA())</f>
        <v>0</v>
      </c>
      <c t="str" s="348" r="AF132">
        <f>IF(Profile!L160,Y132,NA())</f>
        <v>#N/A:explicit</v>
      </c>
      <c s="348" r="AG132">
        <f>Profile!T160*E$40</f>
        <v>0</v>
      </c>
      <c t="str" s="348" r="AH132">
        <f>IF((AK$15=TRUE),IF(ISNUMBER(Profile!Y160),IF(ISNUMBER(Profile!Y161),(((X132+((F$63/2)*COS(RADIANS(Profile!Y161))))+(X132+((F$63/2)*COS(RADIANS(Profile!Y160)))))/2),(X132+((F$63/2)*COS(RADIANS(Profile!Y160))))),AH131),0)</f>
        <v>#VALUE!:notNumber:For input string: "---"</v>
      </c>
      <c t="str" s="348" r="AI132">
        <f>IF((AK$15=TRUE),IF(ISNUMBER(Profile!Y160),IF(ISNUMBER(Profile!Y161),(((Y132-((F$63/2)*SIN(RADIANS(Profile!Y161))))+(Y132-((F$63/2)*SIN(RADIANS(Profile!Y160)))))/2),(Y132-((F$63/2)*SIN(RADIANS(Profile!Y160))))),AI131),0)</f>
        <v>#VALUE!:notNumber:For input string: "---"</v>
      </c>
      <c t="str" s="348" r="AJ132">
        <f>IF((AK$15=TRUE),IF(ISNUMBER(Profile!Y160),IF(ISNUMBER(Profile!Y161),(((X132-((F$63/2)*COS(RADIANS(Profile!Y161))))+(X132-((F$63/2)*COS(RADIANS(Profile!Y160)))))/2),(X132-((F$63/2)*COS(RADIANS(Profile!Y160))))),AJ131),0)</f>
        <v>#VALUE!:notNumber:For input string: "---"</v>
      </c>
      <c t="str" s="799" r="AK132">
        <f>IF((AK$15=TRUE),IF(ISNUMBER(Profile!Y160),IF(ISNUMBER(Profile!Y161),(((Y132+((F$63/2)*SIN(RADIANS(Profile!Y161))))+(Y132+((F$63/2)*SIN(RADIANS(Profile!Y160)))))/2),(Y132+((F$63/2)*SIN(RADIANS(Profile!Y160))))),AK131),0)</f>
        <v>#VALUE!:notNumber:For input string: "---"</v>
      </c>
      <c s="51" r="AL132"/>
      <c s="125" r="AM132"/>
    </row>
    <row r="133">
      <c s="125" r="A133"/>
      <c s="125" r="B133"/>
      <c s="125" r="C133"/>
      <c s="125" r="D133"/>
      <c s="125" r="E133"/>
      <c s="125" r="F133"/>
      <c s="125" r="G133"/>
      <c s="125" r="H133"/>
      <c s="125" r="I133"/>
      <c s="125" r="J133"/>
      <c s="125" r="K133"/>
      <c s="125" r="L133"/>
      <c s="125" r="M133"/>
      <c s="125" r="N133"/>
      <c s="125" r="O133"/>
      <c s="125" r="P133"/>
      <c s="125" r="Q133"/>
      <c s="125" r="R133"/>
      <c s="125" r="S133"/>
      <c s="822" r="T133"/>
      <c t="str" s="309" r="U133">
        <f>IF((Profile!L161&gt;0),Profile!L161,"")</f>
        <v/>
      </c>
      <c t="str" s="861" r="V133">
        <f>IF((Profile!O161&gt;0),Profile!O161,"---")</f>
        <v>---</v>
      </c>
      <c t="str" s="861" r="W133">
        <f>IF((Profile!Y161=0),IF((Profile!Y160=0),"---",IF((Profile!Y162=0),"---",Profile!Y161)),Profile!Y161)</f>
        <v>---</v>
      </c>
      <c s="239" r="X133">
        <f>AB133+X132</f>
        <v>0</v>
      </c>
      <c s="796" r="Y133">
        <f>AC133+Y132</f>
        <v>0</v>
      </c>
      <c s="702" r="Z133"/>
      <c s="289" r="AA133">
        <f>IF(Profile!Y161,IF((Profile!O161=0),0,(Profile!O161-MAX(Profile!O$44:O160))),0)</f>
        <v>0</v>
      </c>
      <c s="605" r="AB133">
        <f>SIN(RADIANS(Profile!Y161))*AA133</f>
        <v>0</v>
      </c>
      <c s="605" r="AC133">
        <f>COS(RADIANS(Profile!Y161))*AA133</f>
        <v>0</v>
      </c>
      <c s="348" r="AD133">
        <f>IF((AJ$15=TRUE),X133,NA())</f>
        <v>0</v>
      </c>
      <c s="348" r="AE133">
        <f>IF((AJ$15=TRUE),Y133,NA())</f>
        <v>0</v>
      </c>
      <c t="str" s="348" r="AF133">
        <f>IF(Profile!L161,Y133,NA())</f>
        <v>#N/A:explicit</v>
      </c>
      <c s="348" r="AG133">
        <f>Profile!T161*E$40</f>
        <v>0</v>
      </c>
      <c t="str" s="348" r="AH133">
        <f>IF((AK$15=TRUE),IF(ISNUMBER(Profile!Y161),IF(ISNUMBER(Profile!Y162),(((X133+((F$63/2)*COS(RADIANS(Profile!Y162))))+(X133+((F$63/2)*COS(RADIANS(Profile!Y161)))))/2),(X133+((F$63/2)*COS(RADIANS(Profile!Y161))))),AH132),0)</f>
        <v>#VALUE!:notNumber:For input string: "---"</v>
      </c>
      <c t="str" s="348" r="AI133">
        <f>IF((AK$15=TRUE),IF(ISNUMBER(Profile!Y161),IF(ISNUMBER(Profile!Y162),(((Y133-((F$63/2)*SIN(RADIANS(Profile!Y162))))+(Y133-((F$63/2)*SIN(RADIANS(Profile!Y161)))))/2),(Y133-((F$63/2)*SIN(RADIANS(Profile!Y161))))),AI132),0)</f>
        <v>#VALUE!:notNumber:For input string: "---"</v>
      </c>
      <c t="str" s="348" r="AJ133">
        <f>IF((AK$15=TRUE),IF(ISNUMBER(Profile!Y161),IF(ISNUMBER(Profile!Y162),(((X133-((F$63/2)*COS(RADIANS(Profile!Y162))))+(X133-((F$63/2)*COS(RADIANS(Profile!Y161)))))/2),(X133-((F$63/2)*COS(RADIANS(Profile!Y161))))),AJ132),0)</f>
        <v>#VALUE!:notNumber:For input string: "---"</v>
      </c>
      <c t="str" s="799" r="AK133">
        <f>IF((AK$15=TRUE),IF(ISNUMBER(Profile!Y161),IF(ISNUMBER(Profile!Y162),(((Y133+((F$63/2)*SIN(RADIANS(Profile!Y162))))+(Y133+((F$63/2)*SIN(RADIANS(Profile!Y161)))))/2),(Y133+((F$63/2)*SIN(RADIANS(Profile!Y161))))),AK132),0)</f>
        <v>#VALUE!:notNumber:For input string: "---"</v>
      </c>
      <c s="51" r="AL133"/>
      <c s="125" r="AM133"/>
    </row>
    <row r="134">
      <c s="125" r="A134"/>
      <c s="125" r="B134"/>
      <c s="125" r="C134"/>
      <c s="125" r="D134"/>
      <c s="125" r="E134"/>
      <c s="125" r="F134"/>
      <c s="125" r="G134"/>
      <c s="125" r="H134"/>
      <c s="125" r="I134"/>
      <c s="125" r="J134"/>
      <c s="125" r="K134"/>
      <c s="125" r="L134"/>
      <c s="125" r="M134"/>
      <c s="125" r="N134"/>
      <c s="125" r="O134"/>
      <c s="125" r="P134"/>
      <c s="125" r="Q134"/>
      <c s="125" r="R134"/>
      <c s="125" r="S134"/>
      <c s="822" r="T134"/>
      <c t="str" s="309" r="U134">
        <f>IF((Profile!L162&gt;0),Profile!L162,"")</f>
        <v/>
      </c>
      <c t="str" s="861" r="V134">
        <f>IF((Profile!O162&gt;0),Profile!O162,"---")</f>
        <v>---</v>
      </c>
      <c t="str" s="861" r="W134">
        <f>IF((Profile!Y162=0),IF((Profile!Y161=0),"---",IF((Profile!Y163=0),"---",Profile!Y162)),Profile!Y162)</f>
        <v>---</v>
      </c>
      <c s="239" r="X134">
        <f>AB134+X133</f>
        <v>0</v>
      </c>
      <c s="796" r="Y134">
        <f>AC134+Y133</f>
        <v>0</v>
      </c>
      <c s="702" r="Z134"/>
      <c s="289" r="AA134">
        <f>IF(Profile!Y162,IF((Profile!O162=0),0,(Profile!O162-MAX(Profile!O$44:O161))),0)</f>
        <v>0</v>
      </c>
      <c s="605" r="AB134">
        <f>SIN(RADIANS(Profile!Y162))*AA134</f>
        <v>0</v>
      </c>
      <c s="605" r="AC134">
        <f>COS(RADIANS(Profile!Y162))*AA134</f>
        <v>0</v>
      </c>
      <c s="348" r="AD134">
        <f>IF((AJ$15=TRUE),X134,NA())</f>
        <v>0</v>
      </c>
      <c s="348" r="AE134">
        <f>IF((AJ$15=TRUE),Y134,NA())</f>
        <v>0</v>
      </c>
      <c t="str" s="348" r="AF134">
        <f>IF(Profile!L162,Y134,NA())</f>
        <v>#N/A:explicit</v>
      </c>
      <c s="348" r="AG134">
        <f>Profile!T162*E$40</f>
        <v>0</v>
      </c>
      <c t="str" s="348" r="AH134">
        <f>IF((AK$15=TRUE),IF(ISNUMBER(Profile!Y162),IF(ISNUMBER(Profile!Y163),(((X134+((F$63/2)*COS(RADIANS(Profile!Y163))))+(X134+((F$63/2)*COS(RADIANS(Profile!Y162)))))/2),(X134+((F$63/2)*COS(RADIANS(Profile!Y162))))),AH133),0)</f>
        <v>#VALUE!:notNumber:For input string: "---"</v>
      </c>
      <c t="str" s="348" r="AI134">
        <f>IF((AK$15=TRUE),IF(ISNUMBER(Profile!Y162),IF(ISNUMBER(Profile!Y163),(((Y134-((F$63/2)*SIN(RADIANS(Profile!Y163))))+(Y134-((F$63/2)*SIN(RADIANS(Profile!Y162)))))/2),(Y134-((F$63/2)*SIN(RADIANS(Profile!Y162))))),AI133),0)</f>
        <v>#VALUE!:notNumber:For input string: "---"</v>
      </c>
      <c t="str" s="348" r="AJ134">
        <f>IF((AK$15=TRUE),IF(ISNUMBER(Profile!Y162),IF(ISNUMBER(Profile!Y163),(((X134-((F$63/2)*COS(RADIANS(Profile!Y163))))+(X134-((F$63/2)*COS(RADIANS(Profile!Y162)))))/2),(X134-((F$63/2)*COS(RADIANS(Profile!Y162))))),AJ133),0)</f>
        <v>#VALUE!:notNumber:For input string: "---"</v>
      </c>
      <c t="str" s="799" r="AK134">
        <f>IF((AK$15=TRUE),IF(ISNUMBER(Profile!Y162),IF(ISNUMBER(Profile!Y163),(((Y134+((F$63/2)*SIN(RADIANS(Profile!Y163))))+(Y134+((F$63/2)*SIN(RADIANS(Profile!Y162)))))/2),(Y134+((F$63/2)*SIN(RADIANS(Profile!Y162))))),AK133),0)</f>
        <v>#VALUE!:notNumber:For input string: "---"</v>
      </c>
      <c s="51" r="AL134"/>
      <c s="125" r="AM134"/>
    </row>
    <row r="135">
      <c s="125" r="A135"/>
      <c s="125" r="B135"/>
      <c s="125" r="C135"/>
      <c s="125" r="D135"/>
      <c s="125" r="E135"/>
      <c s="125" r="F135"/>
      <c s="125" r="G135"/>
      <c s="125" r="H135"/>
      <c s="125" r="I135"/>
      <c s="125" r="J135"/>
      <c s="125" r="K135"/>
      <c s="125" r="L135"/>
      <c s="125" r="M135"/>
      <c s="125" r="N135"/>
      <c s="125" r="O135"/>
      <c s="125" r="P135"/>
      <c s="125" r="Q135"/>
      <c s="125" r="R135"/>
      <c s="125" r="S135"/>
      <c s="822" r="T135"/>
      <c t="str" s="309" r="U135">
        <f>IF((Profile!L163&gt;0),Profile!L163,"")</f>
        <v/>
      </c>
      <c t="str" s="861" r="V135">
        <f>IF((Profile!O163&gt;0),Profile!O163,"---")</f>
        <v>---</v>
      </c>
      <c t="str" s="861" r="W135">
        <f>IF((Profile!Y163=0),IF((Profile!Y162=0),"---",IF((Profile!Y164=0),"---",Profile!Y163)),Profile!Y163)</f>
        <v>---</v>
      </c>
      <c s="239" r="X135">
        <f>AB135+X134</f>
        <v>0</v>
      </c>
      <c s="796" r="Y135">
        <f>AC135+Y134</f>
        <v>0</v>
      </c>
      <c s="702" r="Z135"/>
      <c s="289" r="AA135">
        <f>IF(Profile!Y163,IF((Profile!O163=0),0,(Profile!O163-MAX(Profile!O$44:O162))),0)</f>
        <v>0</v>
      </c>
      <c s="605" r="AB135">
        <f>SIN(RADIANS(Profile!Y163))*AA135</f>
        <v>0</v>
      </c>
      <c s="605" r="AC135">
        <f>COS(RADIANS(Profile!Y163))*AA135</f>
        <v>0</v>
      </c>
      <c s="348" r="AD135">
        <f>IF((AJ$15=TRUE),X135,NA())</f>
        <v>0</v>
      </c>
      <c s="348" r="AE135">
        <f>IF((AJ$15=TRUE),Y135,NA())</f>
        <v>0</v>
      </c>
      <c t="str" s="348" r="AF135">
        <f>IF(Profile!L163,Y135,NA())</f>
        <v>#N/A:explicit</v>
      </c>
      <c s="348" r="AG135">
        <f>Profile!T163*E$40</f>
        <v>0</v>
      </c>
      <c t="str" s="348" r="AH135">
        <f>IF((AK$15=TRUE),IF(ISNUMBER(Profile!Y163),IF(ISNUMBER(Profile!Y164),(((X135+((F$63/2)*COS(RADIANS(Profile!Y164))))+(X135+((F$63/2)*COS(RADIANS(Profile!Y163)))))/2),(X135+((F$63/2)*COS(RADIANS(Profile!Y163))))),AH134),0)</f>
        <v>#VALUE!:notNumber:For input string: "---"</v>
      </c>
      <c t="str" s="348" r="AI135">
        <f>IF((AK$15=TRUE),IF(ISNUMBER(Profile!Y163),IF(ISNUMBER(Profile!Y164),(((Y135-((F$63/2)*SIN(RADIANS(Profile!Y164))))+(Y135-((F$63/2)*SIN(RADIANS(Profile!Y163)))))/2),(Y135-((F$63/2)*SIN(RADIANS(Profile!Y163))))),AI134),0)</f>
        <v>#VALUE!:notNumber:For input string: "---"</v>
      </c>
      <c t="str" s="348" r="AJ135">
        <f>IF((AK$15=TRUE),IF(ISNUMBER(Profile!Y163),IF(ISNUMBER(Profile!Y164),(((X135-((F$63/2)*COS(RADIANS(Profile!Y164))))+(X135-((F$63/2)*COS(RADIANS(Profile!Y163)))))/2),(X135-((F$63/2)*COS(RADIANS(Profile!Y163))))),AJ134),0)</f>
        <v>#VALUE!:notNumber:For input string: "---"</v>
      </c>
      <c t="str" s="799" r="AK135">
        <f>IF((AK$15=TRUE),IF(ISNUMBER(Profile!Y163),IF(ISNUMBER(Profile!Y164),(((Y135+((F$63/2)*SIN(RADIANS(Profile!Y164))))+(Y135+((F$63/2)*SIN(RADIANS(Profile!Y163)))))/2),(Y135+((F$63/2)*SIN(RADIANS(Profile!Y163))))),AK134),0)</f>
        <v>#VALUE!:notNumber:For input string: "---"</v>
      </c>
      <c s="51" r="AL135"/>
      <c s="125" r="AM135"/>
    </row>
    <row r="136">
      <c s="125" r="A136"/>
      <c s="125" r="B136"/>
      <c s="125" r="C136"/>
      <c s="125" r="D136"/>
      <c s="125" r="E136"/>
      <c s="125" r="F136"/>
      <c s="125" r="G136"/>
      <c s="125" r="H136"/>
      <c s="125" r="I136"/>
      <c s="125" r="J136"/>
      <c s="125" r="K136"/>
      <c s="125" r="L136"/>
      <c s="125" r="M136"/>
      <c s="125" r="N136"/>
      <c s="125" r="O136"/>
      <c s="125" r="P136"/>
      <c s="125" r="Q136"/>
      <c s="125" r="R136"/>
      <c s="125" r="S136"/>
      <c s="822" r="T136"/>
      <c t="str" s="309" r="U136">
        <f>IF((Profile!L164&gt;0),Profile!L164,"")</f>
        <v/>
      </c>
      <c t="str" s="861" r="V136">
        <f>IF((Profile!O164&gt;0),Profile!O164,"---")</f>
        <v>---</v>
      </c>
      <c t="str" s="861" r="W136">
        <f>IF((Profile!Y164=0),IF((Profile!Y163=0),"---",IF((Profile!Y165=0),"---",Profile!Y164)),Profile!Y164)</f>
        <v>---</v>
      </c>
      <c s="239" r="X136">
        <f>AB136+X135</f>
        <v>0</v>
      </c>
      <c s="796" r="Y136">
        <f>AC136+Y135</f>
        <v>0</v>
      </c>
      <c s="702" r="Z136"/>
      <c s="289" r="AA136">
        <f>IF(Profile!Y164,IF((Profile!O164=0),0,(Profile!O164-MAX(Profile!O$44:O163))),0)</f>
        <v>0</v>
      </c>
      <c s="605" r="AB136">
        <f>SIN(RADIANS(Profile!Y164))*AA136</f>
        <v>0</v>
      </c>
      <c s="605" r="AC136">
        <f>COS(RADIANS(Profile!Y164))*AA136</f>
        <v>0</v>
      </c>
      <c s="348" r="AD136">
        <f>IF((AJ$15=TRUE),X136,NA())</f>
        <v>0</v>
      </c>
      <c s="348" r="AE136">
        <f>IF((AJ$15=TRUE),Y136,NA())</f>
        <v>0</v>
      </c>
      <c t="str" s="348" r="AF136">
        <f>IF(Profile!L164,Y136,NA())</f>
        <v>#N/A:explicit</v>
      </c>
      <c s="348" r="AG136">
        <f>Profile!T164*E$40</f>
        <v>0</v>
      </c>
      <c t="str" s="348" r="AH136">
        <f>IF((AK$15=TRUE),IF(ISNUMBER(Profile!Y164),IF(ISNUMBER(Profile!Y165),(((X136+((F$63/2)*COS(RADIANS(Profile!Y165))))+(X136+((F$63/2)*COS(RADIANS(Profile!Y164)))))/2),(X136+((F$63/2)*COS(RADIANS(Profile!Y164))))),AH135),0)</f>
        <v>#VALUE!:notNumber:For input string: "---"</v>
      </c>
      <c t="str" s="348" r="AI136">
        <f>IF((AK$15=TRUE),IF(ISNUMBER(Profile!Y164),IF(ISNUMBER(Profile!Y165),(((Y136-((F$63/2)*SIN(RADIANS(Profile!Y165))))+(Y136-((F$63/2)*SIN(RADIANS(Profile!Y164)))))/2),(Y136-((F$63/2)*SIN(RADIANS(Profile!Y164))))),AI135),0)</f>
        <v>#VALUE!:notNumber:For input string: "---"</v>
      </c>
      <c t="str" s="348" r="AJ136">
        <f>IF((AK$15=TRUE),IF(ISNUMBER(Profile!Y164),IF(ISNUMBER(Profile!Y165),(((X136-((F$63/2)*COS(RADIANS(Profile!Y165))))+(X136-((F$63/2)*COS(RADIANS(Profile!Y164)))))/2),(X136-((F$63/2)*COS(RADIANS(Profile!Y164))))),AJ135),0)</f>
        <v>#VALUE!:notNumber:For input string: "---"</v>
      </c>
      <c t="str" s="799" r="AK136">
        <f>IF((AK$15=TRUE),IF(ISNUMBER(Profile!Y164),IF(ISNUMBER(Profile!Y165),(((Y136+((F$63/2)*SIN(RADIANS(Profile!Y165))))+(Y136+((F$63/2)*SIN(RADIANS(Profile!Y164)))))/2),(Y136+((F$63/2)*SIN(RADIANS(Profile!Y164))))),AK135),0)</f>
        <v>#VALUE!:notNumber:For input string: "---"</v>
      </c>
      <c s="51" r="AL136"/>
      <c s="125" r="AM136"/>
    </row>
    <row r="137">
      <c s="125" r="A137"/>
      <c s="125" r="B137"/>
      <c s="125" r="C137"/>
      <c s="125" r="D137"/>
      <c s="125" r="E137"/>
      <c s="125" r="F137"/>
      <c s="125" r="G137"/>
      <c s="125" r="H137"/>
      <c s="125" r="I137"/>
      <c s="125" r="J137"/>
      <c s="125" r="K137"/>
      <c s="125" r="L137"/>
      <c s="125" r="M137"/>
      <c s="125" r="N137"/>
      <c s="125" r="O137"/>
      <c s="125" r="P137"/>
      <c s="125" r="Q137"/>
      <c s="125" r="R137"/>
      <c s="125" r="S137"/>
      <c s="822" r="T137"/>
      <c t="str" s="309" r="U137">
        <f>IF((Profile!L165&gt;0),Profile!L165,"")</f>
        <v/>
      </c>
      <c t="str" s="861" r="V137">
        <f>IF((Profile!O165&gt;0),Profile!O165,"---")</f>
        <v>---</v>
      </c>
      <c t="str" s="861" r="W137">
        <f>IF((Profile!Y165=0),IF((Profile!Y164=0),"---",IF((Profile!Y166=0),"---",Profile!Y165)),Profile!Y165)</f>
        <v>---</v>
      </c>
      <c s="239" r="X137">
        <f>AB137+X136</f>
        <v>0</v>
      </c>
      <c s="796" r="Y137">
        <f>AC137+Y136</f>
        <v>0</v>
      </c>
      <c s="702" r="Z137"/>
      <c s="289" r="AA137">
        <f>IF(Profile!Y165,IF((Profile!O165=0),0,(Profile!O165-MAX(Profile!O$44:O164))),0)</f>
        <v>0</v>
      </c>
      <c s="605" r="AB137">
        <f>SIN(RADIANS(Profile!Y165))*AA137</f>
        <v>0</v>
      </c>
      <c s="605" r="AC137">
        <f>COS(RADIANS(Profile!Y165))*AA137</f>
        <v>0</v>
      </c>
      <c s="348" r="AD137">
        <f>IF((AJ$15=TRUE),X137,NA())</f>
        <v>0</v>
      </c>
      <c s="348" r="AE137">
        <f>IF((AJ$15=TRUE),Y137,NA())</f>
        <v>0</v>
      </c>
      <c t="str" s="348" r="AF137">
        <f>IF(Profile!L165,Y137,NA())</f>
        <v>#N/A:explicit</v>
      </c>
      <c s="348" r="AG137">
        <f>Profile!T165*E$40</f>
        <v>0</v>
      </c>
      <c t="str" s="348" r="AH137">
        <f>IF((AK$15=TRUE),IF(ISNUMBER(Profile!Y165),IF(ISNUMBER(Profile!Y166),(((X137+((F$63/2)*COS(RADIANS(Profile!Y166))))+(X137+((F$63/2)*COS(RADIANS(Profile!Y165)))))/2),(X137+((F$63/2)*COS(RADIANS(Profile!Y165))))),AH136),0)</f>
        <v>#VALUE!:notNumber:For input string: "---"</v>
      </c>
      <c t="str" s="348" r="AI137">
        <f>IF((AK$15=TRUE),IF(ISNUMBER(Profile!Y165),IF(ISNUMBER(Profile!Y166),(((Y137-((F$63/2)*SIN(RADIANS(Profile!Y166))))+(Y137-((F$63/2)*SIN(RADIANS(Profile!Y165)))))/2),(Y137-((F$63/2)*SIN(RADIANS(Profile!Y165))))),AI136),0)</f>
        <v>#VALUE!:notNumber:For input string: "---"</v>
      </c>
      <c t="str" s="348" r="AJ137">
        <f>IF((AK$15=TRUE),IF(ISNUMBER(Profile!Y165),IF(ISNUMBER(Profile!Y166),(((X137-((F$63/2)*COS(RADIANS(Profile!Y166))))+(X137-((F$63/2)*COS(RADIANS(Profile!Y165)))))/2),(X137-((F$63/2)*COS(RADIANS(Profile!Y165))))),AJ136),0)</f>
        <v>#VALUE!:notNumber:For input string: "---"</v>
      </c>
      <c t="str" s="799" r="AK137">
        <f>IF((AK$15=TRUE),IF(ISNUMBER(Profile!Y165),IF(ISNUMBER(Profile!Y166),(((Y137+((F$63/2)*SIN(RADIANS(Profile!Y166))))+(Y137+((F$63/2)*SIN(RADIANS(Profile!Y165)))))/2),(Y137+((F$63/2)*SIN(RADIANS(Profile!Y165))))),AK136),0)</f>
        <v>#VALUE!:notNumber:For input string: "---"</v>
      </c>
      <c s="51" r="AL137"/>
      <c s="125" r="AM137"/>
    </row>
    <row r="138">
      <c s="125" r="A138"/>
      <c s="125" r="B138"/>
      <c s="125" r="C138"/>
      <c s="125" r="D138"/>
      <c s="125" r="E138"/>
      <c s="125" r="F138"/>
      <c s="125" r="G138"/>
      <c s="125" r="H138"/>
      <c s="125" r="I138"/>
      <c s="125" r="J138"/>
      <c s="125" r="K138"/>
      <c s="125" r="L138"/>
      <c s="125" r="M138"/>
      <c s="125" r="N138"/>
      <c s="125" r="O138"/>
      <c s="125" r="P138"/>
      <c s="125" r="Q138"/>
      <c s="125" r="R138"/>
      <c s="125" r="S138"/>
      <c s="822" r="T138"/>
      <c t="str" s="309" r="U138">
        <f>IF((Profile!L166&gt;0),Profile!L166,"")</f>
        <v/>
      </c>
      <c t="str" s="861" r="V138">
        <f>IF((Profile!O166&gt;0),Profile!O166,"---")</f>
        <v>---</v>
      </c>
      <c t="str" s="861" r="W138">
        <f>IF((Profile!Y166=0),IF((Profile!Y165=0),"---",IF((Profile!Y167=0),"---",Profile!Y166)),Profile!Y166)</f>
        <v>---</v>
      </c>
      <c s="239" r="X138">
        <f>AB138+X137</f>
        <v>0</v>
      </c>
      <c s="796" r="Y138">
        <f>AC138+Y137</f>
        <v>0</v>
      </c>
      <c s="702" r="Z138"/>
      <c s="289" r="AA138">
        <f>IF(Profile!Y166,IF((Profile!O166=0),0,(Profile!O166-MAX(Profile!O$44:O165))),0)</f>
        <v>0</v>
      </c>
      <c s="605" r="AB138">
        <f>SIN(RADIANS(Profile!Y166))*AA138</f>
        <v>0</v>
      </c>
      <c s="605" r="AC138">
        <f>COS(RADIANS(Profile!Y166))*AA138</f>
        <v>0</v>
      </c>
      <c s="348" r="AD138">
        <f>IF((AJ$15=TRUE),X138,NA())</f>
        <v>0</v>
      </c>
      <c s="348" r="AE138">
        <f>IF((AJ$15=TRUE),Y138,NA())</f>
        <v>0</v>
      </c>
      <c t="str" s="348" r="AF138">
        <f>IF(Profile!L166,Y138,NA())</f>
        <v>#N/A:explicit</v>
      </c>
      <c s="348" r="AG138">
        <f>Profile!T166*E$40</f>
        <v>0</v>
      </c>
      <c t="str" s="348" r="AH138">
        <f>IF((AK$15=TRUE),IF(ISNUMBER(Profile!Y166),IF(ISNUMBER(Profile!Y167),(((X138+((F$63/2)*COS(RADIANS(Profile!Y167))))+(X138+((F$63/2)*COS(RADIANS(Profile!Y166)))))/2),(X138+((F$63/2)*COS(RADIANS(Profile!Y166))))),AH137),0)</f>
        <v>#VALUE!:notNumber:For input string: "---"</v>
      </c>
      <c t="str" s="348" r="AI138">
        <f>IF((AK$15=TRUE),IF(ISNUMBER(Profile!Y166),IF(ISNUMBER(Profile!Y167),(((Y138-((F$63/2)*SIN(RADIANS(Profile!Y167))))+(Y138-((F$63/2)*SIN(RADIANS(Profile!Y166)))))/2),(Y138-((F$63/2)*SIN(RADIANS(Profile!Y166))))),AI137),0)</f>
        <v>#VALUE!:notNumber:For input string: "---"</v>
      </c>
      <c t="str" s="348" r="AJ138">
        <f>IF((AK$15=TRUE),IF(ISNUMBER(Profile!Y166),IF(ISNUMBER(Profile!Y167),(((X138-((F$63/2)*COS(RADIANS(Profile!Y167))))+(X138-((F$63/2)*COS(RADIANS(Profile!Y166)))))/2),(X138-((F$63/2)*COS(RADIANS(Profile!Y166))))),AJ137),0)</f>
        <v>#VALUE!:notNumber:For input string: "---"</v>
      </c>
      <c t="str" s="799" r="AK138">
        <f>IF((AK$15=TRUE),IF(ISNUMBER(Profile!Y166),IF(ISNUMBER(Profile!Y167),(((Y138+((F$63/2)*SIN(RADIANS(Profile!Y167))))+(Y138+((F$63/2)*SIN(RADIANS(Profile!Y166)))))/2),(Y138+((F$63/2)*SIN(RADIANS(Profile!Y166))))),AK137),0)</f>
        <v>#VALUE!:notNumber:For input string: "---"</v>
      </c>
      <c s="51" r="AL138"/>
      <c s="125" r="AM138"/>
    </row>
    <row r="139">
      <c s="125" r="A139"/>
      <c s="125" r="B139"/>
      <c s="125" r="C139"/>
      <c s="125" r="D139"/>
      <c s="125" r="E139"/>
      <c s="125" r="F139"/>
      <c s="125" r="G139"/>
      <c s="125" r="H139"/>
      <c s="125" r="I139"/>
      <c s="125" r="J139"/>
      <c s="125" r="K139"/>
      <c s="125" r="L139"/>
      <c s="125" r="M139"/>
      <c s="125" r="N139"/>
      <c s="125" r="O139"/>
      <c s="125" r="P139"/>
      <c s="125" r="Q139"/>
      <c s="125" r="R139"/>
      <c s="125" r="S139"/>
      <c s="822" r="T139"/>
      <c t="str" s="309" r="U139">
        <f>IF((Profile!L167&gt;0),Profile!L167,"")</f>
        <v/>
      </c>
      <c t="str" s="861" r="V139">
        <f>IF((Profile!O167&gt;0),Profile!O167,"---")</f>
        <v>---</v>
      </c>
      <c t="str" s="861" r="W139">
        <f>IF((Profile!Y167=0),IF((Profile!Y166=0),"---",IF((Profile!Y168=0),"---",Profile!Y167)),Profile!Y167)</f>
        <v>---</v>
      </c>
      <c s="239" r="X139">
        <f>AB139+X138</f>
        <v>0</v>
      </c>
      <c s="796" r="Y139">
        <f>AC139+Y138</f>
        <v>0</v>
      </c>
      <c s="702" r="Z139"/>
      <c s="289" r="AA139">
        <f>IF(Profile!Y167,IF((Profile!O167=0),0,(Profile!O167-MAX(Profile!O$44:O166))),0)</f>
        <v>0</v>
      </c>
      <c s="605" r="AB139">
        <f>SIN(RADIANS(Profile!Y167))*AA139</f>
        <v>0</v>
      </c>
      <c s="605" r="AC139">
        <f>COS(RADIANS(Profile!Y167))*AA139</f>
        <v>0</v>
      </c>
      <c s="348" r="AD139">
        <f>IF((AJ$15=TRUE),X139,NA())</f>
        <v>0</v>
      </c>
      <c s="348" r="AE139">
        <f>IF((AJ$15=TRUE),Y139,NA())</f>
        <v>0</v>
      </c>
      <c t="str" s="348" r="AF139">
        <f>IF(Profile!L167,Y139,NA())</f>
        <v>#N/A:explicit</v>
      </c>
      <c s="348" r="AG139">
        <f>Profile!T167*E$40</f>
        <v>0</v>
      </c>
      <c t="str" s="348" r="AH139">
        <f>IF((AK$15=TRUE),IF(ISNUMBER(Profile!Y167),IF(ISNUMBER(Profile!Y168),(((X139+((F$63/2)*COS(RADIANS(Profile!Y168))))+(X139+((F$63/2)*COS(RADIANS(Profile!Y167)))))/2),(X139+((F$63/2)*COS(RADIANS(Profile!Y167))))),AH138),0)</f>
        <v>#VALUE!:notNumber:For input string: "---"</v>
      </c>
      <c t="str" s="348" r="AI139">
        <f>IF((AK$15=TRUE),IF(ISNUMBER(Profile!Y167),IF(ISNUMBER(Profile!Y168),(((Y139-((F$63/2)*SIN(RADIANS(Profile!Y168))))+(Y139-((F$63/2)*SIN(RADIANS(Profile!Y167)))))/2),(Y139-((F$63/2)*SIN(RADIANS(Profile!Y167))))),AI138),0)</f>
        <v>#VALUE!:notNumber:For input string: "---"</v>
      </c>
      <c t="str" s="348" r="AJ139">
        <f>IF((AK$15=TRUE),IF(ISNUMBER(Profile!Y167),IF(ISNUMBER(Profile!Y168),(((X139-((F$63/2)*COS(RADIANS(Profile!Y168))))+(X139-((F$63/2)*COS(RADIANS(Profile!Y167)))))/2),(X139-((F$63/2)*COS(RADIANS(Profile!Y167))))),AJ138),0)</f>
        <v>#VALUE!:notNumber:For input string: "---"</v>
      </c>
      <c t="str" s="799" r="AK139">
        <f>IF((AK$15=TRUE),IF(ISNUMBER(Profile!Y167),IF(ISNUMBER(Profile!Y168),(((Y139+((F$63/2)*SIN(RADIANS(Profile!Y168))))+(Y139+((F$63/2)*SIN(RADIANS(Profile!Y167)))))/2),(Y139+((F$63/2)*SIN(RADIANS(Profile!Y167))))),AK138),0)</f>
        <v>#VALUE!:notNumber:For input string: "---"</v>
      </c>
      <c s="51" r="AL139"/>
      <c s="125" r="AM139"/>
    </row>
    <row r="140">
      <c s="125" r="A140"/>
      <c s="125" r="B140"/>
      <c s="125" r="C140"/>
      <c s="125" r="D140"/>
      <c s="125" r="E140"/>
      <c s="125" r="F140"/>
      <c s="125" r="G140"/>
      <c s="125" r="H140"/>
      <c s="125" r="I140"/>
      <c s="125" r="J140"/>
      <c s="125" r="K140"/>
      <c s="125" r="L140"/>
      <c s="125" r="M140"/>
      <c s="125" r="N140"/>
      <c s="125" r="O140"/>
      <c s="125" r="P140"/>
      <c s="125" r="Q140"/>
      <c s="125" r="R140"/>
      <c s="125" r="S140"/>
      <c s="822" r="T140"/>
      <c t="str" s="309" r="U140">
        <f>IF((Profile!L168&gt;0),Profile!L168,"")</f>
        <v/>
      </c>
      <c t="str" s="861" r="V140">
        <f>IF((Profile!O168&gt;0),Profile!O168,"---")</f>
        <v>---</v>
      </c>
      <c t="str" s="861" r="W140">
        <f>IF((Profile!Y168=0),IF((Profile!Y167=0),"---",IF((Profile!Y169=0),"---",Profile!Y168)),Profile!Y168)</f>
        <v>---</v>
      </c>
      <c s="239" r="X140">
        <f>AB140+X139</f>
        <v>0</v>
      </c>
      <c s="796" r="Y140">
        <f>AC140+Y139</f>
        <v>0</v>
      </c>
      <c s="702" r="Z140"/>
      <c s="289" r="AA140">
        <f>IF(Profile!Y168,IF((Profile!O168=0),0,(Profile!O168-MAX(Profile!O$44:O167))),0)</f>
        <v>0</v>
      </c>
      <c s="605" r="AB140">
        <f>SIN(RADIANS(Profile!Y168))*AA140</f>
        <v>0</v>
      </c>
      <c s="605" r="AC140">
        <f>COS(RADIANS(Profile!Y168))*AA140</f>
        <v>0</v>
      </c>
      <c s="348" r="AD140">
        <f>IF((AJ$15=TRUE),X140,NA())</f>
        <v>0</v>
      </c>
      <c s="348" r="AE140">
        <f>IF((AJ$15=TRUE),Y140,NA())</f>
        <v>0</v>
      </c>
      <c t="str" s="348" r="AF140">
        <f>IF(Profile!L168,Y140,NA())</f>
        <v>#N/A:explicit</v>
      </c>
      <c s="348" r="AG140">
        <f>Profile!T168*E$40</f>
        <v>0</v>
      </c>
      <c t="str" s="348" r="AH140">
        <f>IF((AK$15=TRUE),IF(ISNUMBER(Profile!Y168),IF(ISNUMBER(Profile!Y169),(((X140+((F$63/2)*COS(RADIANS(Profile!Y169))))+(X140+((F$63/2)*COS(RADIANS(Profile!Y168)))))/2),(X140+((F$63/2)*COS(RADIANS(Profile!Y168))))),AH139),0)</f>
        <v>#VALUE!:notNumber:For input string: "---"</v>
      </c>
      <c t="str" s="348" r="AI140">
        <f>IF((AK$15=TRUE),IF(ISNUMBER(Profile!Y168),IF(ISNUMBER(Profile!Y169),(((Y140-((F$63/2)*SIN(RADIANS(Profile!Y169))))+(Y140-((F$63/2)*SIN(RADIANS(Profile!Y168)))))/2),(Y140-((F$63/2)*SIN(RADIANS(Profile!Y168))))),AI139),0)</f>
        <v>#VALUE!:notNumber:For input string: "---"</v>
      </c>
      <c t="str" s="348" r="AJ140">
        <f>IF((AK$15=TRUE),IF(ISNUMBER(Profile!Y168),IF(ISNUMBER(Profile!Y169),(((X140-((F$63/2)*COS(RADIANS(Profile!Y169))))+(X140-((F$63/2)*COS(RADIANS(Profile!Y168)))))/2),(X140-((F$63/2)*COS(RADIANS(Profile!Y168))))),AJ139),0)</f>
        <v>#VALUE!:notNumber:For input string: "---"</v>
      </c>
      <c t="str" s="799" r="AK140">
        <f>IF((AK$15=TRUE),IF(ISNUMBER(Profile!Y168),IF(ISNUMBER(Profile!Y169),(((Y140+((F$63/2)*SIN(RADIANS(Profile!Y169))))+(Y140+((F$63/2)*SIN(RADIANS(Profile!Y168)))))/2),(Y140+((F$63/2)*SIN(RADIANS(Profile!Y168))))),AK139),0)</f>
        <v>#VALUE!:notNumber:For input string: "---"</v>
      </c>
      <c s="51" r="AL140"/>
      <c s="125" r="AM140"/>
    </row>
    <row r="141">
      <c s="125" r="A141"/>
      <c s="125" r="B141"/>
      <c s="125" r="C141"/>
      <c s="125" r="D141"/>
      <c s="125" r="E141"/>
      <c s="125" r="F141"/>
      <c s="125" r="G141"/>
      <c s="125" r="H141"/>
      <c s="125" r="I141"/>
      <c s="125" r="J141"/>
      <c s="125" r="K141"/>
      <c s="125" r="L141"/>
      <c s="125" r="M141"/>
      <c s="125" r="N141"/>
      <c s="125" r="O141"/>
      <c s="125" r="P141"/>
      <c s="125" r="Q141"/>
      <c s="125" r="R141"/>
      <c s="125" r="S141"/>
      <c s="822" r="T141"/>
      <c t="str" s="309" r="U141">
        <f>IF((Profile!L169&gt;0),Profile!L169,"")</f>
        <v/>
      </c>
      <c t="str" s="861" r="V141">
        <f>IF((Profile!O169&gt;0),Profile!O169,"---")</f>
        <v>---</v>
      </c>
      <c t="str" s="861" r="W141">
        <f>IF((Profile!Y169=0),IF((Profile!Y168=0),"---",IF((Profile!Y170=0),"---",Profile!Y169)),Profile!Y169)</f>
        <v>---</v>
      </c>
      <c s="239" r="X141">
        <f>AB141+X140</f>
        <v>0</v>
      </c>
      <c s="796" r="Y141">
        <f>AC141+Y140</f>
        <v>0</v>
      </c>
      <c s="702" r="Z141"/>
      <c s="289" r="AA141">
        <f>IF(Profile!Y169,IF((Profile!O169=0),0,(Profile!O169-MAX(Profile!O$44:O168))),0)</f>
        <v>0</v>
      </c>
      <c s="605" r="AB141">
        <f>SIN(RADIANS(Profile!Y169))*AA141</f>
        <v>0</v>
      </c>
      <c s="605" r="AC141">
        <f>COS(RADIANS(Profile!Y169))*AA141</f>
        <v>0</v>
      </c>
      <c s="348" r="AD141">
        <f>IF((AJ$15=TRUE),X141,NA())</f>
        <v>0</v>
      </c>
      <c s="348" r="AE141">
        <f>IF((AJ$15=TRUE),Y141,NA())</f>
        <v>0</v>
      </c>
      <c t="str" s="348" r="AF141">
        <f>IF(Profile!L169,Y141,NA())</f>
        <v>#N/A:explicit</v>
      </c>
      <c s="348" r="AG141">
        <f>Profile!T169*E$40</f>
        <v>0</v>
      </c>
      <c t="str" s="348" r="AH141">
        <f>IF((AK$15=TRUE),IF(ISNUMBER(Profile!Y169),IF(ISNUMBER(Profile!Y170),(((X141+((F$63/2)*COS(RADIANS(Profile!Y170))))+(X141+((F$63/2)*COS(RADIANS(Profile!Y169)))))/2),(X141+((F$63/2)*COS(RADIANS(Profile!Y169))))),AH140),0)</f>
        <v>#VALUE!:notNumber:For input string: "---"</v>
      </c>
      <c t="str" s="348" r="AI141">
        <f>IF((AK$15=TRUE),IF(ISNUMBER(Profile!Y169),IF(ISNUMBER(Profile!Y170),(((Y141-((F$63/2)*SIN(RADIANS(Profile!Y170))))+(Y141-((F$63/2)*SIN(RADIANS(Profile!Y169)))))/2),(Y141-((F$63/2)*SIN(RADIANS(Profile!Y169))))),AI140),0)</f>
        <v>#VALUE!:notNumber:For input string: "---"</v>
      </c>
      <c t="str" s="348" r="AJ141">
        <f>IF((AK$15=TRUE),IF(ISNUMBER(Profile!Y169),IF(ISNUMBER(Profile!Y170),(((X141-((F$63/2)*COS(RADIANS(Profile!Y170))))+(X141-((F$63/2)*COS(RADIANS(Profile!Y169)))))/2),(X141-((F$63/2)*COS(RADIANS(Profile!Y169))))),AJ140),0)</f>
        <v>#VALUE!:notNumber:For input string: "---"</v>
      </c>
      <c t="str" s="799" r="AK141">
        <f>IF((AK$15=TRUE),IF(ISNUMBER(Profile!Y169),IF(ISNUMBER(Profile!Y170),(((Y141+((F$63/2)*SIN(RADIANS(Profile!Y170))))+(Y141+((F$63/2)*SIN(RADIANS(Profile!Y169)))))/2),(Y141+((F$63/2)*SIN(RADIANS(Profile!Y169))))),AK140),0)</f>
        <v>#VALUE!:notNumber:For input string: "---"</v>
      </c>
      <c s="51" r="AL141"/>
      <c s="125" r="AM141"/>
    </row>
    <row r="142">
      <c s="125" r="A142"/>
      <c s="125" r="B142"/>
      <c s="125" r="C142"/>
      <c s="125" r="D142"/>
      <c s="125" r="E142"/>
      <c s="125" r="F142"/>
      <c s="125" r="G142"/>
      <c s="125" r="H142"/>
      <c s="125" r="I142"/>
      <c s="125" r="J142"/>
      <c s="125" r="K142"/>
      <c s="125" r="L142"/>
      <c s="125" r="M142"/>
      <c s="125" r="N142"/>
      <c s="125" r="O142"/>
      <c s="125" r="P142"/>
      <c s="125" r="Q142"/>
      <c s="125" r="R142"/>
      <c s="125" r="S142"/>
      <c s="822" r="T142"/>
      <c t="str" s="309" r="U142">
        <f>IF((Profile!L170&gt;0),Profile!L170,"")</f>
        <v/>
      </c>
      <c t="str" s="861" r="V142">
        <f>IF((Profile!O170&gt;0),Profile!O170,"---")</f>
        <v>---</v>
      </c>
      <c t="str" s="861" r="W142">
        <f>IF((Profile!Y170=0),IF((Profile!Y169=0),"---",IF((Profile!Y171=0),"---",Profile!Y170)),Profile!Y170)</f>
        <v>---</v>
      </c>
      <c s="239" r="X142">
        <f>AB142+X141</f>
        <v>0</v>
      </c>
      <c s="796" r="Y142">
        <f>AC142+Y141</f>
        <v>0</v>
      </c>
      <c s="702" r="Z142"/>
      <c s="289" r="AA142">
        <f>IF(Profile!Y170,IF((Profile!O170=0),0,(Profile!O170-MAX(Profile!O$44:O169))),0)</f>
        <v>0</v>
      </c>
      <c s="605" r="AB142">
        <f>SIN(RADIANS(Profile!Y170))*AA142</f>
        <v>0</v>
      </c>
      <c s="605" r="AC142">
        <f>COS(RADIANS(Profile!Y170))*AA142</f>
        <v>0</v>
      </c>
      <c s="348" r="AD142">
        <f>IF((AJ$15=TRUE),X142,NA())</f>
        <v>0</v>
      </c>
      <c s="348" r="AE142">
        <f>IF((AJ$15=TRUE),Y142,NA())</f>
        <v>0</v>
      </c>
      <c t="str" s="348" r="AF142">
        <f>IF(Profile!L170,Y142,NA())</f>
        <v>#N/A:explicit</v>
      </c>
      <c s="348" r="AG142">
        <f>Profile!T170*E$40</f>
        <v>0</v>
      </c>
      <c t="str" s="348" r="AH142">
        <f>IF((AK$15=TRUE),IF(ISNUMBER(Profile!Y170),IF(ISNUMBER(Profile!Y171),(((X142+((F$63/2)*COS(RADIANS(Profile!Y171))))+(X142+((F$63/2)*COS(RADIANS(Profile!Y170)))))/2),(X142+((F$63/2)*COS(RADIANS(Profile!Y170))))),AH141),0)</f>
        <v>#VALUE!:notNumber:For input string: "---"</v>
      </c>
      <c t="str" s="348" r="AI142">
        <f>IF((AK$15=TRUE),IF(ISNUMBER(Profile!Y170),IF(ISNUMBER(Profile!Y171),(((Y142-((F$63/2)*SIN(RADIANS(Profile!Y171))))+(Y142-((F$63/2)*SIN(RADIANS(Profile!Y170)))))/2),(Y142-((F$63/2)*SIN(RADIANS(Profile!Y170))))),AI141),0)</f>
        <v>#VALUE!:notNumber:For input string: "---"</v>
      </c>
      <c t="str" s="348" r="AJ142">
        <f>IF((AK$15=TRUE),IF(ISNUMBER(Profile!Y170),IF(ISNUMBER(Profile!Y171),(((X142-((F$63/2)*COS(RADIANS(Profile!Y171))))+(X142-((F$63/2)*COS(RADIANS(Profile!Y170)))))/2),(X142-((F$63/2)*COS(RADIANS(Profile!Y170))))),AJ141),0)</f>
        <v>#VALUE!:notNumber:For input string: "---"</v>
      </c>
      <c t="str" s="799" r="AK142">
        <f>IF((AK$15=TRUE),IF(ISNUMBER(Profile!Y170),IF(ISNUMBER(Profile!Y171),(((Y142+((F$63/2)*SIN(RADIANS(Profile!Y171))))+(Y142+((F$63/2)*SIN(RADIANS(Profile!Y170)))))/2),(Y142+((F$63/2)*SIN(RADIANS(Profile!Y170))))),AK141),0)</f>
        <v>#VALUE!:notNumber:For input string: "---"</v>
      </c>
      <c s="51" r="AL142"/>
      <c s="125" r="AM142"/>
    </row>
    <row r="143">
      <c s="125" r="A143"/>
      <c s="125" r="B143"/>
      <c s="125" r="C143"/>
      <c s="125" r="D143"/>
      <c s="125" r="E143"/>
      <c s="125" r="F143"/>
      <c s="125" r="G143"/>
      <c s="125" r="H143"/>
      <c s="125" r="I143"/>
      <c s="125" r="J143"/>
      <c s="125" r="K143"/>
      <c s="125" r="L143"/>
      <c s="125" r="M143"/>
      <c s="125" r="N143"/>
      <c s="125" r="O143"/>
      <c s="125" r="P143"/>
      <c s="125" r="Q143"/>
      <c s="125" r="R143"/>
      <c s="125" r="S143"/>
      <c s="822" r="T143"/>
      <c t="str" s="309" r="U143">
        <f>IF((Profile!L171&gt;0),Profile!L171,"")</f>
        <v/>
      </c>
      <c t="str" s="861" r="V143">
        <f>IF((Profile!O171&gt;0),Profile!O171,"---")</f>
        <v>---</v>
      </c>
      <c t="str" s="861" r="W143">
        <f>IF((Profile!Y171=0),IF((Profile!Y170=0),"---",IF((Profile!Y172=0),"---",Profile!Y171)),Profile!Y171)</f>
        <v>---</v>
      </c>
      <c s="239" r="X143">
        <f>AB143+X142</f>
        <v>0</v>
      </c>
      <c s="796" r="Y143">
        <f>AC143+Y142</f>
        <v>0</v>
      </c>
      <c s="702" r="Z143"/>
      <c s="289" r="AA143">
        <f>IF(Profile!Y171,IF((Profile!O171=0),0,(Profile!O171-MAX(Profile!O$44:O170))),0)</f>
        <v>0</v>
      </c>
      <c s="605" r="AB143">
        <f>SIN(RADIANS(Profile!Y171))*AA143</f>
        <v>0</v>
      </c>
      <c s="605" r="AC143">
        <f>COS(RADIANS(Profile!Y171))*AA143</f>
        <v>0</v>
      </c>
      <c s="348" r="AD143">
        <f>IF((AJ$15=TRUE),X143,NA())</f>
        <v>0</v>
      </c>
      <c s="348" r="AE143">
        <f>IF((AJ$15=TRUE),Y143,NA())</f>
        <v>0</v>
      </c>
      <c t="str" s="348" r="AF143">
        <f>IF(Profile!L171,Y143,NA())</f>
        <v>#N/A:explicit</v>
      </c>
      <c s="348" r="AG143">
        <f>Profile!T171*E$40</f>
        <v>0</v>
      </c>
      <c t="str" s="348" r="AH143">
        <f>IF((AK$15=TRUE),IF(ISNUMBER(Profile!Y171),IF(ISNUMBER(Profile!Y172),(((X143+((F$63/2)*COS(RADIANS(Profile!Y172))))+(X143+((F$63/2)*COS(RADIANS(Profile!Y171)))))/2),(X143+((F$63/2)*COS(RADIANS(Profile!Y171))))),AH142),0)</f>
        <v>#VALUE!:notNumber:For input string: "---"</v>
      </c>
      <c t="str" s="348" r="AI143">
        <f>IF((AK$15=TRUE),IF(ISNUMBER(Profile!Y171),IF(ISNUMBER(Profile!Y172),(((Y143-((F$63/2)*SIN(RADIANS(Profile!Y172))))+(Y143-((F$63/2)*SIN(RADIANS(Profile!Y171)))))/2),(Y143-((F$63/2)*SIN(RADIANS(Profile!Y171))))),AI142),0)</f>
        <v>#VALUE!:notNumber:For input string: "---"</v>
      </c>
      <c t="str" s="348" r="AJ143">
        <f>IF((AK$15=TRUE),IF(ISNUMBER(Profile!Y171),IF(ISNUMBER(Profile!Y172),(((X143-((F$63/2)*COS(RADIANS(Profile!Y172))))+(X143-((F$63/2)*COS(RADIANS(Profile!Y171)))))/2),(X143-((F$63/2)*COS(RADIANS(Profile!Y171))))),AJ142),0)</f>
        <v>#VALUE!:notNumber:For input string: "---"</v>
      </c>
      <c t="str" s="799" r="AK143">
        <f>IF((AK$15=TRUE),IF(ISNUMBER(Profile!Y171),IF(ISNUMBER(Profile!Y172),(((Y143+((F$63/2)*SIN(RADIANS(Profile!Y172))))+(Y143+((F$63/2)*SIN(RADIANS(Profile!Y171)))))/2),(Y143+((F$63/2)*SIN(RADIANS(Profile!Y171))))),AK142),0)</f>
        <v>#VALUE!:notNumber:For input string: "---"</v>
      </c>
      <c s="51" r="AL143"/>
      <c s="125" r="AM143"/>
    </row>
    <row r="144">
      <c s="125" r="A144"/>
      <c s="125" r="B144"/>
      <c s="125" r="C144"/>
      <c s="125" r="D144"/>
      <c s="125" r="E144"/>
      <c s="125" r="F144"/>
      <c s="125" r="G144"/>
      <c s="125" r="H144"/>
      <c s="125" r="I144"/>
      <c s="125" r="J144"/>
      <c s="125" r="K144"/>
      <c s="125" r="L144"/>
      <c s="125" r="M144"/>
      <c s="125" r="N144"/>
      <c s="125" r="O144"/>
      <c s="125" r="P144"/>
      <c s="125" r="Q144"/>
      <c s="125" r="R144"/>
      <c s="125" r="S144"/>
      <c s="822" r="T144"/>
      <c t="str" s="309" r="U144">
        <f>IF((Profile!L172&gt;0),Profile!L172,"")</f>
        <v/>
      </c>
      <c t="str" s="861" r="V144">
        <f>IF((Profile!O172&gt;0),Profile!O172,"---")</f>
        <v>---</v>
      </c>
      <c t="str" s="861" r="W144">
        <f>IF((Profile!Y172=0),IF((Profile!Y171=0),"---",IF((Profile!Y173=0),"---",Profile!Y172)),Profile!Y172)</f>
        <v>---</v>
      </c>
      <c s="239" r="X144">
        <f>AB144+X143</f>
        <v>0</v>
      </c>
      <c s="796" r="Y144">
        <f>AC144+Y143</f>
        <v>0</v>
      </c>
      <c s="702" r="Z144"/>
      <c s="289" r="AA144">
        <f>IF(Profile!Y172,IF((Profile!O172=0),0,(Profile!O172-MAX(Profile!O$44:O171))),0)</f>
        <v>0</v>
      </c>
      <c s="605" r="AB144">
        <f>SIN(RADIANS(Profile!Y172))*AA144</f>
        <v>0</v>
      </c>
      <c s="605" r="AC144">
        <f>COS(RADIANS(Profile!Y172))*AA144</f>
        <v>0</v>
      </c>
      <c s="348" r="AD144">
        <f>IF((AJ$15=TRUE),X144,NA())</f>
        <v>0</v>
      </c>
      <c s="348" r="AE144">
        <f>IF((AJ$15=TRUE),Y144,NA())</f>
        <v>0</v>
      </c>
      <c t="str" s="348" r="AF144">
        <f>IF(Profile!L172,Y144,NA())</f>
        <v>#N/A:explicit</v>
      </c>
      <c s="348" r="AG144">
        <f>Profile!T172*E$40</f>
        <v>0</v>
      </c>
      <c t="str" s="348" r="AH144">
        <f>IF((AK$15=TRUE),IF(ISNUMBER(Profile!Y172),IF(ISNUMBER(Profile!Y173),(((X144+((F$63/2)*COS(RADIANS(Profile!Y173))))+(X144+((F$63/2)*COS(RADIANS(Profile!Y172)))))/2),(X144+((F$63/2)*COS(RADIANS(Profile!Y172))))),AH143),0)</f>
        <v>#VALUE!:notNumber:For input string: "---"</v>
      </c>
      <c t="str" s="348" r="AI144">
        <f>IF((AK$15=TRUE),IF(ISNUMBER(Profile!Y172),IF(ISNUMBER(Profile!Y173),(((Y144-((F$63/2)*SIN(RADIANS(Profile!Y173))))+(Y144-((F$63/2)*SIN(RADIANS(Profile!Y172)))))/2),(Y144-((F$63/2)*SIN(RADIANS(Profile!Y172))))),AI143),0)</f>
        <v>#VALUE!:notNumber:For input string: "---"</v>
      </c>
      <c t="str" s="348" r="AJ144">
        <f>IF((AK$15=TRUE),IF(ISNUMBER(Profile!Y172),IF(ISNUMBER(Profile!Y173),(((X144-((F$63/2)*COS(RADIANS(Profile!Y173))))+(X144-((F$63/2)*COS(RADIANS(Profile!Y172)))))/2),(X144-((F$63/2)*COS(RADIANS(Profile!Y172))))),AJ143),0)</f>
        <v>#VALUE!:notNumber:For input string: "---"</v>
      </c>
      <c t="str" s="799" r="AK144">
        <f>IF((AK$15=TRUE),IF(ISNUMBER(Profile!Y172),IF(ISNUMBER(Profile!Y173),(((Y144+((F$63/2)*SIN(RADIANS(Profile!Y173))))+(Y144+((F$63/2)*SIN(RADIANS(Profile!Y172)))))/2),(Y144+((F$63/2)*SIN(RADIANS(Profile!Y172))))),AK143),0)</f>
        <v>#VALUE!:notNumber:For input string: "---"</v>
      </c>
      <c s="51" r="AL144"/>
      <c s="125" r="AM144"/>
    </row>
    <row r="145">
      <c s="125" r="A145"/>
      <c s="125" r="B145"/>
      <c s="125" r="C145"/>
      <c s="125" r="D145"/>
      <c s="125" r="E145"/>
      <c s="125" r="F145"/>
      <c s="125" r="G145"/>
      <c s="125" r="H145"/>
      <c s="125" r="I145"/>
      <c s="125" r="J145"/>
      <c s="125" r="K145"/>
      <c s="125" r="L145"/>
      <c s="125" r="M145"/>
      <c s="125" r="N145"/>
      <c s="125" r="O145"/>
      <c s="125" r="P145"/>
      <c s="125" r="Q145"/>
      <c s="125" r="R145"/>
      <c s="125" r="S145"/>
      <c s="822" r="T145"/>
      <c t="str" s="309" r="U145">
        <f>IF((Profile!L173&gt;0),Profile!L173,"")</f>
        <v/>
      </c>
      <c t="str" s="861" r="V145">
        <f>IF((Profile!O173&gt;0),Profile!O173,"---")</f>
        <v>---</v>
      </c>
      <c t="str" s="861" r="W145">
        <f>IF((Profile!Y173=0),IF((Profile!Y172=0),"---",IF((Profile!Y174=0),"---",Profile!Y173)),Profile!Y173)</f>
        <v>---</v>
      </c>
      <c s="239" r="X145">
        <f>AB145+X144</f>
        <v>0</v>
      </c>
      <c s="796" r="Y145">
        <f>AC145+Y144</f>
        <v>0</v>
      </c>
      <c s="702" r="Z145"/>
      <c s="289" r="AA145">
        <f>IF(Profile!Y173,IF((Profile!O173=0),0,(Profile!O173-MAX(Profile!O$44:O172))),0)</f>
        <v>0</v>
      </c>
      <c s="605" r="AB145">
        <f>SIN(RADIANS(Profile!Y173))*AA145</f>
        <v>0</v>
      </c>
      <c s="605" r="AC145">
        <f>COS(RADIANS(Profile!Y173))*AA145</f>
        <v>0</v>
      </c>
      <c s="348" r="AD145">
        <f>IF((AJ$15=TRUE),X145,NA())</f>
        <v>0</v>
      </c>
      <c s="348" r="AE145">
        <f>IF((AJ$15=TRUE),Y145,NA())</f>
        <v>0</v>
      </c>
      <c t="str" s="348" r="AF145">
        <f>IF(Profile!L173,Y145,NA())</f>
        <v>#N/A:explicit</v>
      </c>
      <c s="348" r="AG145">
        <f>Profile!T173*E$40</f>
        <v>0</v>
      </c>
      <c t="str" s="348" r="AH145">
        <f>IF((AK$15=TRUE),IF(ISNUMBER(Profile!Y173),IF(ISNUMBER(Profile!Y174),(((X145+((F$63/2)*COS(RADIANS(Profile!Y174))))+(X145+((F$63/2)*COS(RADIANS(Profile!Y173)))))/2),(X145+((F$63/2)*COS(RADIANS(Profile!Y173))))),AH144),0)</f>
        <v>#VALUE!:notNumber:For input string: "---"</v>
      </c>
      <c t="str" s="348" r="AI145">
        <f>IF((AK$15=TRUE),IF(ISNUMBER(Profile!Y173),IF(ISNUMBER(Profile!Y174),(((Y145-((F$63/2)*SIN(RADIANS(Profile!Y174))))+(Y145-((F$63/2)*SIN(RADIANS(Profile!Y173)))))/2),(Y145-((F$63/2)*SIN(RADIANS(Profile!Y173))))),AI144),0)</f>
        <v>#VALUE!:notNumber:For input string: "---"</v>
      </c>
      <c t="str" s="348" r="AJ145">
        <f>IF((AK$15=TRUE),IF(ISNUMBER(Profile!Y173),IF(ISNUMBER(Profile!Y174),(((X145-((F$63/2)*COS(RADIANS(Profile!Y174))))+(X145-((F$63/2)*COS(RADIANS(Profile!Y173)))))/2),(X145-((F$63/2)*COS(RADIANS(Profile!Y173))))),AJ144),0)</f>
        <v>#VALUE!:notNumber:For input string: "---"</v>
      </c>
      <c t="str" s="799" r="AK145">
        <f>IF((AK$15=TRUE),IF(ISNUMBER(Profile!Y173),IF(ISNUMBER(Profile!Y174),(((Y145+((F$63/2)*SIN(RADIANS(Profile!Y174))))+(Y145+((F$63/2)*SIN(RADIANS(Profile!Y173)))))/2),(Y145+((F$63/2)*SIN(RADIANS(Profile!Y173))))),AK144),0)</f>
        <v>#VALUE!:notNumber:For input string: "---"</v>
      </c>
      <c s="51" r="AL145"/>
      <c s="125" r="AM145"/>
    </row>
    <row r="146">
      <c s="125" r="A146"/>
      <c s="125" r="B146"/>
      <c s="125" r="C146"/>
      <c s="125" r="D146"/>
      <c s="125" r="E146"/>
      <c s="125" r="F146"/>
      <c s="125" r="G146"/>
      <c s="125" r="H146"/>
      <c s="125" r="I146"/>
      <c s="125" r="J146"/>
      <c s="125" r="K146"/>
      <c s="125" r="L146"/>
      <c s="125" r="M146"/>
      <c s="125" r="N146"/>
      <c s="125" r="O146"/>
      <c s="125" r="P146"/>
      <c s="125" r="Q146"/>
      <c s="125" r="R146"/>
      <c s="125" r="S146"/>
      <c s="822" r="T146"/>
      <c t="str" s="309" r="U146">
        <f>IF((Profile!L174&gt;0),Profile!L174,"")</f>
        <v/>
      </c>
      <c t="str" s="861" r="V146">
        <f>IF((Profile!O174&gt;0),Profile!O174,"---")</f>
        <v>---</v>
      </c>
      <c t="str" s="861" r="W146">
        <f>IF((Profile!Y174=0),IF((Profile!Y173=0),"---",IF((Profile!Y175=0),"---",Profile!Y174)),Profile!Y174)</f>
        <v>---</v>
      </c>
      <c s="239" r="X146">
        <f>AB146+X145</f>
        <v>0</v>
      </c>
      <c s="796" r="Y146">
        <f>AC146+Y145</f>
        <v>0</v>
      </c>
      <c s="702" r="Z146"/>
      <c s="289" r="AA146">
        <f>IF(Profile!Y174,IF((Profile!O174=0),0,(Profile!O174-MAX(Profile!O$44:O173))),0)</f>
        <v>0</v>
      </c>
      <c s="605" r="AB146">
        <f>SIN(RADIANS(Profile!Y174))*AA146</f>
        <v>0</v>
      </c>
      <c s="605" r="AC146">
        <f>COS(RADIANS(Profile!Y174))*AA146</f>
        <v>0</v>
      </c>
      <c s="348" r="AD146">
        <f>IF((AJ$15=TRUE),X146,NA())</f>
        <v>0</v>
      </c>
      <c s="348" r="AE146">
        <f>IF((AJ$15=TRUE),Y146,NA())</f>
        <v>0</v>
      </c>
      <c t="str" s="348" r="AF146">
        <f>IF(Profile!L174,Y146,NA())</f>
        <v>#N/A:explicit</v>
      </c>
      <c s="348" r="AG146">
        <f>Profile!T174*E$40</f>
        <v>0</v>
      </c>
      <c t="str" s="348" r="AH146">
        <f>IF((AK$15=TRUE),IF(ISNUMBER(Profile!Y174),IF(ISNUMBER(Profile!Y175),(((X146+((F$63/2)*COS(RADIANS(Profile!Y175))))+(X146+((F$63/2)*COS(RADIANS(Profile!Y174)))))/2),(X146+((F$63/2)*COS(RADIANS(Profile!Y174))))),AH145),0)</f>
        <v>#VALUE!:notNumber:For input string: "---"</v>
      </c>
      <c t="str" s="348" r="AI146">
        <f>IF((AK$15=TRUE),IF(ISNUMBER(Profile!Y174),IF(ISNUMBER(Profile!Y175),(((Y146-((F$63/2)*SIN(RADIANS(Profile!Y175))))+(Y146-((F$63/2)*SIN(RADIANS(Profile!Y174)))))/2),(Y146-((F$63/2)*SIN(RADIANS(Profile!Y174))))),AI145),0)</f>
        <v>#VALUE!:notNumber:For input string: "---"</v>
      </c>
      <c t="str" s="348" r="AJ146">
        <f>IF((AK$15=TRUE),IF(ISNUMBER(Profile!Y174),IF(ISNUMBER(Profile!Y175),(((X146-((F$63/2)*COS(RADIANS(Profile!Y175))))+(X146-((F$63/2)*COS(RADIANS(Profile!Y174)))))/2),(X146-((F$63/2)*COS(RADIANS(Profile!Y174))))),AJ145),0)</f>
        <v>#VALUE!:notNumber:For input string: "---"</v>
      </c>
      <c t="str" s="799" r="AK146">
        <f>IF((AK$15=TRUE),IF(ISNUMBER(Profile!Y174),IF(ISNUMBER(Profile!Y175),(((Y146+((F$63/2)*SIN(RADIANS(Profile!Y175))))+(Y146+((F$63/2)*SIN(RADIANS(Profile!Y174)))))/2),(Y146+((F$63/2)*SIN(RADIANS(Profile!Y174))))),AK145),0)</f>
        <v>#VALUE!:notNumber:For input string: "---"</v>
      </c>
      <c s="51" r="AL146"/>
      <c s="125" r="AM146"/>
    </row>
    <row r="147">
      <c s="125" r="A147"/>
      <c s="125" r="B147"/>
      <c s="125" r="C147"/>
      <c s="125" r="D147"/>
      <c s="125" r="E147"/>
      <c s="125" r="F147"/>
      <c s="125" r="G147"/>
      <c s="125" r="H147"/>
      <c s="125" r="I147"/>
      <c s="125" r="J147"/>
      <c s="125" r="K147"/>
      <c s="125" r="L147"/>
      <c s="125" r="M147"/>
      <c s="125" r="N147"/>
      <c s="125" r="O147"/>
      <c s="125" r="P147"/>
      <c s="125" r="Q147"/>
      <c s="125" r="R147"/>
      <c s="125" r="S147"/>
      <c s="822" r="T147"/>
      <c t="str" s="309" r="U147">
        <f>IF((Profile!L175&gt;0),Profile!L175,"")</f>
        <v/>
      </c>
      <c t="str" s="861" r="V147">
        <f>IF((Profile!O175&gt;0),Profile!O175,"---")</f>
        <v>---</v>
      </c>
      <c t="str" s="861" r="W147">
        <f>IF((Profile!Y175=0),IF((Profile!Y174=0),"---",IF((Profile!Y176=0),"---",Profile!Y175)),Profile!Y175)</f>
        <v>---</v>
      </c>
      <c s="239" r="X147">
        <f>AB147+X146</f>
        <v>0</v>
      </c>
      <c s="796" r="Y147">
        <f>AC147+Y146</f>
        <v>0</v>
      </c>
      <c s="702" r="Z147"/>
      <c s="289" r="AA147">
        <f>IF(Profile!Y175,IF((Profile!O175=0),0,(Profile!O175-MAX(Profile!O$44:O174))),0)</f>
        <v>0</v>
      </c>
      <c s="605" r="AB147">
        <f>SIN(RADIANS(Profile!Y175))*AA147</f>
        <v>0</v>
      </c>
      <c s="605" r="AC147">
        <f>COS(RADIANS(Profile!Y175))*AA147</f>
        <v>0</v>
      </c>
      <c s="348" r="AD147">
        <f>IF((AJ$15=TRUE),X147,NA())</f>
        <v>0</v>
      </c>
      <c s="348" r="AE147">
        <f>IF((AJ$15=TRUE),Y147,NA())</f>
        <v>0</v>
      </c>
      <c t="str" s="348" r="AF147">
        <f>IF(Profile!L175,Y147,NA())</f>
        <v>#N/A:explicit</v>
      </c>
      <c s="348" r="AG147">
        <f>Profile!T175*E$40</f>
        <v>0</v>
      </c>
      <c t="str" s="348" r="AH147">
        <f>IF((AK$15=TRUE),IF(ISNUMBER(Profile!Y175),IF(ISNUMBER(Profile!Y176),(((X147+((F$63/2)*COS(RADIANS(Profile!Y176))))+(X147+((F$63/2)*COS(RADIANS(Profile!Y175)))))/2),(X147+((F$63/2)*COS(RADIANS(Profile!Y175))))),AH146),0)</f>
        <v>#VALUE!:notNumber:For input string: "---"</v>
      </c>
      <c t="str" s="348" r="AI147">
        <f>IF((AK$15=TRUE),IF(ISNUMBER(Profile!Y175),IF(ISNUMBER(Profile!Y176),(((Y147-((F$63/2)*SIN(RADIANS(Profile!Y176))))+(Y147-((F$63/2)*SIN(RADIANS(Profile!Y175)))))/2),(Y147-((F$63/2)*SIN(RADIANS(Profile!Y175))))),AI146),0)</f>
        <v>#VALUE!:notNumber:For input string: "---"</v>
      </c>
      <c t="str" s="348" r="AJ147">
        <f>IF((AK$15=TRUE),IF(ISNUMBER(Profile!Y175),IF(ISNUMBER(Profile!Y176),(((X147-((F$63/2)*COS(RADIANS(Profile!Y176))))+(X147-((F$63/2)*COS(RADIANS(Profile!Y175)))))/2),(X147-((F$63/2)*COS(RADIANS(Profile!Y175))))),AJ146),0)</f>
        <v>#VALUE!:notNumber:For input string: "---"</v>
      </c>
      <c t="str" s="799" r="AK147">
        <f>IF((AK$15=TRUE),IF(ISNUMBER(Profile!Y175),IF(ISNUMBER(Profile!Y176),(((Y147+((F$63/2)*SIN(RADIANS(Profile!Y176))))+(Y147+((F$63/2)*SIN(RADIANS(Profile!Y175)))))/2),(Y147+((F$63/2)*SIN(RADIANS(Profile!Y175))))),AK146),0)</f>
        <v>#VALUE!:notNumber:For input string: "---"</v>
      </c>
      <c s="51" r="AL147"/>
      <c s="125" r="AM147"/>
    </row>
    <row r="148">
      <c s="125" r="A148"/>
      <c s="125" r="B148"/>
      <c s="125" r="C148"/>
      <c s="125" r="D148"/>
      <c s="125" r="E148"/>
      <c s="125" r="F148"/>
      <c s="125" r="G148"/>
      <c s="125" r="H148"/>
      <c s="125" r="I148"/>
      <c s="125" r="J148"/>
      <c s="125" r="K148"/>
      <c s="125" r="L148"/>
      <c s="125" r="M148"/>
      <c s="125" r="N148"/>
      <c s="125" r="O148"/>
      <c s="125" r="P148"/>
      <c s="125" r="Q148"/>
      <c s="125" r="R148"/>
      <c s="125" r="S148"/>
      <c s="822" r="T148"/>
      <c t="str" s="309" r="U148">
        <f>IF((Profile!L176&gt;0),Profile!L176,"")</f>
        <v/>
      </c>
      <c t="str" s="861" r="V148">
        <f>IF((Profile!O176&gt;0),Profile!O176,"---")</f>
        <v>---</v>
      </c>
      <c t="str" s="861" r="W148">
        <f>IF((Profile!Y176=0),IF((Profile!Y175=0),"---",IF((Profile!Y177=0),"---",Profile!Y176)),Profile!Y176)</f>
        <v>---</v>
      </c>
      <c s="239" r="X148">
        <f>AB148+X147</f>
        <v>0</v>
      </c>
      <c s="796" r="Y148">
        <f>AC148+Y147</f>
        <v>0</v>
      </c>
      <c s="702" r="Z148"/>
      <c s="289" r="AA148">
        <f>IF(Profile!Y176,IF((Profile!O176=0),0,(Profile!O176-MAX(Profile!O$44:O175))),0)</f>
        <v>0</v>
      </c>
      <c s="605" r="AB148">
        <f>SIN(RADIANS(Profile!Y176))*AA148</f>
        <v>0</v>
      </c>
      <c s="605" r="AC148">
        <f>COS(RADIANS(Profile!Y176))*AA148</f>
        <v>0</v>
      </c>
      <c s="348" r="AD148">
        <f>IF((AJ$15=TRUE),X148,NA())</f>
        <v>0</v>
      </c>
      <c s="348" r="AE148">
        <f>IF((AJ$15=TRUE),Y148,NA())</f>
        <v>0</v>
      </c>
      <c t="str" s="348" r="AF148">
        <f>IF(Profile!L176,Y148,NA())</f>
        <v>#N/A:explicit</v>
      </c>
      <c s="348" r="AG148">
        <f>Profile!T176*E$40</f>
        <v>0</v>
      </c>
      <c t="str" s="348" r="AH148">
        <f>IF((AK$15=TRUE),IF(ISNUMBER(Profile!Y176),IF(ISNUMBER(Profile!Y177),(((X148+((F$63/2)*COS(RADIANS(Profile!Y177))))+(X148+((F$63/2)*COS(RADIANS(Profile!Y176)))))/2),(X148+((F$63/2)*COS(RADIANS(Profile!Y176))))),AH147),0)</f>
        <v>#VALUE!:notNumber:For input string: "---"</v>
      </c>
      <c t="str" s="348" r="AI148">
        <f>IF((AK$15=TRUE),IF(ISNUMBER(Profile!Y176),IF(ISNUMBER(Profile!Y177),(((Y148-((F$63/2)*SIN(RADIANS(Profile!Y177))))+(Y148-((F$63/2)*SIN(RADIANS(Profile!Y176)))))/2),(Y148-((F$63/2)*SIN(RADIANS(Profile!Y176))))),AI147),0)</f>
        <v>#VALUE!:notNumber:For input string: "---"</v>
      </c>
      <c t="str" s="348" r="AJ148">
        <f>IF((AK$15=TRUE),IF(ISNUMBER(Profile!Y176),IF(ISNUMBER(Profile!Y177),(((X148-((F$63/2)*COS(RADIANS(Profile!Y177))))+(X148-((F$63/2)*COS(RADIANS(Profile!Y176)))))/2),(X148-((F$63/2)*COS(RADIANS(Profile!Y176))))),AJ147),0)</f>
        <v>#VALUE!:notNumber:For input string: "---"</v>
      </c>
      <c t="str" s="799" r="AK148">
        <f>IF((AK$15=TRUE),IF(ISNUMBER(Profile!Y176),IF(ISNUMBER(Profile!Y177),(((Y148+((F$63/2)*SIN(RADIANS(Profile!Y177))))+(Y148+((F$63/2)*SIN(RADIANS(Profile!Y176)))))/2),(Y148+((F$63/2)*SIN(RADIANS(Profile!Y176))))),AK147),0)</f>
        <v>#VALUE!:notNumber:For input string: "---"</v>
      </c>
      <c s="51" r="AL148"/>
      <c s="125" r="AM148"/>
    </row>
    <row r="149">
      <c s="125" r="A149"/>
      <c s="125" r="B149"/>
      <c s="125" r="C149"/>
      <c s="125" r="D149"/>
      <c s="125" r="E149"/>
      <c s="125" r="F149"/>
      <c s="125" r="G149"/>
      <c s="125" r="H149"/>
      <c s="125" r="I149"/>
      <c s="125" r="J149"/>
      <c s="125" r="K149"/>
      <c s="125" r="L149"/>
      <c s="125" r="M149"/>
      <c s="125" r="N149"/>
      <c s="125" r="O149"/>
      <c s="125" r="P149"/>
      <c s="125" r="Q149"/>
      <c s="125" r="R149"/>
      <c s="125" r="S149"/>
      <c s="822" r="T149"/>
      <c t="str" s="309" r="U149">
        <f>IF((Profile!L177&gt;0),Profile!L177,"")</f>
        <v/>
      </c>
      <c t="str" s="861" r="V149">
        <f>IF((Profile!O177&gt;0),Profile!O177,"---")</f>
        <v>---</v>
      </c>
      <c t="str" s="861" r="W149">
        <f>IF((Profile!Y177=0),IF((Profile!Y176=0),"---",IF((Profile!Y178=0),"---",Profile!Y177)),Profile!Y177)</f>
        <v>---</v>
      </c>
      <c s="239" r="X149">
        <f>AB149+X148</f>
        <v>0</v>
      </c>
      <c s="796" r="Y149">
        <f>AC149+Y148</f>
        <v>0</v>
      </c>
      <c s="702" r="Z149"/>
      <c s="289" r="AA149">
        <f>IF(Profile!Y177,IF((Profile!O177=0),0,(Profile!O177-MAX(Profile!O$44:O176))),0)</f>
        <v>0</v>
      </c>
      <c s="605" r="AB149">
        <f>SIN(RADIANS(Profile!Y177))*AA149</f>
        <v>0</v>
      </c>
      <c s="605" r="AC149">
        <f>COS(RADIANS(Profile!Y177))*AA149</f>
        <v>0</v>
      </c>
      <c s="348" r="AD149">
        <f>IF((AJ$15=TRUE),X149,NA())</f>
        <v>0</v>
      </c>
      <c s="348" r="AE149">
        <f>IF((AJ$15=TRUE),Y149,NA())</f>
        <v>0</v>
      </c>
      <c t="str" s="348" r="AF149">
        <f>IF(Profile!L177,Y149,NA())</f>
        <v>#N/A:explicit</v>
      </c>
      <c s="348" r="AG149">
        <f>Profile!T177*E$40</f>
        <v>0</v>
      </c>
      <c t="str" s="348" r="AH149">
        <f>IF((AK$15=TRUE),IF(ISNUMBER(Profile!Y177),IF(ISNUMBER(Profile!Y178),(((X149+((F$63/2)*COS(RADIANS(Profile!Y178))))+(X149+((F$63/2)*COS(RADIANS(Profile!Y177)))))/2),(X149+((F$63/2)*COS(RADIANS(Profile!Y177))))),AH148),0)</f>
        <v>#VALUE!:notNumber:For input string: "---"</v>
      </c>
      <c t="str" s="348" r="AI149">
        <f>IF((AK$15=TRUE),IF(ISNUMBER(Profile!Y177),IF(ISNUMBER(Profile!Y178),(((Y149-((F$63/2)*SIN(RADIANS(Profile!Y178))))+(Y149-((F$63/2)*SIN(RADIANS(Profile!Y177)))))/2),(Y149-((F$63/2)*SIN(RADIANS(Profile!Y177))))),AI148),0)</f>
        <v>#VALUE!:notNumber:For input string: "---"</v>
      </c>
      <c t="str" s="348" r="AJ149">
        <f>IF((AK$15=TRUE),IF(ISNUMBER(Profile!Y177),IF(ISNUMBER(Profile!Y178),(((X149-((F$63/2)*COS(RADIANS(Profile!Y178))))+(X149-((F$63/2)*COS(RADIANS(Profile!Y177)))))/2),(X149-((F$63/2)*COS(RADIANS(Profile!Y177))))),AJ148),0)</f>
        <v>#VALUE!:notNumber:For input string: "---"</v>
      </c>
      <c t="str" s="799" r="AK149">
        <f>IF((AK$15=TRUE),IF(ISNUMBER(Profile!Y177),IF(ISNUMBER(Profile!Y178),(((Y149+((F$63/2)*SIN(RADIANS(Profile!Y178))))+(Y149+((F$63/2)*SIN(RADIANS(Profile!Y177)))))/2),(Y149+((F$63/2)*SIN(RADIANS(Profile!Y177))))),AK148),0)</f>
        <v>#VALUE!:notNumber:For input string: "---"</v>
      </c>
      <c s="51" r="AL149"/>
      <c s="125" r="AM149"/>
    </row>
    <row r="150">
      <c s="125" r="A150"/>
      <c s="125" r="B150"/>
      <c s="125" r="C150"/>
      <c s="125" r="D150"/>
      <c s="125" r="E150"/>
      <c s="125" r="F150"/>
      <c s="125" r="G150"/>
      <c s="125" r="H150"/>
      <c s="125" r="I150"/>
      <c s="125" r="J150"/>
      <c s="125" r="K150"/>
      <c s="125" r="L150"/>
      <c s="125" r="M150"/>
      <c s="125" r="N150"/>
      <c s="125" r="O150"/>
      <c s="125" r="P150"/>
      <c s="125" r="Q150"/>
      <c s="125" r="R150"/>
      <c s="125" r="S150"/>
      <c s="822" r="T150"/>
      <c t="str" s="309" r="U150">
        <f>IF((Profile!L178&gt;0),Profile!L178,"")</f>
        <v/>
      </c>
      <c t="str" s="861" r="V150">
        <f>IF((Profile!O178&gt;0),Profile!O178,"---")</f>
        <v>---</v>
      </c>
      <c t="str" s="861" r="W150">
        <f>IF((Profile!Y178=0),IF((Profile!Y177=0),"---",IF((Profile!Y179=0),"---",Profile!Y178)),Profile!Y178)</f>
        <v>---</v>
      </c>
      <c s="239" r="X150">
        <f>AB150+X149</f>
        <v>0</v>
      </c>
      <c s="796" r="Y150">
        <f>AC150+Y149</f>
        <v>0</v>
      </c>
      <c s="702" r="Z150"/>
      <c s="289" r="AA150">
        <f>IF(Profile!Y178,IF((Profile!O178=0),0,(Profile!O178-MAX(Profile!O$44:O177))),0)</f>
        <v>0</v>
      </c>
      <c s="605" r="AB150">
        <f>SIN(RADIANS(Profile!Y178))*AA150</f>
        <v>0</v>
      </c>
      <c s="605" r="AC150">
        <f>COS(RADIANS(Profile!Y178))*AA150</f>
        <v>0</v>
      </c>
      <c s="348" r="AD150">
        <f>IF((AJ$15=TRUE),X150,NA())</f>
        <v>0</v>
      </c>
      <c s="348" r="AE150">
        <f>IF((AJ$15=TRUE),Y150,NA())</f>
        <v>0</v>
      </c>
      <c t="str" s="348" r="AF150">
        <f>IF(Profile!L178,Y150,NA())</f>
        <v>#N/A:explicit</v>
      </c>
      <c s="348" r="AG150">
        <f>Profile!T178*E$40</f>
        <v>0</v>
      </c>
      <c t="str" s="348" r="AH150">
        <f>IF((AK$15=TRUE),IF(ISNUMBER(Profile!Y178),IF(ISNUMBER(Profile!Y179),(((X150+((F$63/2)*COS(RADIANS(Profile!Y179))))+(X150+((F$63/2)*COS(RADIANS(Profile!Y178)))))/2),(X150+((F$63/2)*COS(RADIANS(Profile!Y178))))),AH149),0)</f>
        <v>#VALUE!:notNumber:For input string: "---"</v>
      </c>
      <c t="str" s="348" r="AI150">
        <f>IF((AK$15=TRUE),IF(ISNUMBER(Profile!Y178),IF(ISNUMBER(Profile!Y179),(((Y150-((F$63/2)*SIN(RADIANS(Profile!Y179))))+(Y150-((F$63/2)*SIN(RADIANS(Profile!Y178)))))/2),(Y150-((F$63/2)*SIN(RADIANS(Profile!Y178))))),AI149),0)</f>
        <v>#VALUE!:notNumber:For input string: "---"</v>
      </c>
      <c t="str" s="348" r="AJ150">
        <f>IF((AK$15=TRUE),IF(ISNUMBER(Profile!Y178),IF(ISNUMBER(Profile!Y179),(((X150-((F$63/2)*COS(RADIANS(Profile!Y179))))+(X150-((F$63/2)*COS(RADIANS(Profile!Y178)))))/2),(X150-((F$63/2)*COS(RADIANS(Profile!Y178))))),AJ149),0)</f>
        <v>#VALUE!:notNumber:For input string: "---"</v>
      </c>
      <c t="str" s="799" r="AK150">
        <f>IF((AK$15=TRUE),IF(ISNUMBER(Profile!Y178),IF(ISNUMBER(Profile!Y179),(((Y150+((F$63/2)*SIN(RADIANS(Profile!Y179))))+(Y150+((F$63/2)*SIN(RADIANS(Profile!Y178)))))/2),(Y150+((F$63/2)*SIN(RADIANS(Profile!Y178))))),AK149),0)</f>
        <v>#VALUE!:notNumber:For input string: "---"</v>
      </c>
      <c s="51" r="AL150"/>
      <c s="125" r="AM150"/>
    </row>
    <row r="151">
      <c s="125" r="A151"/>
      <c s="125" r="B151"/>
      <c s="125" r="C151"/>
      <c s="125" r="D151"/>
      <c s="125" r="E151"/>
      <c s="125" r="F151"/>
      <c s="125" r="G151"/>
      <c s="125" r="H151"/>
      <c s="125" r="I151"/>
      <c s="125" r="J151"/>
      <c s="125" r="K151"/>
      <c s="125" r="L151"/>
      <c s="125" r="M151"/>
      <c s="125" r="N151"/>
      <c s="125" r="O151"/>
      <c s="125" r="P151"/>
      <c s="125" r="Q151"/>
      <c s="125" r="R151"/>
      <c s="125" r="S151"/>
      <c s="822" r="T151"/>
      <c t="str" s="309" r="U151">
        <f>IF((Profile!L179&gt;0),Profile!L179,"")</f>
        <v/>
      </c>
      <c t="str" s="861" r="V151">
        <f>IF((Profile!O179&gt;0),Profile!O179,"---")</f>
        <v>---</v>
      </c>
      <c t="str" s="861" r="W151">
        <f>IF((Profile!Y179=0),IF((Profile!Y178=0),"---",IF((Profile!Y180=0),"---",Profile!Y179)),Profile!Y179)</f>
        <v>---</v>
      </c>
      <c s="239" r="X151">
        <f>AB151+X150</f>
        <v>0</v>
      </c>
      <c s="796" r="Y151">
        <f>AC151+Y150</f>
        <v>0</v>
      </c>
      <c s="702" r="Z151"/>
      <c s="289" r="AA151">
        <f>IF(Profile!Y179,IF((Profile!O179=0),0,(Profile!O179-MAX(Profile!O$44:O178))),0)</f>
        <v>0</v>
      </c>
      <c s="605" r="AB151">
        <f>SIN(RADIANS(Profile!Y179))*AA151</f>
        <v>0</v>
      </c>
      <c s="605" r="AC151">
        <f>COS(RADIANS(Profile!Y179))*AA151</f>
        <v>0</v>
      </c>
      <c s="348" r="AD151">
        <f>IF((AJ$15=TRUE),X151,NA())</f>
        <v>0</v>
      </c>
      <c s="348" r="AE151">
        <f>IF((AJ$15=TRUE),Y151,NA())</f>
        <v>0</v>
      </c>
      <c t="str" s="348" r="AF151">
        <f>IF(Profile!L179,Y151,NA())</f>
        <v>#N/A:explicit</v>
      </c>
      <c s="348" r="AG151">
        <f>Profile!T179*E$40</f>
        <v>0</v>
      </c>
      <c t="str" s="348" r="AH151">
        <f>IF((AK$15=TRUE),IF(ISNUMBER(Profile!Y179),IF(ISNUMBER(Profile!Y180),(((X151+((F$63/2)*COS(RADIANS(Profile!Y180))))+(X151+((F$63/2)*COS(RADIANS(Profile!Y179)))))/2),(X151+((F$63/2)*COS(RADIANS(Profile!Y179))))),AH150),0)</f>
        <v>#VALUE!:notNumber:For input string: "---"</v>
      </c>
      <c t="str" s="348" r="AI151">
        <f>IF((AK$15=TRUE),IF(ISNUMBER(Profile!Y179),IF(ISNUMBER(Profile!Y180),(((Y151-((F$63/2)*SIN(RADIANS(Profile!Y180))))+(Y151-((F$63/2)*SIN(RADIANS(Profile!Y179)))))/2),(Y151-((F$63/2)*SIN(RADIANS(Profile!Y179))))),AI150),0)</f>
        <v>#VALUE!:notNumber:For input string: "---"</v>
      </c>
      <c t="str" s="348" r="AJ151">
        <f>IF((AK$15=TRUE),IF(ISNUMBER(Profile!Y179),IF(ISNUMBER(Profile!Y180),(((X151-((F$63/2)*COS(RADIANS(Profile!Y180))))+(X151-((F$63/2)*COS(RADIANS(Profile!Y179)))))/2),(X151-((F$63/2)*COS(RADIANS(Profile!Y179))))),AJ150),0)</f>
        <v>#VALUE!:notNumber:For input string: "---"</v>
      </c>
      <c t="str" s="799" r="AK151">
        <f>IF((AK$15=TRUE),IF(ISNUMBER(Profile!Y179),IF(ISNUMBER(Profile!Y180),(((Y151+((F$63/2)*SIN(RADIANS(Profile!Y180))))+(Y151+((F$63/2)*SIN(RADIANS(Profile!Y179)))))/2),(Y151+((F$63/2)*SIN(RADIANS(Profile!Y179))))),AK150),0)</f>
        <v>#VALUE!:notNumber:For input string: "---"</v>
      </c>
      <c s="51" r="AL151"/>
      <c s="125" r="AM151"/>
    </row>
    <row r="152">
      <c s="125" r="A152"/>
      <c s="125" r="B152"/>
      <c s="125" r="C152"/>
      <c s="125" r="D152"/>
      <c s="125" r="E152"/>
      <c s="125" r="F152"/>
      <c s="125" r="G152"/>
      <c s="125" r="H152"/>
      <c s="125" r="I152"/>
      <c s="125" r="J152"/>
      <c s="125" r="K152"/>
      <c s="125" r="L152"/>
      <c s="125" r="M152"/>
      <c s="125" r="N152"/>
      <c s="125" r="O152"/>
      <c s="125" r="P152"/>
      <c s="125" r="Q152"/>
      <c s="125" r="R152"/>
      <c s="125" r="S152"/>
      <c s="822" r="T152"/>
      <c t="str" s="309" r="U152">
        <f>IF((Profile!L180&gt;0),Profile!L180,"")</f>
        <v/>
      </c>
      <c t="str" s="861" r="V152">
        <f>IF((Profile!O180&gt;0),Profile!O180,"---")</f>
        <v>---</v>
      </c>
      <c t="str" s="861" r="W152">
        <f>IF((Profile!Y180=0),IF((Profile!Y179=0),"---",IF((Profile!Y181=0),"---",Profile!Y180)),Profile!Y180)</f>
        <v>---</v>
      </c>
      <c s="239" r="X152">
        <f>AB152+X151</f>
        <v>0</v>
      </c>
      <c s="796" r="Y152">
        <f>AC152+Y151</f>
        <v>0</v>
      </c>
      <c s="702" r="Z152"/>
      <c s="289" r="AA152">
        <f>IF(Profile!Y180,IF((Profile!O180=0),0,(Profile!O180-MAX(Profile!O$44:O179))),0)</f>
        <v>0</v>
      </c>
      <c s="605" r="AB152">
        <f>SIN(RADIANS(Profile!Y180))*AA152</f>
        <v>0</v>
      </c>
      <c s="605" r="AC152">
        <f>COS(RADIANS(Profile!Y180))*AA152</f>
        <v>0</v>
      </c>
      <c s="348" r="AD152">
        <f>IF((AJ$15=TRUE),X152,NA())</f>
        <v>0</v>
      </c>
      <c s="348" r="AE152">
        <f>IF((AJ$15=TRUE),Y152,NA())</f>
        <v>0</v>
      </c>
      <c t="str" s="348" r="AF152">
        <f>IF(Profile!L180,Y152,NA())</f>
        <v>#N/A:explicit</v>
      </c>
      <c s="348" r="AG152">
        <f>Profile!T180*E$40</f>
        <v>0</v>
      </c>
      <c t="str" s="348" r="AH152">
        <f>IF((AK$15=TRUE),IF(ISNUMBER(Profile!Y180),IF(ISNUMBER(Profile!Y181),(((X152+((F$63/2)*COS(RADIANS(Profile!Y181))))+(X152+((F$63/2)*COS(RADIANS(Profile!Y180)))))/2),(X152+((F$63/2)*COS(RADIANS(Profile!Y180))))),AH151),0)</f>
        <v>#VALUE!:notNumber:For input string: "---"</v>
      </c>
      <c t="str" s="348" r="AI152">
        <f>IF((AK$15=TRUE),IF(ISNUMBER(Profile!Y180),IF(ISNUMBER(Profile!Y181),(((Y152-((F$63/2)*SIN(RADIANS(Profile!Y181))))+(Y152-((F$63/2)*SIN(RADIANS(Profile!Y180)))))/2),(Y152-((F$63/2)*SIN(RADIANS(Profile!Y180))))),AI151),0)</f>
        <v>#VALUE!:notNumber:For input string: "---"</v>
      </c>
      <c t="str" s="348" r="AJ152">
        <f>IF((AK$15=TRUE),IF(ISNUMBER(Profile!Y180),IF(ISNUMBER(Profile!Y181),(((X152-((F$63/2)*COS(RADIANS(Profile!Y181))))+(X152-((F$63/2)*COS(RADIANS(Profile!Y180)))))/2),(X152-((F$63/2)*COS(RADIANS(Profile!Y180))))),AJ151),0)</f>
        <v>#VALUE!:notNumber:For input string: "---"</v>
      </c>
      <c t="str" s="799" r="AK152">
        <f>IF((AK$15=TRUE),IF(ISNUMBER(Profile!Y180),IF(ISNUMBER(Profile!Y181),(((Y152+((F$63/2)*SIN(RADIANS(Profile!Y181))))+(Y152+((F$63/2)*SIN(RADIANS(Profile!Y180)))))/2),(Y152+((F$63/2)*SIN(RADIANS(Profile!Y180))))),AK151),0)</f>
        <v>#VALUE!:notNumber:For input string: "---"</v>
      </c>
      <c s="51" r="AL152"/>
      <c s="125" r="AM152"/>
    </row>
    <row r="153">
      <c s="125" r="A153"/>
      <c s="125" r="B153"/>
      <c s="125" r="C153"/>
      <c s="125" r="D153"/>
      <c s="125" r="E153"/>
      <c s="125" r="F153"/>
      <c s="125" r="G153"/>
      <c s="125" r="H153"/>
      <c s="125" r="I153"/>
      <c s="125" r="J153"/>
      <c s="125" r="K153"/>
      <c s="125" r="L153"/>
      <c s="125" r="M153"/>
      <c s="125" r="N153"/>
      <c s="125" r="O153"/>
      <c s="125" r="P153"/>
      <c s="125" r="Q153"/>
      <c s="125" r="R153"/>
      <c s="125" r="S153"/>
      <c s="822" r="T153"/>
      <c t="str" s="309" r="U153">
        <f>IF((Profile!L181&gt;0),Profile!L181,"")</f>
        <v/>
      </c>
      <c t="str" s="861" r="V153">
        <f>IF((Profile!O181&gt;0),Profile!O181,"---")</f>
        <v>---</v>
      </c>
      <c t="str" s="861" r="W153">
        <f>IF((Profile!Y181=0),IF((Profile!Y180=0),"---",IF((Profile!Y182=0),"---",Profile!Y181)),Profile!Y181)</f>
        <v>---</v>
      </c>
      <c s="239" r="X153">
        <f>AB153+X152</f>
        <v>0</v>
      </c>
      <c s="796" r="Y153">
        <f>AC153+Y152</f>
        <v>0</v>
      </c>
      <c s="702" r="Z153"/>
      <c s="289" r="AA153">
        <f>IF(Profile!Y181,IF((Profile!O181=0),0,(Profile!O181-MAX(Profile!O$44:O180))),0)</f>
        <v>0</v>
      </c>
      <c s="605" r="AB153">
        <f>SIN(RADIANS(Profile!Y181))*AA153</f>
        <v>0</v>
      </c>
      <c s="605" r="AC153">
        <f>COS(RADIANS(Profile!Y181))*AA153</f>
        <v>0</v>
      </c>
      <c s="348" r="AD153">
        <f>IF((AJ$15=TRUE),X153,NA())</f>
        <v>0</v>
      </c>
      <c s="348" r="AE153">
        <f>IF((AJ$15=TRUE),Y153,NA())</f>
        <v>0</v>
      </c>
      <c t="str" s="348" r="AF153">
        <f>IF(Profile!L181,Y153,NA())</f>
        <v>#N/A:explicit</v>
      </c>
      <c s="348" r="AG153">
        <f>Profile!T181*E$40</f>
        <v>0</v>
      </c>
      <c t="str" s="348" r="AH153">
        <f>IF((AK$15=TRUE),IF(ISNUMBER(Profile!Y181),IF(ISNUMBER(Profile!Y182),(((X153+((F$63/2)*COS(RADIANS(Profile!Y182))))+(X153+((F$63/2)*COS(RADIANS(Profile!Y181)))))/2),(X153+((F$63/2)*COS(RADIANS(Profile!Y181))))),AH152),0)</f>
        <v>#VALUE!:notNumber:For input string: "---"</v>
      </c>
      <c t="str" s="348" r="AI153">
        <f>IF((AK$15=TRUE),IF(ISNUMBER(Profile!Y181),IF(ISNUMBER(Profile!Y182),(((Y153-((F$63/2)*SIN(RADIANS(Profile!Y182))))+(Y153-((F$63/2)*SIN(RADIANS(Profile!Y181)))))/2),(Y153-((F$63/2)*SIN(RADIANS(Profile!Y181))))),AI152),0)</f>
        <v>#VALUE!:notNumber:For input string: "---"</v>
      </c>
      <c t="str" s="348" r="AJ153">
        <f>IF((AK$15=TRUE),IF(ISNUMBER(Profile!Y181),IF(ISNUMBER(Profile!Y182),(((X153-((F$63/2)*COS(RADIANS(Profile!Y182))))+(X153-((F$63/2)*COS(RADIANS(Profile!Y181)))))/2),(X153-((F$63/2)*COS(RADIANS(Profile!Y181))))),AJ152),0)</f>
        <v>#VALUE!:notNumber:For input string: "---"</v>
      </c>
      <c t="str" s="799" r="AK153">
        <f>IF((AK$15=TRUE),IF(ISNUMBER(Profile!Y181),IF(ISNUMBER(Profile!Y182),(((Y153+((F$63/2)*SIN(RADIANS(Profile!Y182))))+(Y153+((F$63/2)*SIN(RADIANS(Profile!Y181)))))/2),(Y153+((F$63/2)*SIN(RADIANS(Profile!Y181))))),AK152),0)</f>
        <v>#VALUE!:notNumber:For input string: "---"</v>
      </c>
      <c s="51" r="AL153"/>
      <c s="125" r="AM153"/>
    </row>
    <row r="154">
      <c s="125" r="A154"/>
      <c s="125" r="B154"/>
      <c s="125" r="C154"/>
      <c s="125" r="D154"/>
      <c s="125" r="E154"/>
      <c s="125" r="F154"/>
      <c s="125" r="G154"/>
      <c s="125" r="H154"/>
      <c s="125" r="I154"/>
      <c s="125" r="J154"/>
      <c s="125" r="K154"/>
      <c s="125" r="L154"/>
      <c s="125" r="M154"/>
      <c s="125" r="N154"/>
      <c s="125" r="O154"/>
      <c s="125" r="P154"/>
      <c s="125" r="Q154"/>
      <c s="125" r="R154"/>
      <c s="125" r="S154"/>
      <c s="822" r="T154"/>
      <c t="str" s="309" r="U154">
        <f>IF((Profile!L182&gt;0),Profile!L182,"")</f>
        <v/>
      </c>
      <c t="str" s="861" r="V154">
        <f>IF((Profile!O182&gt;0),Profile!O182,"---")</f>
        <v>---</v>
      </c>
      <c t="str" s="861" r="W154">
        <f>IF((Profile!Y182=0),IF((Profile!Y181=0),"---",IF((Profile!Y183=0),"---",Profile!Y182)),Profile!Y182)</f>
        <v>---</v>
      </c>
      <c s="239" r="X154">
        <f>AB154+X153</f>
        <v>0</v>
      </c>
      <c s="796" r="Y154">
        <f>AC154+Y153</f>
        <v>0</v>
      </c>
      <c s="702" r="Z154"/>
      <c s="289" r="AA154">
        <f>IF(Profile!Y182,IF((Profile!O182=0),0,(Profile!O182-MAX(Profile!O$44:O181))),0)</f>
        <v>0</v>
      </c>
      <c s="605" r="AB154">
        <f>SIN(RADIANS(Profile!Y182))*AA154</f>
        <v>0</v>
      </c>
      <c s="605" r="AC154">
        <f>COS(RADIANS(Profile!Y182))*AA154</f>
        <v>0</v>
      </c>
      <c s="348" r="AD154">
        <f>IF((AJ$15=TRUE),X154,NA())</f>
        <v>0</v>
      </c>
      <c s="348" r="AE154">
        <f>IF((AJ$15=TRUE),Y154,NA())</f>
        <v>0</v>
      </c>
      <c t="str" s="348" r="AF154">
        <f>IF(Profile!L182,Y154,NA())</f>
        <v>#N/A:explicit</v>
      </c>
      <c s="348" r="AG154">
        <f>Profile!T182*E$40</f>
        <v>0</v>
      </c>
      <c t="str" s="348" r="AH154">
        <f>IF((AK$15=TRUE),IF(ISNUMBER(Profile!Y182),IF(ISNUMBER(Profile!Y183),(((X154+((F$63/2)*COS(RADIANS(Profile!Y183))))+(X154+((F$63/2)*COS(RADIANS(Profile!Y182)))))/2),(X154+((F$63/2)*COS(RADIANS(Profile!Y182))))),AH153),0)</f>
        <v>#VALUE!:notNumber:For input string: "---"</v>
      </c>
      <c t="str" s="348" r="AI154">
        <f>IF((AK$15=TRUE),IF(ISNUMBER(Profile!Y182),IF(ISNUMBER(Profile!Y183),(((Y154-((F$63/2)*SIN(RADIANS(Profile!Y183))))+(Y154-((F$63/2)*SIN(RADIANS(Profile!Y182)))))/2),(Y154-((F$63/2)*SIN(RADIANS(Profile!Y182))))),AI153),0)</f>
        <v>#VALUE!:notNumber:For input string: "---"</v>
      </c>
      <c t="str" s="348" r="AJ154">
        <f>IF((AK$15=TRUE),IF(ISNUMBER(Profile!Y182),IF(ISNUMBER(Profile!Y183),(((X154-((F$63/2)*COS(RADIANS(Profile!Y183))))+(X154-((F$63/2)*COS(RADIANS(Profile!Y182)))))/2),(X154-((F$63/2)*COS(RADIANS(Profile!Y182))))),AJ153),0)</f>
        <v>#VALUE!:notNumber:For input string: "---"</v>
      </c>
      <c t="str" s="799" r="AK154">
        <f>IF((AK$15=TRUE),IF(ISNUMBER(Profile!Y182),IF(ISNUMBER(Profile!Y183),(((Y154+((F$63/2)*SIN(RADIANS(Profile!Y183))))+(Y154+((F$63/2)*SIN(RADIANS(Profile!Y182)))))/2),(Y154+((F$63/2)*SIN(RADIANS(Profile!Y182))))),AK153),0)</f>
        <v>#VALUE!:notNumber:For input string: "---"</v>
      </c>
      <c s="51" r="AL154"/>
      <c s="125" r="AM154"/>
    </row>
    <row r="155">
      <c s="125" r="A155"/>
      <c s="125" r="B155"/>
      <c s="125" r="C155"/>
      <c s="125" r="D155"/>
      <c s="125" r="E155"/>
      <c s="125" r="F155"/>
      <c s="125" r="G155"/>
      <c s="125" r="H155"/>
      <c s="125" r="I155"/>
      <c s="125" r="J155"/>
      <c s="125" r="K155"/>
      <c s="125" r="L155"/>
      <c s="125" r="M155"/>
      <c s="125" r="N155"/>
      <c s="125" r="O155"/>
      <c s="125" r="P155"/>
      <c s="125" r="Q155"/>
      <c s="125" r="R155"/>
      <c s="125" r="S155"/>
      <c s="822" r="T155"/>
      <c t="str" s="309" r="U155">
        <f>IF((Profile!L183&gt;0),Profile!L183,"")</f>
        <v/>
      </c>
      <c t="str" s="861" r="V155">
        <f>IF((Profile!O183&gt;0),Profile!O183,"---")</f>
        <v>---</v>
      </c>
      <c t="str" s="861" r="W155">
        <f>IF((Profile!Y183=0),IF((Profile!Y182=0),"---",IF((Profile!Y184=0),"---",Profile!Y183)),Profile!Y183)</f>
        <v>---</v>
      </c>
      <c s="239" r="X155">
        <f>AB155+X154</f>
        <v>0</v>
      </c>
      <c s="796" r="Y155">
        <f>AC155+Y154</f>
        <v>0</v>
      </c>
      <c s="702" r="Z155"/>
      <c s="289" r="AA155">
        <f>IF(Profile!Y183,IF((Profile!O183=0),0,(Profile!O183-MAX(Profile!O$44:O182))),0)</f>
        <v>0</v>
      </c>
      <c s="605" r="AB155">
        <f>SIN(RADIANS(Profile!Y183))*AA155</f>
        <v>0</v>
      </c>
      <c s="605" r="AC155">
        <f>COS(RADIANS(Profile!Y183))*AA155</f>
        <v>0</v>
      </c>
      <c s="348" r="AD155">
        <f>IF((AJ$15=TRUE),X155,NA())</f>
        <v>0</v>
      </c>
      <c s="348" r="AE155">
        <f>IF((AJ$15=TRUE),Y155,NA())</f>
        <v>0</v>
      </c>
      <c t="str" s="348" r="AF155">
        <f>IF(Profile!L183,Y155,NA())</f>
        <v>#N/A:explicit</v>
      </c>
      <c s="348" r="AG155">
        <f>Profile!T183*E$40</f>
        <v>0</v>
      </c>
      <c t="str" s="348" r="AH155">
        <f>IF((AK$15=TRUE),IF(ISNUMBER(Profile!Y183),IF(ISNUMBER(Profile!Y184),(((X155+((F$63/2)*COS(RADIANS(Profile!Y184))))+(X155+((F$63/2)*COS(RADIANS(Profile!Y183)))))/2),(X155+((F$63/2)*COS(RADIANS(Profile!Y183))))),AH154),0)</f>
        <v>#VALUE!:notNumber:For input string: "---"</v>
      </c>
      <c t="str" s="348" r="AI155">
        <f>IF((AK$15=TRUE),IF(ISNUMBER(Profile!Y183),IF(ISNUMBER(Profile!Y184),(((Y155-((F$63/2)*SIN(RADIANS(Profile!Y184))))+(Y155-((F$63/2)*SIN(RADIANS(Profile!Y183)))))/2),(Y155-((F$63/2)*SIN(RADIANS(Profile!Y183))))),AI154),0)</f>
        <v>#VALUE!:notNumber:For input string: "---"</v>
      </c>
      <c t="str" s="348" r="AJ155">
        <f>IF((AK$15=TRUE),IF(ISNUMBER(Profile!Y183),IF(ISNUMBER(Profile!Y184),(((X155-((F$63/2)*COS(RADIANS(Profile!Y184))))+(X155-((F$63/2)*COS(RADIANS(Profile!Y183)))))/2),(X155-((F$63/2)*COS(RADIANS(Profile!Y183))))),AJ154),0)</f>
        <v>#VALUE!:notNumber:For input string: "---"</v>
      </c>
      <c t="str" s="799" r="AK155">
        <f>IF((AK$15=TRUE),IF(ISNUMBER(Profile!Y183),IF(ISNUMBER(Profile!Y184),(((Y155+((F$63/2)*SIN(RADIANS(Profile!Y184))))+(Y155+((F$63/2)*SIN(RADIANS(Profile!Y183)))))/2),(Y155+((F$63/2)*SIN(RADIANS(Profile!Y183))))),AK154),0)</f>
        <v>#VALUE!:notNumber:For input string: "---"</v>
      </c>
      <c s="51" r="AL155"/>
      <c s="125" r="AM155"/>
    </row>
    <row r="156">
      <c s="125" r="A156"/>
      <c s="125" r="B156"/>
      <c s="125" r="C156"/>
      <c s="125" r="D156"/>
      <c s="125" r="E156"/>
      <c s="125" r="F156"/>
      <c s="125" r="G156"/>
      <c s="125" r="H156"/>
      <c s="125" r="I156"/>
      <c s="125" r="J156"/>
      <c s="125" r="K156"/>
      <c s="125" r="L156"/>
      <c s="125" r="M156"/>
      <c s="125" r="N156"/>
      <c s="125" r="O156"/>
      <c s="125" r="P156"/>
      <c s="125" r="Q156"/>
      <c s="125" r="R156"/>
      <c s="125" r="S156"/>
      <c s="822" r="T156"/>
      <c t="str" s="309" r="U156">
        <f>IF((Profile!L184&gt;0),Profile!L184,"")</f>
        <v/>
      </c>
      <c t="str" s="861" r="V156">
        <f>IF((Profile!O184&gt;0),Profile!O184,"---")</f>
        <v>---</v>
      </c>
      <c t="str" s="861" r="W156">
        <f>IF((Profile!Y184=0),IF((Profile!Y183=0),"---",IF((Profile!Y185=0),"---",Profile!Y184)),Profile!Y184)</f>
        <v>---</v>
      </c>
      <c s="239" r="X156">
        <f>AB156+X155</f>
        <v>0</v>
      </c>
      <c s="796" r="Y156">
        <f>AC156+Y155</f>
        <v>0</v>
      </c>
      <c s="702" r="Z156"/>
      <c s="289" r="AA156">
        <f>IF(Profile!Y184,IF((Profile!O184=0),0,(Profile!O184-MAX(Profile!O$44:O183))),0)</f>
        <v>0</v>
      </c>
      <c s="605" r="AB156">
        <f>SIN(RADIANS(Profile!Y184))*AA156</f>
        <v>0</v>
      </c>
      <c s="605" r="AC156">
        <f>COS(RADIANS(Profile!Y184))*AA156</f>
        <v>0</v>
      </c>
      <c s="348" r="AD156">
        <f>IF((AJ$15=TRUE),X156,NA())</f>
        <v>0</v>
      </c>
      <c s="348" r="AE156">
        <f>IF((AJ$15=TRUE),Y156,NA())</f>
        <v>0</v>
      </c>
      <c t="str" s="348" r="AF156">
        <f>IF(Profile!L184,Y156,NA())</f>
        <v>#N/A:explicit</v>
      </c>
      <c s="348" r="AG156">
        <f>Profile!T184*E$40</f>
        <v>0</v>
      </c>
      <c t="str" s="348" r="AH156">
        <f>IF((AK$15=TRUE),IF(ISNUMBER(Profile!Y184),IF(ISNUMBER(Profile!Y185),(((X156+((F$63/2)*COS(RADIANS(Profile!Y185))))+(X156+((F$63/2)*COS(RADIANS(Profile!Y184)))))/2),(X156+((F$63/2)*COS(RADIANS(Profile!Y184))))),AH155),0)</f>
        <v>#VALUE!:notNumber:For input string: "---"</v>
      </c>
      <c t="str" s="348" r="AI156">
        <f>IF((AK$15=TRUE),IF(ISNUMBER(Profile!Y184),IF(ISNUMBER(Profile!Y185),(((Y156-((F$63/2)*SIN(RADIANS(Profile!Y185))))+(Y156-((F$63/2)*SIN(RADIANS(Profile!Y184)))))/2),(Y156-((F$63/2)*SIN(RADIANS(Profile!Y184))))),AI155),0)</f>
        <v>#VALUE!:notNumber:For input string: "---"</v>
      </c>
      <c t="str" s="348" r="AJ156">
        <f>IF((AK$15=TRUE),IF(ISNUMBER(Profile!Y184),IF(ISNUMBER(Profile!Y185),(((X156-((F$63/2)*COS(RADIANS(Profile!Y185))))+(X156-((F$63/2)*COS(RADIANS(Profile!Y184)))))/2),(X156-((F$63/2)*COS(RADIANS(Profile!Y184))))),AJ155),0)</f>
        <v>#VALUE!:notNumber:For input string: "---"</v>
      </c>
      <c t="str" s="799" r="AK156">
        <f>IF((AK$15=TRUE),IF(ISNUMBER(Profile!Y184),IF(ISNUMBER(Profile!Y185),(((Y156+((F$63/2)*SIN(RADIANS(Profile!Y185))))+(Y156+((F$63/2)*SIN(RADIANS(Profile!Y184)))))/2),(Y156+((F$63/2)*SIN(RADIANS(Profile!Y184))))),AK155),0)</f>
        <v>#VALUE!:notNumber:For input string: "---"</v>
      </c>
      <c s="51" r="AL156"/>
      <c s="125" r="AM156"/>
    </row>
    <row r="157">
      <c s="125" r="A157"/>
      <c s="125" r="B157"/>
      <c s="125" r="C157"/>
      <c s="125" r="D157"/>
      <c s="125" r="E157"/>
      <c s="125" r="F157"/>
      <c s="125" r="G157"/>
      <c s="125" r="H157"/>
      <c s="125" r="I157"/>
      <c s="125" r="J157"/>
      <c s="125" r="K157"/>
      <c s="125" r="L157"/>
      <c s="125" r="M157"/>
      <c s="125" r="N157"/>
      <c s="125" r="O157"/>
      <c s="125" r="P157"/>
      <c s="125" r="Q157"/>
      <c s="125" r="R157"/>
      <c s="125" r="S157"/>
      <c s="822" r="T157"/>
      <c t="str" s="309" r="U157">
        <f>IF((Profile!L185&gt;0),Profile!L185,"")</f>
        <v/>
      </c>
      <c t="str" s="861" r="V157">
        <f>IF((Profile!O185&gt;0),Profile!O185,"---")</f>
        <v>---</v>
      </c>
      <c t="str" s="861" r="W157">
        <f>IF((Profile!Y185=0),IF((Profile!Y184=0),"---",IF((Profile!Y186=0),"---",Profile!Y185)),Profile!Y185)</f>
        <v>---</v>
      </c>
      <c s="239" r="X157">
        <f>AB157+X156</f>
        <v>0</v>
      </c>
      <c s="796" r="Y157">
        <f>AC157+Y156</f>
        <v>0</v>
      </c>
      <c s="702" r="Z157"/>
      <c s="289" r="AA157">
        <f>IF(Profile!Y185,IF((Profile!O185=0),0,(Profile!O185-MAX(Profile!O$44:O184))),0)</f>
        <v>0</v>
      </c>
      <c s="605" r="AB157">
        <f>SIN(RADIANS(Profile!Y185))*AA157</f>
        <v>0</v>
      </c>
      <c s="605" r="AC157">
        <f>COS(RADIANS(Profile!Y185))*AA157</f>
        <v>0</v>
      </c>
      <c s="348" r="AD157">
        <f>IF((AJ$15=TRUE),X157,NA())</f>
        <v>0</v>
      </c>
      <c s="348" r="AE157">
        <f>IF((AJ$15=TRUE),Y157,NA())</f>
        <v>0</v>
      </c>
      <c t="str" s="348" r="AF157">
        <f>IF(Profile!L185,Y157,NA())</f>
        <v>#N/A:explicit</v>
      </c>
      <c s="348" r="AG157">
        <f>Profile!T185*E$40</f>
        <v>0</v>
      </c>
      <c t="str" s="348" r="AH157">
        <f>IF((AK$15=TRUE),IF(ISNUMBER(Profile!Y185),IF(ISNUMBER(Profile!Y186),(((X157+((F$63/2)*COS(RADIANS(Profile!Y186))))+(X157+((F$63/2)*COS(RADIANS(Profile!Y185)))))/2),(X157+((F$63/2)*COS(RADIANS(Profile!Y185))))),AH156),0)</f>
        <v>#VALUE!:notNumber:For input string: "---"</v>
      </c>
      <c t="str" s="348" r="AI157">
        <f>IF((AK$15=TRUE),IF(ISNUMBER(Profile!Y185),IF(ISNUMBER(Profile!Y186),(((Y157-((F$63/2)*SIN(RADIANS(Profile!Y186))))+(Y157-((F$63/2)*SIN(RADIANS(Profile!Y185)))))/2),(Y157-((F$63/2)*SIN(RADIANS(Profile!Y185))))),AI156),0)</f>
        <v>#VALUE!:notNumber:For input string: "---"</v>
      </c>
      <c t="str" s="348" r="AJ157">
        <f>IF((AK$15=TRUE),IF(ISNUMBER(Profile!Y185),IF(ISNUMBER(Profile!Y186),(((X157-((F$63/2)*COS(RADIANS(Profile!Y186))))+(X157-((F$63/2)*COS(RADIANS(Profile!Y185)))))/2),(X157-((F$63/2)*COS(RADIANS(Profile!Y185))))),AJ156),0)</f>
        <v>#VALUE!:notNumber:For input string: "---"</v>
      </c>
      <c t="str" s="799" r="AK157">
        <f>IF((AK$15=TRUE),IF(ISNUMBER(Profile!Y185),IF(ISNUMBER(Profile!Y186),(((Y157+((F$63/2)*SIN(RADIANS(Profile!Y186))))+(Y157+((F$63/2)*SIN(RADIANS(Profile!Y185)))))/2),(Y157+((F$63/2)*SIN(RADIANS(Profile!Y185))))),AK156),0)</f>
        <v>#VALUE!:notNumber:For input string: "---"</v>
      </c>
      <c s="51" r="AL157"/>
      <c s="125" r="AM157"/>
    </row>
    <row r="158">
      <c s="125" r="A158"/>
      <c s="125" r="B158"/>
      <c s="125" r="C158"/>
      <c s="125" r="D158"/>
      <c s="125" r="E158"/>
      <c s="125" r="F158"/>
      <c s="125" r="G158"/>
      <c s="125" r="H158"/>
      <c s="125" r="I158"/>
      <c s="125" r="J158"/>
      <c s="125" r="K158"/>
      <c s="125" r="L158"/>
      <c s="125" r="M158"/>
      <c s="125" r="N158"/>
      <c s="125" r="O158"/>
      <c s="125" r="P158"/>
      <c s="125" r="Q158"/>
      <c s="125" r="R158"/>
      <c s="125" r="S158"/>
      <c s="822" r="T158"/>
      <c t="str" s="309" r="U158">
        <f>IF((Profile!L186&gt;0),Profile!L186,"")</f>
        <v/>
      </c>
      <c t="str" s="861" r="V158">
        <f>IF((Profile!O186&gt;0),Profile!O186,"---")</f>
        <v>---</v>
      </c>
      <c t="str" s="861" r="W158">
        <f>IF((Profile!Y186=0),IF((Profile!Y185=0),"---",IF((Profile!Y187=0),"---",Profile!Y186)),Profile!Y186)</f>
        <v>---</v>
      </c>
      <c s="239" r="X158">
        <f>AB158+X157</f>
        <v>0</v>
      </c>
      <c s="796" r="Y158">
        <f>AC158+Y157</f>
        <v>0</v>
      </c>
      <c s="702" r="Z158"/>
      <c s="289" r="AA158">
        <f>IF(Profile!Y186,IF((Profile!O186=0),0,(Profile!O186-MAX(Profile!O$44:O185))),0)</f>
        <v>0</v>
      </c>
      <c s="605" r="AB158">
        <f>SIN(RADIANS(Profile!Y186))*AA158</f>
        <v>0</v>
      </c>
      <c s="605" r="AC158">
        <f>COS(RADIANS(Profile!Y186))*AA158</f>
        <v>0</v>
      </c>
      <c s="348" r="AD158">
        <f>IF((AJ$15=TRUE),X158,NA())</f>
        <v>0</v>
      </c>
      <c s="348" r="AE158">
        <f>IF((AJ$15=TRUE),Y158,NA())</f>
        <v>0</v>
      </c>
      <c t="str" s="348" r="AF158">
        <f>IF(Profile!L186,Y158,NA())</f>
        <v>#N/A:explicit</v>
      </c>
      <c s="348" r="AG158">
        <f>Profile!T186*E$40</f>
        <v>0</v>
      </c>
      <c t="str" s="348" r="AH158">
        <f>IF((AK$15=TRUE),IF(ISNUMBER(Profile!Y186),IF(ISNUMBER(Profile!Y187),(((X158+((F$63/2)*COS(RADIANS(Profile!Y187))))+(X158+((F$63/2)*COS(RADIANS(Profile!Y186)))))/2),(X158+((F$63/2)*COS(RADIANS(Profile!Y186))))),AH157),0)</f>
        <v>#VALUE!:notNumber:For input string: "---"</v>
      </c>
      <c t="str" s="348" r="AI158">
        <f>IF((AK$15=TRUE),IF(ISNUMBER(Profile!Y186),IF(ISNUMBER(Profile!Y187),(((Y158-((F$63/2)*SIN(RADIANS(Profile!Y187))))+(Y158-((F$63/2)*SIN(RADIANS(Profile!Y186)))))/2),(Y158-((F$63/2)*SIN(RADIANS(Profile!Y186))))),AI157),0)</f>
        <v>#VALUE!:notNumber:For input string: "---"</v>
      </c>
      <c t="str" s="348" r="AJ158">
        <f>IF((AK$15=TRUE),IF(ISNUMBER(Profile!Y186),IF(ISNUMBER(Profile!Y187),(((X158-((F$63/2)*COS(RADIANS(Profile!Y187))))+(X158-((F$63/2)*COS(RADIANS(Profile!Y186)))))/2),(X158-((F$63/2)*COS(RADIANS(Profile!Y186))))),AJ157),0)</f>
        <v>#VALUE!:notNumber:For input string: "---"</v>
      </c>
      <c t="str" s="799" r="AK158">
        <f>IF((AK$15=TRUE),IF(ISNUMBER(Profile!Y186),IF(ISNUMBER(Profile!Y187),(((Y158+((F$63/2)*SIN(RADIANS(Profile!Y187))))+(Y158+((F$63/2)*SIN(RADIANS(Profile!Y186)))))/2),(Y158+((F$63/2)*SIN(RADIANS(Profile!Y186))))),AK157),0)</f>
        <v>#VALUE!:notNumber:For input string: "---"</v>
      </c>
      <c s="51" r="AL158"/>
      <c s="125" r="AM158"/>
    </row>
    <row r="159">
      <c s="125" r="A159"/>
      <c s="125" r="B159"/>
      <c s="125" r="C159"/>
      <c s="125" r="D159"/>
      <c s="125" r="E159"/>
      <c s="125" r="F159"/>
      <c s="125" r="G159"/>
      <c s="125" r="H159"/>
      <c s="125" r="I159"/>
      <c s="125" r="J159"/>
      <c s="125" r="K159"/>
      <c s="125" r="L159"/>
      <c s="125" r="M159"/>
      <c s="125" r="N159"/>
      <c s="125" r="O159"/>
      <c s="125" r="P159"/>
      <c s="125" r="Q159"/>
      <c s="125" r="R159"/>
      <c s="125" r="S159"/>
      <c s="822" r="T159"/>
      <c t="str" s="309" r="U159">
        <f>IF((Profile!L187&gt;0),Profile!L187,"")</f>
        <v/>
      </c>
      <c t="str" s="861" r="V159">
        <f>IF((Profile!O187&gt;0),Profile!O187,"---")</f>
        <v>---</v>
      </c>
      <c t="str" s="861" r="W159">
        <f>IF((Profile!Y187=0),IF((Profile!Y186=0),"---",IF((Profile!Y188=0),"---",Profile!Y187)),Profile!Y187)</f>
        <v>---</v>
      </c>
      <c s="239" r="X159">
        <f>AB159+X158</f>
        <v>0</v>
      </c>
      <c s="796" r="Y159">
        <f>AC159+Y158</f>
        <v>0</v>
      </c>
      <c s="702" r="Z159"/>
      <c s="289" r="AA159">
        <f>IF(Profile!Y187,IF((Profile!O187=0),0,(Profile!O187-MAX(Profile!O$44:O186))),0)</f>
        <v>0</v>
      </c>
      <c s="605" r="AB159">
        <f>SIN(RADIANS(Profile!Y187))*AA159</f>
        <v>0</v>
      </c>
      <c s="605" r="AC159">
        <f>COS(RADIANS(Profile!Y187))*AA159</f>
        <v>0</v>
      </c>
      <c s="348" r="AD159">
        <f>IF((AJ$15=TRUE),X159,NA())</f>
        <v>0</v>
      </c>
      <c s="348" r="AE159">
        <f>IF((AJ$15=TRUE),Y159,NA())</f>
        <v>0</v>
      </c>
      <c t="str" s="348" r="AF159">
        <f>IF(Profile!L187,Y159,NA())</f>
        <v>#N/A:explicit</v>
      </c>
      <c s="348" r="AG159">
        <f>Profile!T187*E$40</f>
        <v>0</v>
      </c>
      <c t="str" s="348" r="AH159">
        <f>IF((AK$15=TRUE),IF(ISNUMBER(Profile!Y187),IF(ISNUMBER(Profile!Y188),(((X159+((F$63/2)*COS(RADIANS(Profile!Y188))))+(X159+((F$63/2)*COS(RADIANS(Profile!Y187)))))/2),(X159+((F$63/2)*COS(RADIANS(Profile!Y187))))),AH158),0)</f>
        <v>#VALUE!:notNumber:For input string: "---"</v>
      </c>
      <c t="str" s="348" r="AI159">
        <f>IF((AK$15=TRUE),IF(ISNUMBER(Profile!Y187),IF(ISNUMBER(Profile!Y188),(((Y159-((F$63/2)*SIN(RADIANS(Profile!Y188))))+(Y159-((F$63/2)*SIN(RADIANS(Profile!Y187)))))/2),(Y159-((F$63/2)*SIN(RADIANS(Profile!Y187))))),AI158),0)</f>
        <v>#VALUE!:notNumber:For input string: "---"</v>
      </c>
      <c t="str" s="348" r="AJ159">
        <f>IF((AK$15=TRUE),IF(ISNUMBER(Profile!Y187),IF(ISNUMBER(Profile!Y188),(((X159-((F$63/2)*COS(RADIANS(Profile!Y188))))+(X159-((F$63/2)*COS(RADIANS(Profile!Y187)))))/2),(X159-((F$63/2)*COS(RADIANS(Profile!Y187))))),AJ158),0)</f>
        <v>#VALUE!:notNumber:For input string: "---"</v>
      </c>
      <c t="str" s="799" r="AK159">
        <f>IF((AK$15=TRUE),IF(ISNUMBER(Profile!Y187),IF(ISNUMBER(Profile!Y188),(((Y159+((F$63/2)*SIN(RADIANS(Profile!Y188))))+(Y159+((F$63/2)*SIN(RADIANS(Profile!Y187)))))/2),(Y159+((F$63/2)*SIN(RADIANS(Profile!Y187))))),AK158),0)</f>
        <v>#VALUE!:notNumber:For input string: "---"</v>
      </c>
      <c s="51" r="AL159"/>
      <c s="125" r="AM159"/>
    </row>
    <row r="160">
      <c s="125" r="A160"/>
      <c s="125" r="B160"/>
      <c s="125" r="C160"/>
      <c s="125" r="D160"/>
      <c s="125" r="E160"/>
      <c s="125" r="F160"/>
      <c s="125" r="G160"/>
      <c s="125" r="H160"/>
      <c s="125" r="I160"/>
      <c s="125" r="J160"/>
      <c s="125" r="K160"/>
      <c s="125" r="L160"/>
      <c s="125" r="M160"/>
      <c s="125" r="N160"/>
      <c s="125" r="O160"/>
      <c s="125" r="P160"/>
      <c s="125" r="Q160"/>
      <c s="125" r="R160"/>
      <c s="125" r="S160"/>
      <c s="822" r="T160"/>
      <c t="str" s="309" r="U160">
        <f>IF((Profile!L188&gt;0),Profile!L188,"")</f>
        <v/>
      </c>
      <c t="str" s="861" r="V160">
        <f>IF((Profile!O188&gt;0),Profile!O188,"---")</f>
        <v>---</v>
      </c>
      <c t="str" s="861" r="W160">
        <f>IF((Profile!Y188=0),IF((Profile!Y187=0),"---",IF((Profile!Y189=0),"---",Profile!Y188)),Profile!Y188)</f>
        <v>---</v>
      </c>
      <c s="239" r="X160">
        <f>AB160+X159</f>
        <v>0</v>
      </c>
      <c s="796" r="Y160">
        <f>AC160+Y159</f>
        <v>0</v>
      </c>
      <c s="702" r="Z160"/>
      <c s="289" r="AA160">
        <f>IF(Profile!Y188,IF((Profile!O188=0),0,(Profile!O188-MAX(Profile!O$44:O187))),0)</f>
        <v>0</v>
      </c>
      <c s="605" r="AB160">
        <f>SIN(RADIANS(Profile!Y188))*AA160</f>
        <v>0</v>
      </c>
      <c s="605" r="AC160">
        <f>COS(RADIANS(Profile!Y188))*AA160</f>
        <v>0</v>
      </c>
      <c s="348" r="AD160">
        <f>IF((AJ$15=TRUE),X160,NA())</f>
        <v>0</v>
      </c>
      <c s="348" r="AE160">
        <f>IF((AJ$15=TRUE),Y160,NA())</f>
        <v>0</v>
      </c>
      <c t="str" s="348" r="AF160">
        <f>IF(Profile!L188,Y160,NA())</f>
        <v>#N/A:explicit</v>
      </c>
      <c s="348" r="AG160">
        <f>Profile!T188*E$40</f>
        <v>0</v>
      </c>
      <c t="str" s="348" r="AH160">
        <f>IF((AK$15=TRUE),IF(ISNUMBER(Profile!Y188),IF(ISNUMBER(Profile!Y189),(((X160+((F$63/2)*COS(RADIANS(Profile!Y189))))+(X160+((F$63/2)*COS(RADIANS(Profile!Y188)))))/2),(X160+((F$63/2)*COS(RADIANS(Profile!Y188))))),AH159),0)</f>
        <v>#VALUE!:notNumber:For input string: "---"</v>
      </c>
      <c t="str" s="348" r="AI160">
        <f>IF((AK$15=TRUE),IF(ISNUMBER(Profile!Y188),IF(ISNUMBER(Profile!Y189),(((Y160-((F$63/2)*SIN(RADIANS(Profile!Y189))))+(Y160-((F$63/2)*SIN(RADIANS(Profile!Y188)))))/2),(Y160-((F$63/2)*SIN(RADIANS(Profile!Y188))))),AI159),0)</f>
        <v>#VALUE!:notNumber:For input string: "---"</v>
      </c>
      <c t="str" s="348" r="AJ160">
        <f>IF((AK$15=TRUE),IF(ISNUMBER(Profile!Y188),IF(ISNUMBER(Profile!Y189),(((X160-((F$63/2)*COS(RADIANS(Profile!Y189))))+(X160-((F$63/2)*COS(RADIANS(Profile!Y188)))))/2),(X160-((F$63/2)*COS(RADIANS(Profile!Y188))))),AJ159),0)</f>
        <v>#VALUE!:notNumber:For input string: "---"</v>
      </c>
      <c t="str" s="799" r="AK160">
        <f>IF((AK$15=TRUE),IF(ISNUMBER(Profile!Y188),IF(ISNUMBER(Profile!Y189),(((Y160+((F$63/2)*SIN(RADIANS(Profile!Y189))))+(Y160+((F$63/2)*SIN(RADIANS(Profile!Y188)))))/2),(Y160+((F$63/2)*SIN(RADIANS(Profile!Y188))))),AK159),0)</f>
        <v>#VALUE!:notNumber:For input string: "---"</v>
      </c>
      <c s="51" r="AL160"/>
      <c s="125" r="AM160"/>
    </row>
    <row r="161">
      <c s="125" r="A161"/>
      <c s="125" r="B161"/>
      <c s="125" r="C161"/>
      <c s="125" r="D161"/>
      <c s="125" r="E161"/>
      <c s="125" r="F161"/>
      <c s="125" r="G161"/>
      <c s="125" r="H161"/>
      <c s="125" r="I161"/>
      <c s="125" r="J161"/>
      <c s="125" r="K161"/>
      <c s="125" r="L161"/>
      <c s="125" r="M161"/>
      <c s="125" r="N161"/>
      <c s="125" r="O161"/>
      <c s="125" r="P161"/>
      <c s="125" r="Q161"/>
      <c s="125" r="R161"/>
      <c s="125" r="S161"/>
      <c s="822" r="T161"/>
      <c t="str" s="309" r="U161">
        <f>IF((Profile!L189&gt;0),Profile!L189,"")</f>
        <v/>
      </c>
      <c t="str" s="861" r="V161">
        <f>IF((Profile!O189&gt;0),Profile!O189,"---")</f>
        <v>---</v>
      </c>
      <c t="str" s="861" r="W161">
        <f>IF((Profile!Y189=0),IF((Profile!Y188=0),"---",IF((Profile!Y190=0),"---",Profile!Y189)),Profile!Y189)</f>
        <v>---</v>
      </c>
      <c s="239" r="X161">
        <f>AB161+X160</f>
        <v>0</v>
      </c>
      <c s="796" r="Y161">
        <f>AC161+Y160</f>
        <v>0</v>
      </c>
      <c s="702" r="Z161"/>
      <c s="289" r="AA161">
        <f>IF(Profile!Y189,IF((Profile!O189=0),0,(Profile!O189-MAX(Profile!O$44:O188))),0)</f>
        <v>0</v>
      </c>
      <c s="605" r="AB161">
        <f>SIN(RADIANS(Profile!Y189))*AA161</f>
        <v>0</v>
      </c>
      <c s="605" r="AC161">
        <f>COS(RADIANS(Profile!Y189))*AA161</f>
        <v>0</v>
      </c>
      <c s="348" r="AD161">
        <f>IF((AJ$15=TRUE),X161,NA())</f>
        <v>0</v>
      </c>
      <c s="348" r="AE161">
        <f>IF((AJ$15=TRUE),Y161,NA())</f>
        <v>0</v>
      </c>
      <c t="str" s="348" r="AF161">
        <f>IF(Profile!L189,Y161,NA())</f>
        <v>#N/A:explicit</v>
      </c>
      <c s="348" r="AG161">
        <f>Profile!T189*E$40</f>
        <v>0</v>
      </c>
      <c t="str" s="348" r="AH161">
        <f>IF((AK$15=TRUE),IF(ISNUMBER(Profile!Y189),IF(ISNUMBER(Profile!Y190),(((X161+((F$63/2)*COS(RADIANS(Profile!Y190))))+(X161+((F$63/2)*COS(RADIANS(Profile!Y189)))))/2),(X161+((F$63/2)*COS(RADIANS(Profile!Y189))))),AH160),0)</f>
        <v>#VALUE!:notNumber:For input string: "---"</v>
      </c>
      <c t="str" s="348" r="AI161">
        <f>IF((AK$15=TRUE),IF(ISNUMBER(Profile!Y189),IF(ISNUMBER(Profile!Y190),(((Y161-((F$63/2)*SIN(RADIANS(Profile!Y190))))+(Y161-((F$63/2)*SIN(RADIANS(Profile!Y189)))))/2),(Y161-((F$63/2)*SIN(RADIANS(Profile!Y189))))),AI160),0)</f>
        <v>#VALUE!:notNumber:For input string: "---"</v>
      </c>
      <c t="str" s="348" r="AJ161">
        <f>IF((AK$15=TRUE),IF(ISNUMBER(Profile!Y189),IF(ISNUMBER(Profile!Y190),(((X161-((F$63/2)*COS(RADIANS(Profile!Y190))))+(X161-((F$63/2)*COS(RADIANS(Profile!Y189)))))/2),(X161-((F$63/2)*COS(RADIANS(Profile!Y189))))),AJ160),0)</f>
        <v>#VALUE!:notNumber:For input string: "---"</v>
      </c>
      <c t="str" s="799" r="AK161">
        <f>IF((AK$15=TRUE),IF(ISNUMBER(Profile!Y189),IF(ISNUMBER(Profile!Y190),(((Y161+((F$63/2)*SIN(RADIANS(Profile!Y190))))+(Y161+((F$63/2)*SIN(RADIANS(Profile!Y189)))))/2),(Y161+((F$63/2)*SIN(RADIANS(Profile!Y189))))),AK160),0)</f>
        <v>#VALUE!:notNumber:For input string: "---"</v>
      </c>
      <c s="51" r="AL161"/>
      <c s="125" r="AM161"/>
    </row>
    <row r="162">
      <c s="125" r="A162"/>
      <c s="125" r="B162"/>
      <c s="125" r="C162"/>
      <c s="125" r="D162"/>
      <c s="125" r="E162"/>
      <c s="125" r="F162"/>
      <c s="125" r="G162"/>
      <c s="125" r="H162"/>
      <c s="125" r="I162"/>
      <c s="125" r="J162"/>
      <c s="125" r="K162"/>
      <c s="125" r="L162"/>
      <c s="125" r="M162"/>
      <c s="125" r="N162"/>
      <c s="125" r="O162"/>
      <c s="125" r="P162"/>
      <c s="125" r="Q162"/>
      <c s="125" r="R162"/>
      <c s="125" r="S162"/>
      <c s="822" r="T162"/>
      <c t="str" s="309" r="U162">
        <f>IF((Profile!L190&gt;0),Profile!L190,"")</f>
        <v/>
      </c>
      <c t="str" s="861" r="V162">
        <f>IF((Profile!O190&gt;0),Profile!O190,"---")</f>
        <v>---</v>
      </c>
      <c t="str" s="861" r="W162">
        <f>IF((Profile!Y190=0),IF((Profile!Y189=0),"---",IF((Profile!Y191=0),"---",Profile!Y190)),Profile!Y190)</f>
        <v>---</v>
      </c>
      <c s="239" r="X162">
        <f>AB162+X161</f>
        <v>0</v>
      </c>
      <c s="796" r="Y162">
        <f>AC162+Y161</f>
        <v>0</v>
      </c>
      <c s="702" r="Z162"/>
      <c s="289" r="AA162">
        <f>IF(Profile!Y190,IF((Profile!O190=0),0,(Profile!O190-MAX(Profile!O$44:O189))),0)</f>
        <v>0</v>
      </c>
      <c s="605" r="AB162">
        <f>SIN(RADIANS(Profile!Y190))*AA162</f>
        <v>0</v>
      </c>
      <c s="605" r="AC162">
        <f>COS(RADIANS(Profile!Y190))*AA162</f>
        <v>0</v>
      </c>
      <c s="348" r="AD162">
        <f>IF((AJ$15=TRUE),X162,NA())</f>
        <v>0</v>
      </c>
      <c s="348" r="AE162">
        <f>IF((AJ$15=TRUE),Y162,NA())</f>
        <v>0</v>
      </c>
      <c t="str" s="348" r="AF162">
        <f>IF(Profile!L190,Y162,NA())</f>
        <v>#N/A:explicit</v>
      </c>
      <c s="348" r="AG162">
        <f>Profile!T190*E$40</f>
        <v>0</v>
      </c>
      <c t="str" s="348" r="AH162">
        <f>IF((AK$15=TRUE),IF(ISNUMBER(Profile!Y190),IF(ISNUMBER(Profile!Y191),(((X162+((F$63/2)*COS(RADIANS(Profile!Y191))))+(X162+((F$63/2)*COS(RADIANS(Profile!Y190)))))/2),(X162+((F$63/2)*COS(RADIANS(Profile!Y190))))),AH161),0)</f>
        <v>#VALUE!:notNumber:For input string: "---"</v>
      </c>
      <c t="str" s="348" r="AI162">
        <f>IF((AK$15=TRUE),IF(ISNUMBER(Profile!Y190),IF(ISNUMBER(Profile!Y191),(((Y162-((F$63/2)*SIN(RADIANS(Profile!Y191))))+(Y162-((F$63/2)*SIN(RADIANS(Profile!Y190)))))/2),(Y162-((F$63/2)*SIN(RADIANS(Profile!Y190))))),AI161),0)</f>
        <v>#VALUE!:notNumber:For input string: "---"</v>
      </c>
      <c t="str" s="348" r="AJ162">
        <f>IF((AK$15=TRUE),IF(ISNUMBER(Profile!Y190),IF(ISNUMBER(Profile!Y191),(((X162-((F$63/2)*COS(RADIANS(Profile!Y191))))+(X162-((F$63/2)*COS(RADIANS(Profile!Y190)))))/2),(X162-((F$63/2)*COS(RADIANS(Profile!Y190))))),AJ161),0)</f>
        <v>#VALUE!:notNumber:For input string: "---"</v>
      </c>
      <c t="str" s="799" r="AK162">
        <f>IF((AK$15=TRUE),IF(ISNUMBER(Profile!Y190),IF(ISNUMBER(Profile!Y191),(((Y162+((F$63/2)*SIN(RADIANS(Profile!Y191))))+(Y162+((F$63/2)*SIN(RADIANS(Profile!Y190)))))/2),(Y162+((F$63/2)*SIN(RADIANS(Profile!Y190))))),AK161),0)</f>
        <v>#VALUE!:notNumber:For input string: "---"</v>
      </c>
      <c s="51" r="AL162"/>
      <c s="125" r="AM162"/>
    </row>
    <row r="163">
      <c s="125" r="A163"/>
      <c s="125" r="B163"/>
      <c s="125" r="C163"/>
      <c s="125" r="D163"/>
      <c s="125" r="E163"/>
      <c s="125" r="F163"/>
      <c s="125" r="G163"/>
      <c s="125" r="H163"/>
      <c s="125" r="I163"/>
      <c s="125" r="J163"/>
      <c s="125" r="K163"/>
      <c s="125" r="L163"/>
      <c s="125" r="M163"/>
      <c s="125" r="N163"/>
      <c s="125" r="O163"/>
      <c s="125" r="P163"/>
      <c s="125" r="Q163"/>
      <c s="125" r="R163"/>
      <c s="125" r="S163"/>
      <c s="822" r="T163"/>
      <c t="str" s="309" r="U163">
        <f>IF((Profile!L191&gt;0),Profile!L191,"")</f>
        <v/>
      </c>
      <c t="str" s="861" r="V163">
        <f>IF((Profile!O191&gt;0),Profile!O191,"---")</f>
        <v>---</v>
      </c>
      <c t="str" s="861" r="W163">
        <f>IF((Profile!Y191=0),IF((Profile!Y190=0),"---",IF((Profile!Y192=0),"---",Profile!Y191)),Profile!Y191)</f>
        <v>---</v>
      </c>
      <c s="239" r="X163">
        <f>AB163+X162</f>
        <v>0</v>
      </c>
      <c s="796" r="Y163">
        <f>AC163+Y162</f>
        <v>0</v>
      </c>
      <c s="702" r="Z163"/>
      <c s="289" r="AA163">
        <f>IF(Profile!Y191,IF((Profile!O191=0),0,(Profile!O191-MAX(Profile!O$44:O190))),0)</f>
        <v>0</v>
      </c>
      <c s="605" r="AB163">
        <f>SIN(RADIANS(Profile!Y191))*AA163</f>
        <v>0</v>
      </c>
      <c s="605" r="AC163">
        <f>COS(RADIANS(Profile!Y191))*AA163</f>
        <v>0</v>
      </c>
      <c s="348" r="AD163">
        <f>IF((AJ$15=TRUE),X163,NA())</f>
        <v>0</v>
      </c>
      <c s="348" r="AE163">
        <f>IF((AJ$15=TRUE),Y163,NA())</f>
        <v>0</v>
      </c>
      <c t="str" s="348" r="AF163">
        <f>IF(Profile!L191,Y163,NA())</f>
        <v>#N/A:explicit</v>
      </c>
      <c s="348" r="AG163">
        <f>Profile!T191*E$40</f>
        <v>0</v>
      </c>
      <c t="str" s="348" r="AH163">
        <f>IF((AK$15=TRUE),IF(ISNUMBER(Profile!Y191),IF(ISNUMBER(Profile!Y192),(((X163+((F$63/2)*COS(RADIANS(Profile!Y192))))+(X163+((F$63/2)*COS(RADIANS(Profile!Y191)))))/2),(X163+((F$63/2)*COS(RADIANS(Profile!Y191))))),AH162),0)</f>
        <v>#VALUE!:notNumber:For input string: "---"</v>
      </c>
      <c t="str" s="348" r="AI163">
        <f>IF((AK$15=TRUE),IF(ISNUMBER(Profile!Y191),IF(ISNUMBER(Profile!Y192),(((Y163-((F$63/2)*SIN(RADIANS(Profile!Y192))))+(Y163-((F$63/2)*SIN(RADIANS(Profile!Y191)))))/2),(Y163-((F$63/2)*SIN(RADIANS(Profile!Y191))))),AI162),0)</f>
        <v>#VALUE!:notNumber:For input string: "---"</v>
      </c>
      <c t="str" s="348" r="AJ163">
        <f>IF((AK$15=TRUE),IF(ISNUMBER(Profile!Y191),IF(ISNUMBER(Profile!Y192),(((X163-((F$63/2)*COS(RADIANS(Profile!Y192))))+(X163-((F$63/2)*COS(RADIANS(Profile!Y191)))))/2),(X163-((F$63/2)*COS(RADIANS(Profile!Y191))))),AJ162),0)</f>
        <v>#VALUE!:notNumber:For input string: "---"</v>
      </c>
      <c t="str" s="799" r="AK163">
        <f>IF((AK$15=TRUE),IF(ISNUMBER(Profile!Y191),IF(ISNUMBER(Profile!Y192),(((Y163+((F$63/2)*SIN(RADIANS(Profile!Y192))))+(Y163+((F$63/2)*SIN(RADIANS(Profile!Y191)))))/2),(Y163+((F$63/2)*SIN(RADIANS(Profile!Y191))))),AK162),0)</f>
        <v>#VALUE!:notNumber:For input string: "---"</v>
      </c>
      <c s="51" r="AL163"/>
      <c s="125" r="AM163"/>
    </row>
    <row r="164">
      <c s="125" r="A164"/>
      <c s="125" r="B164"/>
      <c s="125" r="C164"/>
      <c s="125" r="D164"/>
      <c s="125" r="E164"/>
      <c s="125" r="F164"/>
      <c s="125" r="G164"/>
      <c s="125" r="H164"/>
      <c s="125" r="I164"/>
      <c s="125" r="J164"/>
      <c s="125" r="K164"/>
      <c s="125" r="L164"/>
      <c s="125" r="M164"/>
      <c s="125" r="N164"/>
      <c s="125" r="O164"/>
      <c s="125" r="P164"/>
      <c s="125" r="Q164"/>
      <c s="125" r="R164"/>
      <c s="125" r="S164"/>
      <c s="822" r="T164"/>
      <c t="str" s="309" r="U164">
        <f>IF((Profile!L192&gt;0),Profile!L192,"")</f>
        <v/>
      </c>
      <c t="str" s="861" r="V164">
        <f>IF((Profile!O192&gt;0),Profile!O192,"---")</f>
        <v>---</v>
      </c>
      <c t="str" s="861" r="W164">
        <f>IF((Profile!Y192=0),IF((Profile!Y191=0),"---",IF((Profile!Y193=0),"---",Profile!Y192)),Profile!Y192)</f>
        <v>---</v>
      </c>
      <c s="239" r="X164">
        <f>AB164+X163</f>
        <v>0</v>
      </c>
      <c s="796" r="Y164">
        <f>AC164+Y163</f>
        <v>0</v>
      </c>
      <c s="702" r="Z164"/>
      <c s="289" r="AA164">
        <f>IF(Profile!Y192,IF((Profile!O192=0),0,(Profile!O192-MAX(Profile!O$44:O191))),0)</f>
        <v>0</v>
      </c>
      <c s="605" r="AB164">
        <f>SIN(RADIANS(Profile!Y192))*AA164</f>
        <v>0</v>
      </c>
      <c s="605" r="AC164">
        <f>COS(RADIANS(Profile!Y192))*AA164</f>
        <v>0</v>
      </c>
      <c s="348" r="AD164">
        <f>IF((AJ$15=TRUE),X164,NA())</f>
        <v>0</v>
      </c>
      <c s="348" r="AE164">
        <f>IF((AJ$15=TRUE),Y164,NA())</f>
        <v>0</v>
      </c>
      <c t="str" s="348" r="AF164">
        <f>IF(Profile!L192,Y164,NA())</f>
        <v>#N/A:explicit</v>
      </c>
      <c s="348" r="AG164">
        <f>Profile!T192*E$40</f>
        <v>0</v>
      </c>
      <c t="str" s="348" r="AH164">
        <f>IF((AK$15=TRUE),IF(ISNUMBER(Profile!Y192),IF(ISNUMBER(Profile!Y193),(((X164+((F$63/2)*COS(RADIANS(Profile!Y193))))+(X164+((F$63/2)*COS(RADIANS(Profile!Y192)))))/2),(X164+((F$63/2)*COS(RADIANS(Profile!Y192))))),AH163),0)</f>
        <v>#VALUE!:notNumber:For input string: "---"</v>
      </c>
      <c t="str" s="348" r="AI164">
        <f>IF((AK$15=TRUE),IF(ISNUMBER(Profile!Y192),IF(ISNUMBER(Profile!Y193),(((Y164-((F$63/2)*SIN(RADIANS(Profile!Y193))))+(Y164-((F$63/2)*SIN(RADIANS(Profile!Y192)))))/2),(Y164-((F$63/2)*SIN(RADIANS(Profile!Y192))))),AI163),0)</f>
        <v>#VALUE!:notNumber:For input string: "---"</v>
      </c>
      <c t="str" s="348" r="AJ164">
        <f>IF((AK$15=TRUE),IF(ISNUMBER(Profile!Y192),IF(ISNUMBER(Profile!Y193),(((X164-((F$63/2)*COS(RADIANS(Profile!Y193))))+(X164-((F$63/2)*COS(RADIANS(Profile!Y192)))))/2),(X164-((F$63/2)*COS(RADIANS(Profile!Y192))))),AJ163),0)</f>
        <v>#VALUE!:notNumber:For input string: "---"</v>
      </c>
      <c t="str" s="799" r="AK164">
        <f>IF((AK$15=TRUE),IF(ISNUMBER(Profile!Y192),IF(ISNUMBER(Profile!Y193),(((Y164+((F$63/2)*SIN(RADIANS(Profile!Y193))))+(Y164+((F$63/2)*SIN(RADIANS(Profile!Y192)))))/2),(Y164+((F$63/2)*SIN(RADIANS(Profile!Y192))))),AK163),0)</f>
        <v>#VALUE!:notNumber:For input string: "---"</v>
      </c>
      <c s="51" r="AL164"/>
      <c s="125" r="AM164"/>
    </row>
    <row r="165">
      <c s="125" r="A165"/>
      <c s="125" r="B165"/>
      <c s="125" r="C165"/>
      <c s="125" r="D165"/>
      <c s="125" r="E165"/>
      <c s="125" r="F165"/>
      <c s="125" r="G165"/>
      <c s="125" r="H165"/>
      <c s="125" r="I165"/>
      <c s="125" r="J165"/>
      <c s="125" r="K165"/>
      <c s="125" r="L165"/>
      <c s="125" r="M165"/>
      <c s="125" r="N165"/>
      <c s="125" r="O165"/>
      <c s="125" r="P165"/>
      <c s="125" r="Q165"/>
      <c s="125" r="R165"/>
      <c s="125" r="S165"/>
      <c s="822" r="T165"/>
      <c t="str" s="309" r="U165">
        <f>IF((Profile!L193&gt;0),Profile!L193,"")</f>
        <v/>
      </c>
      <c t="str" s="861" r="V165">
        <f>IF((Profile!O193&gt;0),Profile!O193,"---")</f>
        <v>---</v>
      </c>
      <c t="str" s="861" r="W165">
        <f>IF((Profile!Y193=0),IF((Profile!Y192=0),"---",IF((Profile!Y194=0),"---",Profile!Y193)),Profile!Y193)</f>
        <v>---</v>
      </c>
      <c s="239" r="X165">
        <f>AB165+X164</f>
        <v>0</v>
      </c>
      <c s="796" r="Y165">
        <f>AC165+Y164</f>
        <v>0</v>
      </c>
      <c s="702" r="Z165"/>
      <c s="289" r="AA165">
        <f>IF(Profile!Y193,IF((Profile!O193=0),0,(Profile!O193-MAX(Profile!O$44:O192))),0)</f>
        <v>0</v>
      </c>
      <c s="605" r="AB165">
        <f>SIN(RADIANS(Profile!Y193))*AA165</f>
        <v>0</v>
      </c>
      <c s="605" r="AC165">
        <f>COS(RADIANS(Profile!Y193))*AA165</f>
        <v>0</v>
      </c>
      <c s="348" r="AD165">
        <f>IF((AJ$15=TRUE),X165,NA())</f>
        <v>0</v>
      </c>
      <c s="348" r="AE165">
        <f>IF((AJ$15=TRUE),Y165,NA())</f>
        <v>0</v>
      </c>
      <c t="str" s="348" r="AF165">
        <f>IF(Profile!L193,Y165,NA())</f>
        <v>#N/A:explicit</v>
      </c>
      <c s="348" r="AG165">
        <f>Profile!T193*E$40</f>
        <v>0</v>
      </c>
      <c t="str" s="348" r="AH165">
        <f>IF((AK$15=TRUE),IF(ISNUMBER(Profile!Y193),IF(ISNUMBER(Profile!Y194),(((X165+((F$63/2)*COS(RADIANS(Profile!Y194))))+(X165+((F$63/2)*COS(RADIANS(Profile!Y193)))))/2),(X165+((F$63/2)*COS(RADIANS(Profile!Y193))))),AH164),0)</f>
        <v>#VALUE!:notNumber:For input string: "---"</v>
      </c>
      <c t="str" s="348" r="AI165">
        <f>IF((AK$15=TRUE),IF(ISNUMBER(Profile!Y193),IF(ISNUMBER(Profile!Y194),(((Y165-((F$63/2)*SIN(RADIANS(Profile!Y194))))+(Y165-((F$63/2)*SIN(RADIANS(Profile!Y193)))))/2),(Y165-((F$63/2)*SIN(RADIANS(Profile!Y193))))),AI164),0)</f>
        <v>#VALUE!:notNumber:For input string: "---"</v>
      </c>
      <c t="str" s="348" r="AJ165">
        <f>IF((AK$15=TRUE),IF(ISNUMBER(Profile!Y193),IF(ISNUMBER(Profile!Y194),(((X165-((F$63/2)*COS(RADIANS(Profile!Y194))))+(X165-((F$63/2)*COS(RADIANS(Profile!Y193)))))/2),(X165-((F$63/2)*COS(RADIANS(Profile!Y193))))),AJ164),0)</f>
        <v>#VALUE!:notNumber:For input string: "---"</v>
      </c>
      <c t="str" s="799" r="AK165">
        <f>IF((AK$15=TRUE),IF(ISNUMBER(Profile!Y193),IF(ISNUMBER(Profile!Y194),(((Y165+((F$63/2)*SIN(RADIANS(Profile!Y194))))+(Y165+((F$63/2)*SIN(RADIANS(Profile!Y193)))))/2),(Y165+((F$63/2)*SIN(RADIANS(Profile!Y193))))),AK164),0)</f>
        <v>#VALUE!:notNumber:For input string: "---"</v>
      </c>
      <c s="51" r="AL165"/>
      <c s="125" r="AM165"/>
    </row>
    <row r="166">
      <c s="125" r="A166"/>
      <c s="125" r="B166"/>
      <c s="125" r="C166"/>
      <c s="125" r="D166"/>
      <c s="125" r="E166"/>
      <c s="125" r="F166"/>
      <c s="125" r="G166"/>
      <c s="125" r="H166"/>
      <c s="125" r="I166"/>
      <c s="125" r="J166"/>
      <c s="125" r="K166"/>
      <c s="125" r="L166"/>
      <c s="125" r="M166"/>
      <c s="125" r="N166"/>
      <c s="125" r="O166"/>
      <c s="125" r="P166"/>
      <c s="125" r="Q166"/>
      <c s="125" r="R166"/>
      <c s="125" r="S166"/>
      <c s="822" r="T166"/>
      <c t="str" s="309" r="U166">
        <f>IF((Profile!L194&gt;0),Profile!L194,"")</f>
        <v/>
      </c>
      <c t="str" s="861" r="V166">
        <f>IF((Profile!O194&gt;0),Profile!O194,"---")</f>
        <v>---</v>
      </c>
      <c t="str" s="861" r="W166">
        <f>IF((Profile!Y194=0),IF((Profile!Y193=0),"---",IF((Profile!Y195=0),"---",Profile!Y194)),Profile!Y194)</f>
        <v>---</v>
      </c>
      <c s="239" r="X166">
        <f>AB166+X165</f>
        <v>0</v>
      </c>
      <c s="796" r="Y166">
        <f>AC166+Y165</f>
        <v>0</v>
      </c>
      <c s="702" r="Z166"/>
      <c s="289" r="AA166">
        <f>IF(Profile!Y194,IF((Profile!O194=0),0,(Profile!O194-MAX(Profile!O$44:O193))),0)</f>
        <v>0</v>
      </c>
      <c s="605" r="AB166">
        <f>SIN(RADIANS(Profile!Y194))*AA166</f>
        <v>0</v>
      </c>
      <c s="605" r="AC166">
        <f>COS(RADIANS(Profile!Y194))*AA166</f>
        <v>0</v>
      </c>
      <c s="348" r="AD166">
        <f>IF((AJ$15=TRUE),X166,NA())</f>
        <v>0</v>
      </c>
      <c s="348" r="AE166">
        <f>IF((AJ$15=TRUE),Y166,NA())</f>
        <v>0</v>
      </c>
      <c t="str" s="348" r="AF166">
        <f>IF(Profile!L194,Y166,NA())</f>
        <v>#N/A:explicit</v>
      </c>
      <c s="348" r="AG166">
        <f>Profile!T194*E$40</f>
        <v>0</v>
      </c>
      <c t="str" s="348" r="AH166">
        <f>IF((AK$15=TRUE),IF(ISNUMBER(Profile!Y194),IF(ISNUMBER(Profile!Y195),(((X166+((F$63/2)*COS(RADIANS(Profile!Y195))))+(X166+((F$63/2)*COS(RADIANS(Profile!Y194)))))/2),(X166+((F$63/2)*COS(RADIANS(Profile!Y194))))),AH165),0)</f>
        <v>#VALUE!:notNumber:For input string: "---"</v>
      </c>
      <c t="str" s="348" r="AI166">
        <f>IF((AK$15=TRUE),IF(ISNUMBER(Profile!Y194),IF(ISNUMBER(Profile!Y195),(((Y166-((F$63/2)*SIN(RADIANS(Profile!Y195))))+(Y166-((F$63/2)*SIN(RADIANS(Profile!Y194)))))/2),(Y166-((F$63/2)*SIN(RADIANS(Profile!Y194))))),AI165),0)</f>
        <v>#VALUE!:notNumber:For input string: "---"</v>
      </c>
      <c t="str" s="348" r="AJ166">
        <f>IF((AK$15=TRUE),IF(ISNUMBER(Profile!Y194),IF(ISNUMBER(Profile!Y195),(((X166-((F$63/2)*COS(RADIANS(Profile!Y195))))+(X166-((F$63/2)*COS(RADIANS(Profile!Y194)))))/2),(X166-((F$63/2)*COS(RADIANS(Profile!Y194))))),AJ165),0)</f>
        <v>#VALUE!:notNumber:For input string: "---"</v>
      </c>
      <c t="str" s="799" r="AK166">
        <f>IF((AK$15=TRUE),IF(ISNUMBER(Profile!Y194),IF(ISNUMBER(Profile!Y195),(((Y166+((F$63/2)*SIN(RADIANS(Profile!Y195))))+(Y166+((F$63/2)*SIN(RADIANS(Profile!Y194)))))/2),(Y166+((F$63/2)*SIN(RADIANS(Profile!Y194))))),AK165),0)</f>
        <v>#VALUE!:notNumber:For input string: "---"</v>
      </c>
      <c s="51" r="AL166"/>
      <c s="125" r="AM166"/>
    </row>
    <row r="167">
      <c s="125" r="A167"/>
      <c s="125" r="B167"/>
      <c s="125" r="C167"/>
      <c s="125" r="D167"/>
      <c s="125" r="E167"/>
      <c s="125" r="F167"/>
      <c s="125" r="G167"/>
      <c s="125" r="H167"/>
      <c s="125" r="I167"/>
      <c s="125" r="J167"/>
      <c s="125" r="K167"/>
      <c s="125" r="L167"/>
      <c s="125" r="M167"/>
      <c s="125" r="N167"/>
      <c s="125" r="O167"/>
      <c s="125" r="P167"/>
      <c s="125" r="Q167"/>
      <c s="125" r="R167"/>
      <c s="125" r="S167"/>
      <c s="822" r="T167"/>
      <c t="str" s="309" r="U167">
        <f>IF((Profile!L195&gt;0),Profile!L195,"")</f>
        <v/>
      </c>
      <c t="str" s="861" r="V167">
        <f>IF((Profile!O195&gt;0),Profile!O195,"---")</f>
        <v>---</v>
      </c>
      <c t="str" s="861" r="W167">
        <f>IF((Profile!Y195=0),IF((Profile!Y194=0),"---",IF((Profile!Y196=0),"---",Profile!Y195)),Profile!Y195)</f>
        <v>---</v>
      </c>
      <c s="239" r="X167">
        <f>AB167+X166</f>
        <v>0</v>
      </c>
      <c s="796" r="Y167">
        <f>AC167+Y166</f>
        <v>0</v>
      </c>
      <c s="702" r="Z167"/>
      <c s="289" r="AA167">
        <f>IF(Profile!Y195,IF((Profile!O195=0),0,(Profile!O195-MAX(Profile!O$44:O194))),0)</f>
        <v>0</v>
      </c>
      <c s="605" r="AB167">
        <f>SIN(RADIANS(Profile!Y195))*AA167</f>
        <v>0</v>
      </c>
      <c s="605" r="AC167">
        <f>COS(RADIANS(Profile!Y195))*AA167</f>
        <v>0</v>
      </c>
      <c s="348" r="AD167">
        <f>IF((AJ$15=TRUE),X167,NA())</f>
        <v>0</v>
      </c>
      <c s="348" r="AE167">
        <f>IF((AJ$15=TRUE),Y167,NA())</f>
        <v>0</v>
      </c>
      <c t="str" s="348" r="AF167">
        <f>IF(Profile!L195,Y167,NA())</f>
        <v>#N/A:explicit</v>
      </c>
      <c s="348" r="AG167">
        <f>Profile!T195*E$40</f>
        <v>0</v>
      </c>
      <c t="str" s="348" r="AH167">
        <f>IF((AK$15=TRUE),IF(ISNUMBER(Profile!Y195),IF(ISNUMBER(Profile!Y196),(((X167+((F$63/2)*COS(RADIANS(Profile!Y196))))+(X167+((F$63/2)*COS(RADIANS(Profile!Y195)))))/2),(X167+((F$63/2)*COS(RADIANS(Profile!Y195))))),AH166),0)</f>
        <v>#VALUE!:notNumber:For input string: "---"</v>
      </c>
      <c t="str" s="348" r="AI167">
        <f>IF((AK$15=TRUE),IF(ISNUMBER(Profile!Y195),IF(ISNUMBER(Profile!Y196),(((Y167-((F$63/2)*SIN(RADIANS(Profile!Y196))))+(Y167-((F$63/2)*SIN(RADIANS(Profile!Y195)))))/2),(Y167-((F$63/2)*SIN(RADIANS(Profile!Y195))))),AI166),0)</f>
        <v>#VALUE!:notNumber:For input string: "---"</v>
      </c>
      <c t="str" s="348" r="AJ167">
        <f>IF((AK$15=TRUE),IF(ISNUMBER(Profile!Y195),IF(ISNUMBER(Profile!Y196),(((X167-((F$63/2)*COS(RADIANS(Profile!Y196))))+(X167-((F$63/2)*COS(RADIANS(Profile!Y195)))))/2),(X167-((F$63/2)*COS(RADIANS(Profile!Y195))))),AJ166),0)</f>
        <v>#VALUE!:notNumber:For input string: "---"</v>
      </c>
      <c t="str" s="799" r="AK167">
        <f>IF((AK$15=TRUE),IF(ISNUMBER(Profile!Y195),IF(ISNUMBER(Profile!Y196),(((Y167+((F$63/2)*SIN(RADIANS(Profile!Y196))))+(Y167+((F$63/2)*SIN(RADIANS(Profile!Y195)))))/2),(Y167+((F$63/2)*SIN(RADIANS(Profile!Y195))))),AK166),0)</f>
        <v>#VALUE!:notNumber:For input string: "---"</v>
      </c>
      <c s="51" r="AL167"/>
      <c s="125" r="AM167"/>
    </row>
    <row r="168">
      <c s="125" r="A168"/>
      <c s="125" r="B168"/>
      <c s="125" r="C168"/>
      <c s="125" r="D168"/>
      <c s="125" r="E168"/>
      <c s="125" r="F168"/>
      <c s="125" r="G168"/>
      <c s="125" r="H168"/>
      <c s="125" r="I168"/>
      <c s="125" r="J168"/>
      <c s="125" r="K168"/>
      <c s="125" r="L168"/>
      <c s="125" r="M168"/>
      <c s="125" r="N168"/>
      <c s="125" r="O168"/>
      <c s="125" r="P168"/>
      <c s="125" r="Q168"/>
      <c s="125" r="R168"/>
      <c s="125" r="S168"/>
      <c s="822" r="T168"/>
      <c t="str" s="309" r="U168">
        <f>IF((Profile!L196&gt;0),Profile!L196,"")</f>
        <v/>
      </c>
      <c t="str" s="861" r="V168">
        <f>IF((Profile!O196&gt;0),Profile!O196,"---")</f>
        <v>---</v>
      </c>
      <c t="str" s="861" r="W168">
        <f>IF((Profile!Y196=0),IF((Profile!Y195=0),"---",IF((Profile!Y197=0),"---",Profile!Y196)),Profile!Y196)</f>
        <v>---</v>
      </c>
      <c s="239" r="X168">
        <f>AB168+X167</f>
        <v>0</v>
      </c>
      <c s="796" r="Y168">
        <f>AC168+Y167</f>
        <v>0</v>
      </c>
      <c s="702" r="Z168"/>
      <c s="289" r="AA168">
        <f>IF(Profile!Y196,IF((Profile!O196=0),0,(Profile!O196-MAX(Profile!O$44:O195))),0)</f>
        <v>0</v>
      </c>
      <c s="605" r="AB168">
        <f>SIN(RADIANS(Profile!Y196))*AA168</f>
        <v>0</v>
      </c>
      <c s="605" r="AC168">
        <f>COS(RADIANS(Profile!Y196))*AA168</f>
        <v>0</v>
      </c>
      <c s="348" r="AD168">
        <f>IF((AJ$15=TRUE),X168,NA())</f>
        <v>0</v>
      </c>
      <c s="348" r="AE168">
        <f>IF((AJ$15=TRUE),Y168,NA())</f>
        <v>0</v>
      </c>
      <c t="str" s="348" r="AF168">
        <f>IF(Profile!L196,Y168,NA())</f>
        <v>#N/A:explicit</v>
      </c>
      <c s="348" r="AG168">
        <f>Profile!T196*E$40</f>
        <v>0</v>
      </c>
      <c t="str" s="348" r="AH168">
        <f>IF((AK$15=TRUE),IF(ISNUMBER(Profile!Y196),IF(ISNUMBER(Profile!Y197),(((X168+((F$63/2)*COS(RADIANS(Profile!Y197))))+(X168+((F$63/2)*COS(RADIANS(Profile!Y196)))))/2),(X168+((F$63/2)*COS(RADIANS(Profile!Y196))))),AH167),0)</f>
        <v>#VALUE!:notNumber:For input string: "---"</v>
      </c>
      <c t="str" s="348" r="AI168">
        <f>IF((AK$15=TRUE),IF(ISNUMBER(Profile!Y196),IF(ISNUMBER(Profile!Y197),(((Y168-((F$63/2)*SIN(RADIANS(Profile!Y197))))+(Y168-((F$63/2)*SIN(RADIANS(Profile!Y196)))))/2),(Y168-((F$63/2)*SIN(RADIANS(Profile!Y196))))),AI167),0)</f>
        <v>#VALUE!:notNumber:For input string: "---"</v>
      </c>
      <c t="str" s="348" r="AJ168">
        <f>IF((AK$15=TRUE),IF(ISNUMBER(Profile!Y196),IF(ISNUMBER(Profile!Y197),(((X168-((F$63/2)*COS(RADIANS(Profile!Y197))))+(X168-((F$63/2)*COS(RADIANS(Profile!Y196)))))/2),(X168-((F$63/2)*COS(RADIANS(Profile!Y196))))),AJ167),0)</f>
        <v>#VALUE!:notNumber:For input string: "---"</v>
      </c>
      <c t="str" s="799" r="AK168">
        <f>IF((AK$15=TRUE),IF(ISNUMBER(Profile!Y196),IF(ISNUMBER(Profile!Y197),(((Y168+((F$63/2)*SIN(RADIANS(Profile!Y197))))+(Y168+((F$63/2)*SIN(RADIANS(Profile!Y196)))))/2),(Y168+((F$63/2)*SIN(RADIANS(Profile!Y196))))),AK167),0)</f>
        <v>#VALUE!:notNumber:For input string: "---"</v>
      </c>
      <c s="51" r="AL168"/>
      <c s="125" r="AM168"/>
    </row>
    <row r="169">
      <c s="125" r="A169"/>
      <c s="125" r="B169"/>
      <c s="125" r="C169"/>
      <c s="125" r="D169"/>
      <c s="125" r="E169"/>
      <c s="125" r="F169"/>
      <c s="125" r="G169"/>
      <c s="125" r="H169"/>
      <c s="125" r="I169"/>
      <c s="125" r="J169"/>
      <c s="125" r="K169"/>
      <c s="125" r="L169"/>
      <c s="125" r="M169"/>
      <c s="125" r="N169"/>
      <c s="125" r="O169"/>
      <c s="125" r="P169"/>
      <c s="125" r="Q169"/>
      <c s="125" r="R169"/>
      <c s="125" r="S169"/>
      <c s="822" r="T169"/>
      <c t="str" s="309" r="U169">
        <f>IF((Profile!L197&gt;0),Profile!L197,"")</f>
        <v/>
      </c>
      <c t="str" s="861" r="V169">
        <f>IF((Profile!O197&gt;0),Profile!O197,"---")</f>
        <v>---</v>
      </c>
      <c t="str" s="861" r="W169">
        <f>IF((Profile!Y197=0),IF((Profile!Y196=0),"---",IF((Profile!Y198=0),"---",Profile!Y197)),Profile!Y197)</f>
        <v>---</v>
      </c>
      <c s="239" r="X169">
        <f>AB169+X168</f>
        <v>0</v>
      </c>
      <c s="796" r="Y169">
        <f>AC169+Y168</f>
        <v>0</v>
      </c>
      <c s="702" r="Z169"/>
      <c s="289" r="AA169">
        <f>IF(Profile!Y197,IF((Profile!O197=0),0,(Profile!O197-MAX(Profile!O$44:O196))),0)</f>
        <v>0</v>
      </c>
      <c s="605" r="AB169">
        <f>SIN(RADIANS(Profile!Y197))*AA169</f>
        <v>0</v>
      </c>
      <c s="605" r="AC169">
        <f>COS(RADIANS(Profile!Y197))*AA169</f>
        <v>0</v>
      </c>
      <c s="348" r="AD169">
        <f>IF((AJ$15=TRUE),X169,NA())</f>
        <v>0</v>
      </c>
      <c s="348" r="AE169">
        <f>IF((AJ$15=TRUE),Y169,NA())</f>
        <v>0</v>
      </c>
      <c t="str" s="348" r="AF169">
        <f>IF(Profile!L197,Y169,NA())</f>
        <v>#N/A:explicit</v>
      </c>
      <c s="348" r="AG169">
        <f>Profile!T197*E$40</f>
        <v>0</v>
      </c>
      <c t="str" s="348" r="AH169">
        <f>IF((AK$15=TRUE),IF(ISNUMBER(Profile!Y197),IF(ISNUMBER(Profile!Y198),(((X169+((F$63/2)*COS(RADIANS(Profile!Y198))))+(X169+((F$63/2)*COS(RADIANS(Profile!Y197)))))/2),(X169+((F$63/2)*COS(RADIANS(Profile!Y197))))),AH168),0)</f>
        <v>#VALUE!:notNumber:For input string: "---"</v>
      </c>
      <c t="str" s="348" r="AI169">
        <f>IF((AK$15=TRUE),IF(ISNUMBER(Profile!Y197),IF(ISNUMBER(Profile!Y198),(((Y169-((F$63/2)*SIN(RADIANS(Profile!Y198))))+(Y169-((F$63/2)*SIN(RADIANS(Profile!Y197)))))/2),(Y169-((F$63/2)*SIN(RADIANS(Profile!Y197))))),AI168),0)</f>
        <v>#VALUE!:notNumber:For input string: "---"</v>
      </c>
      <c t="str" s="348" r="AJ169">
        <f>IF((AK$15=TRUE),IF(ISNUMBER(Profile!Y197),IF(ISNUMBER(Profile!Y198),(((X169-((F$63/2)*COS(RADIANS(Profile!Y198))))+(X169-((F$63/2)*COS(RADIANS(Profile!Y197)))))/2),(X169-((F$63/2)*COS(RADIANS(Profile!Y197))))),AJ168),0)</f>
        <v>#VALUE!:notNumber:For input string: "---"</v>
      </c>
      <c t="str" s="799" r="AK169">
        <f>IF((AK$15=TRUE),IF(ISNUMBER(Profile!Y197),IF(ISNUMBER(Profile!Y198),(((Y169+((F$63/2)*SIN(RADIANS(Profile!Y198))))+(Y169+((F$63/2)*SIN(RADIANS(Profile!Y197)))))/2),(Y169+((F$63/2)*SIN(RADIANS(Profile!Y197))))),AK168),0)</f>
        <v>#VALUE!:notNumber:For input string: "---"</v>
      </c>
      <c s="51" r="AL169"/>
      <c s="125" r="AM169"/>
    </row>
    <row r="170">
      <c s="125" r="A170"/>
      <c s="125" r="B170"/>
      <c s="125" r="C170"/>
      <c s="125" r="D170"/>
      <c s="125" r="E170"/>
      <c s="125" r="F170"/>
      <c s="125" r="G170"/>
      <c s="125" r="H170"/>
      <c s="125" r="I170"/>
      <c s="125" r="J170"/>
      <c s="125" r="K170"/>
      <c s="125" r="L170"/>
      <c s="125" r="M170"/>
      <c s="125" r="N170"/>
      <c s="125" r="O170"/>
      <c s="125" r="P170"/>
      <c s="125" r="Q170"/>
      <c s="125" r="R170"/>
      <c s="125" r="S170"/>
      <c s="822" r="T170"/>
      <c t="str" s="309" r="U170">
        <f>IF((Profile!L198&gt;0),Profile!L198,"")</f>
        <v/>
      </c>
      <c t="str" s="861" r="V170">
        <f>IF((Profile!O198&gt;0),Profile!O198,"---")</f>
        <v>---</v>
      </c>
      <c t="str" s="861" r="W170">
        <f>IF((Profile!Y198=0),IF((Profile!Y197=0),"---",IF((Profile!Y199=0),"---",Profile!Y198)),Profile!Y198)</f>
        <v>---</v>
      </c>
      <c s="239" r="X170">
        <f>AB170+X169</f>
        <v>0</v>
      </c>
      <c s="796" r="Y170">
        <f>AC170+Y169</f>
        <v>0</v>
      </c>
      <c s="702" r="Z170"/>
      <c s="289" r="AA170">
        <f>IF(Profile!Y198,IF((Profile!O198=0),0,(Profile!O198-MAX(Profile!O$44:O197))),0)</f>
        <v>0</v>
      </c>
      <c s="605" r="AB170">
        <f>SIN(RADIANS(Profile!Y198))*AA170</f>
        <v>0</v>
      </c>
      <c s="605" r="AC170">
        <f>COS(RADIANS(Profile!Y198))*AA170</f>
        <v>0</v>
      </c>
      <c s="348" r="AD170">
        <f>IF((AJ$15=TRUE),X170,NA())</f>
        <v>0</v>
      </c>
      <c s="348" r="AE170">
        <f>IF((AJ$15=TRUE),Y170,NA())</f>
        <v>0</v>
      </c>
      <c t="str" s="348" r="AF170">
        <f>IF(Profile!L198,Y170,NA())</f>
        <v>#N/A:explicit</v>
      </c>
      <c s="348" r="AG170">
        <f>Profile!T198*E$40</f>
        <v>0</v>
      </c>
      <c t="str" s="348" r="AH170">
        <f>IF((AK$15=TRUE),IF(ISNUMBER(Profile!Y198),IF(ISNUMBER(Profile!Y199),(((X170+((F$63/2)*COS(RADIANS(Profile!Y199))))+(X170+((F$63/2)*COS(RADIANS(Profile!Y198)))))/2),(X170+((F$63/2)*COS(RADIANS(Profile!Y198))))),AH169),0)</f>
        <v>#VALUE!:notNumber:For input string: "---"</v>
      </c>
      <c t="str" s="348" r="AI170">
        <f>IF((AK$15=TRUE),IF(ISNUMBER(Profile!Y198),IF(ISNUMBER(Profile!Y199),(((Y170-((F$63/2)*SIN(RADIANS(Profile!Y199))))+(Y170-((F$63/2)*SIN(RADIANS(Profile!Y198)))))/2),(Y170-((F$63/2)*SIN(RADIANS(Profile!Y198))))),AI169),0)</f>
        <v>#VALUE!:notNumber:For input string: "---"</v>
      </c>
      <c t="str" s="348" r="AJ170">
        <f>IF((AK$15=TRUE),IF(ISNUMBER(Profile!Y198),IF(ISNUMBER(Profile!Y199),(((X170-((F$63/2)*COS(RADIANS(Profile!Y199))))+(X170-((F$63/2)*COS(RADIANS(Profile!Y198)))))/2),(X170-((F$63/2)*COS(RADIANS(Profile!Y198))))),AJ169),0)</f>
        <v>#VALUE!:notNumber:For input string: "---"</v>
      </c>
      <c t="str" s="799" r="AK170">
        <f>IF((AK$15=TRUE),IF(ISNUMBER(Profile!Y198),IF(ISNUMBER(Profile!Y199),(((Y170+((F$63/2)*SIN(RADIANS(Profile!Y199))))+(Y170+((F$63/2)*SIN(RADIANS(Profile!Y198)))))/2),(Y170+((F$63/2)*SIN(RADIANS(Profile!Y198))))),AK169),0)</f>
        <v>#VALUE!:notNumber:For input string: "---"</v>
      </c>
      <c s="51" r="AL170"/>
      <c s="125" r="AM170"/>
    </row>
    <row r="171">
      <c s="125" r="A171"/>
      <c s="125" r="B171"/>
      <c s="125" r="C171"/>
      <c s="125" r="D171"/>
      <c s="125" r="E171"/>
      <c s="125" r="F171"/>
      <c s="125" r="G171"/>
      <c s="125" r="H171"/>
      <c s="125" r="I171"/>
      <c s="125" r="J171"/>
      <c s="125" r="K171"/>
      <c s="125" r="L171"/>
      <c s="125" r="M171"/>
      <c s="125" r="N171"/>
      <c s="125" r="O171"/>
      <c s="125" r="P171"/>
      <c s="125" r="Q171"/>
      <c s="125" r="R171"/>
      <c s="125" r="S171"/>
      <c s="822" r="T171"/>
      <c t="str" s="309" r="U171">
        <f>IF((Profile!L199&gt;0),Profile!L199,"")</f>
        <v/>
      </c>
      <c t="str" s="861" r="V171">
        <f>IF((Profile!O199&gt;0),Profile!O199,"---")</f>
        <v>---</v>
      </c>
      <c t="str" s="861" r="W171">
        <f>IF((Profile!Y199=0),IF((Profile!Y198=0),"---",IF((Profile!Y200=0),"---",Profile!Y199)),Profile!Y199)</f>
        <v>---</v>
      </c>
      <c s="239" r="X171">
        <f>AB171+X170</f>
        <v>0</v>
      </c>
      <c s="796" r="Y171">
        <f>AC171+Y170</f>
        <v>0</v>
      </c>
      <c s="702" r="Z171"/>
      <c s="289" r="AA171">
        <f>IF(Profile!Y199,IF((Profile!O199=0),0,(Profile!O199-MAX(Profile!O$44:O198))),0)</f>
        <v>0</v>
      </c>
      <c s="605" r="AB171">
        <f>SIN(RADIANS(Profile!Y199))*AA171</f>
        <v>0</v>
      </c>
      <c s="605" r="AC171">
        <f>COS(RADIANS(Profile!Y199))*AA171</f>
        <v>0</v>
      </c>
      <c s="348" r="AD171">
        <f>IF((AJ$15=TRUE),X171,NA())</f>
        <v>0</v>
      </c>
      <c s="348" r="AE171">
        <f>IF((AJ$15=TRUE),Y171,NA())</f>
        <v>0</v>
      </c>
      <c t="str" s="348" r="AF171">
        <f>IF(Profile!L199,Y171,NA())</f>
        <v>#N/A:explicit</v>
      </c>
      <c s="348" r="AG171">
        <f>Profile!T199*E$40</f>
        <v>0</v>
      </c>
      <c t="str" s="348" r="AH171">
        <f>IF((AK$15=TRUE),IF(ISNUMBER(Profile!Y199),IF(ISNUMBER(Profile!Y200),(((X171+((F$63/2)*COS(RADIANS(Profile!Y200))))+(X171+((F$63/2)*COS(RADIANS(Profile!Y199)))))/2),(X171+((F$63/2)*COS(RADIANS(Profile!Y199))))),AH170),0)</f>
        <v>#VALUE!:notNumber:For input string: "---"</v>
      </c>
      <c t="str" s="348" r="AI171">
        <f>IF((AK$15=TRUE),IF(ISNUMBER(Profile!Y199),IF(ISNUMBER(Profile!Y200),(((Y171-((F$63/2)*SIN(RADIANS(Profile!Y200))))+(Y171-((F$63/2)*SIN(RADIANS(Profile!Y199)))))/2),(Y171-((F$63/2)*SIN(RADIANS(Profile!Y199))))),AI170),0)</f>
        <v>#VALUE!:notNumber:For input string: "---"</v>
      </c>
      <c t="str" s="348" r="AJ171">
        <f>IF((AK$15=TRUE),IF(ISNUMBER(Profile!Y199),IF(ISNUMBER(Profile!Y200),(((X171-((F$63/2)*COS(RADIANS(Profile!Y200))))+(X171-((F$63/2)*COS(RADIANS(Profile!Y199)))))/2),(X171-((F$63/2)*COS(RADIANS(Profile!Y199))))),AJ170),0)</f>
        <v>#VALUE!:notNumber:For input string: "---"</v>
      </c>
      <c t="str" s="799" r="AK171">
        <f>IF((AK$15=TRUE),IF(ISNUMBER(Profile!Y199),IF(ISNUMBER(Profile!Y200),(((Y171+((F$63/2)*SIN(RADIANS(Profile!Y200))))+(Y171+((F$63/2)*SIN(RADIANS(Profile!Y199)))))/2),(Y171+((F$63/2)*SIN(RADIANS(Profile!Y199))))),AK170),0)</f>
        <v>#VALUE!:notNumber:For input string: "---"</v>
      </c>
      <c s="51" r="AL171"/>
      <c s="125" r="AM171"/>
    </row>
    <row r="172">
      <c s="125" r="A172"/>
      <c s="125" r="B172"/>
      <c s="125" r="C172"/>
      <c s="125" r="D172"/>
      <c s="125" r="E172"/>
      <c s="125" r="F172"/>
      <c s="125" r="G172"/>
      <c s="125" r="H172"/>
      <c s="125" r="I172"/>
      <c s="125" r="J172"/>
      <c s="125" r="K172"/>
      <c s="125" r="L172"/>
      <c s="125" r="M172"/>
      <c s="125" r="N172"/>
      <c s="125" r="O172"/>
      <c s="125" r="P172"/>
      <c s="125" r="Q172"/>
      <c s="125" r="R172"/>
      <c s="125" r="S172"/>
      <c s="822" r="T172"/>
      <c t="str" s="309" r="U172">
        <f>IF((Profile!L200&gt;0),Profile!L200,"")</f>
        <v/>
      </c>
      <c t="str" s="861" r="V172">
        <f>IF((Profile!O200&gt;0),Profile!O200,"---")</f>
        <v>---</v>
      </c>
      <c t="str" s="861" r="W172">
        <f>IF((Profile!Y200=0),IF((Profile!Y199=0),"---",IF((Profile!Y201=0),"---",Profile!Y200)),Profile!Y200)</f>
        <v>---</v>
      </c>
      <c s="239" r="X172">
        <f>AB172+X171</f>
        <v>0</v>
      </c>
      <c s="796" r="Y172">
        <f>AC172+Y171</f>
        <v>0</v>
      </c>
      <c s="702" r="Z172"/>
      <c s="289" r="AA172">
        <f>IF(Profile!Y200,IF((Profile!O200=0),0,(Profile!O200-MAX(Profile!O$44:O199))),0)</f>
        <v>0</v>
      </c>
      <c s="605" r="AB172">
        <f>SIN(RADIANS(Profile!Y200))*AA172</f>
        <v>0</v>
      </c>
      <c s="605" r="AC172">
        <f>COS(RADIANS(Profile!Y200))*AA172</f>
        <v>0</v>
      </c>
      <c s="348" r="AD172">
        <f>IF((AJ$15=TRUE),X172,NA())</f>
        <v>0</v>
      </c>
      <c s="348" r="AE172">
        <f>IF((AJ$15=TRUE),Y172,NA())</f>
        <v>0</v>
      </c>
      <c t="str" s="348" r="AF172">
        <f>IF(Profile!L200,Y172,NA())</f>
        <v>#N/A:explicit</v>
      </c>
      <c s="348" r="AG172">
        <f>Profile!T200*E$40</f>
        <v>0</v>
      </c>
      <c t="str" s="348" r="AH172">
        <f>IF((AK$15=TRUE),IF(ISNUMBER(Profile!Y200),IF(ISNUMBER(Profile!Y201),(((X172+((F$63/2)*COS(RADIANS(Profile!Y201))))+(X172+((F$63/2)*COS(RADIANS(Profile!Y200)))))/2),(X172+((F$63/2)*COS(RADIANS(Profile!Y200))))),AH171),0)</f>
        <v>#VALUE!:notNumber:For input string: "---"</v>
      </c>
      <c t="str" s="348" r="AI172">
        <f>IF((AK$15=TRUE),IF(ISNUMBER(Profile!Y200),IF(ISNUMBER(Profile!Y201),(((Y172-((F$63/2)*SIN(RADIANS(Profile!Y201))))+(Y172-((F$63/2)*SIN(RADIANS(Profile!Y200)))))/2),(Y172-((F$63/2)*SIN(RADIANS(Profile!Y200))))),AI171),0)</f>
        <v>#VALUE!:notNumber:For input string: "---"</v>
      </c>
      <c t="str" s="348" r="AJ172">
        <f>IF((AK$15=TRUE),IF(ISNUMBER(Profile!Y200),IF(ISNUMBER(Profile!Y201),(((X172-((F$63/2)*COS(RADIANS(Profile!Y201))))+(X172-((F$63/2)*COS(RADIANS(Profile!Y200)))))/2),(X172-((F$63/2)*COS(RADIANS(Profile!Y200))))),AJ171),0)</f>
        <v>#VALUE!:notNumber:For input string: "---"</v>
      </c>
      <c t="str" s="799" r="AK172">
        <f>IF((AK$15=TRUE),IF(ISNUMBER(Profile!Y200),IF(ISNUMBER(Profile!Y201),(((Y172+((F$63/2)*SIN(RADIANS(Profile!Y201))))+(Y172+((F$63/2)*SIN(RADIANS(Profile!Y200)))))/2),(Y172+((F$63/2)*SIN(RADIANS(Profile!Y200))))),AK171),0)</f>
        <v>#VALUE!:notNumber:For input string: "---"</v>
      </c>
      <c s="51" r="AL172"/>
      <c s="125" r="AM172"/>
    </row>
    <row r="173">
      <c s="125" r="A173"/>
      <c s="125" r="B173"/>
      <c s="125" r="C173"/>
      <c s="125" r="D173"/>
      <c s="125" r="E173"/>
      <c s="125" r="F173"/>
      <c s="125" r="G173"/>
      <c s="125" r="H173"/>
      <c s="125" r="I173"/>
      <c s="125" r="J173"/>
      <c s="125" r="K173"/>
      <c s="125" r="L173"/>
      <c s="125" r="M173"/>
      <c s="125" r="N173"/>
      <c s="125" r="O173"/>
      <c s="125" r="P173"/>
      <c s="125" r="Q173"/>
      <c s="125" r="R173"/>
      <c s="125" r="S173"/>
      <c s="822" r="T173"/>
      <c t="str" s="309" r="U173">
        <f>IF((Profile!L201&gt;0),Profile!L201,"")</f>
        <v/>
      </c>
      <c t="str" s="861" r="V173">
        <f>IF((Profile!O201&gt;0),Profile!O201,"---")</f>
        <v>---</v>
      </c>
      <c t="str" s="861" r="W173">
        <f>IF((Profile!Y201=0),IF((Profile!Y200=0),"---",IF((Profile!Y202=0),"---",Profile!Y201)),Profile!Y201)</f>
        <v>---</v>
      </c>
      <c s="239" r="X173">
        <f>AB173+X172</f>
        <v>0</v>
      </c>
      <c s="796" r="Y173">
        <f>AC173+Y172</f>
        <v>0</v>
      </c>
      <c s="702" r="Z173"/>
      <c s="289" r="AA173">
        <f>IF(Profile!Y201,IF((Profile!O201=0),0,(Profile!O201-MAX(Profile!O$44:O200))),0)</f>
        <v>0</v>
      </c>
      <c s="605" r="AB173">
        <f>SIN(RADIANS(Profile!Y201))*AA173</f>
        <v>0</v>
      </c>
      <c s="605" r="AC173">
        <f>COS(RADIANS(Profile!Y201))*AA173</f>
        <v>0</v>
      </c>
      <c s="348" r="AD173">
        <f>IF((AJ$15=TRUE),X173,NA())</f>
        <v>0</v>
      </c>
      <c s="348" r="AE173">
        <f>IF((AJ$15=TRUE),Y173,NA())</f>
        <v>0</v>
      </c>
      <c t="str" s="348" r="AF173">
        <f>IF(Profile!L201,Y173,NA())</f>
        <v>#N/A:explicit</v>
      </c>
      <c s="348" r="AG173">
        <f>Profile!T201*E$40</f>
        <v>0</v>
      </c>
      <c t="str" s="348" r="AH173">
        <f>IF((AK$15=TRUE),IF(ISNUMBER(Profile!Y201),IF(ISNUMBER(Profile!Y202),(((X173+((F$63/2)*COS(RADIANS(Profile!Y202))))+(X173+((F$63/2)*COS(RADIANS(Profile!Y201)))))/2),(X173+((F$63/2)*COS(RADIANS(Profile!Y201))))),AH172),0)</f>
        <v>#VALUE!:notNumber:For input string: "---"</v>
      </c>
      <c t="str" s="348" r="AI173">
        <f>IF((AK$15=TRUE),IF(ISNUMBER(Profile!Y201),IF(ISNUMBER(Profile!Y202),(((Y173-((F$63/2)*SIN(RADIANS(Profile!Y202))))+(Y173-((F$63/2)*SIN(RADIANS(Profile!Y201)))))/2),(Y173-((F$63/2)*SIN(RADIANS(Profile!Y201))))),AI172),0)</f>
        <v>#VALUE!:notNumber:For input string: "---"</v>
      </c>
      <c t="str" s="348" r="AJ173">
        <f>IF((AK$15=TRUE),IF(ISNUMBER(Profile!Y201),IF(ISNUMBER(Profile!Y202),(((X173-((F$63/2)*COS(RADIANS(Profile!Y202))))+(X173-((F$63/2)*COS(RADIANS(Profile!Y201)))))/2),(X173-((F$63/2)*COS(RADIANS(Profile!Y201))))),AJ172),0)</f>
        <v>#VALUE!:notNumber:For input string: "---"</v>
      </c>
      <c t="str" s="799" r="AK173">
        <f>IF((AK$15=TRUE),IF(ISNUMBER(Profile!Y201),IF(ISNUMBER(Profile!Y202),(((Y173+((F$63/2)*SIN(RADIANS(Profile!Y202))))+(Y173+((F$63/2)*SIN(RADIANS(Profile!Y201)))))/2),(Y173+((F$63/2)*SIN(RADIANS(Profile!Y201))))),AK172),0)</f>
        <v>#VALUE!:notNumber:For input string: "---"</v>
      </c>
      <c s="51" r="AL173"/>
      <c s="125" r="AM173"/>
    </row>
    <row r="174">
      <c s="125" r="A174"/>
      <c s="125" r="B174"/>
      <c s="125" r="C174"/>
      <c s="125" r="D174"/>
      <c s="125" r="E174"/>
      <c s="125" r="F174"/>
      <c s="125" r="G174"/>
      <c s="125" r="H174"/>
      <c s="125" r="I174"/>
      <c s="125" r="J174"/>
      <c s="125" r="K174"/>
      <c s="125" r="L174"/>
      <c s="125" r="M174"/>
      <c s="125" r="N174"/>
      <c s="125" r="O174"/>
      <c s="125" r="P174"/>
      <c s="125" r="Q174"/>
      <c s="125" r="R174"/>
      <c s="125" r="S174"/>
      <c s="822" r="T174"/>
      <c t="str" s="309" r="U174">
        <f>IF((Profile!L202&gt;0),Profile!L202,"")</f>
        <v/>
      </c>
      <c t="str" s="861" r="V174">
        <f>IF((Profile!O202&gt;0),Profile!O202,"---")</f>
        <v>---</v>
      </c>
      <c t="str" s="861" r="W174">
        <f>IF((Profile!Y202=0),IF((Profile!Y201=0),"---",IF((Profile!Y203=0),"---",Profile!Y202)),Profile!Y202)</f>
        <v>---</v>
      </c>
      <c s="239" r="X174">
        <f>AB174+X173</f>
        <v>0</v>
      </c>
      <c s="796" r="Y174">
        <f>AC174+Y173</f>
        <v>0</v>
      </c>
      <c s="702" r="Z174"/>
      <c s="289" r="AA174">
        <f>IF(Profile!Y202,IF((Profile!O202=0),0,(Profile!O202-MAX(Profile!O$44:O201))),0)</f>
        <v>0</v>
      </c>
      <c s="605" r="AB174">
        <f>SIN(RADIANS(Profile!Y202))*AA174</f>
        <v>0</v>
      </c>
      <c s="605" r="AC174">
        <f>COS(RADIANS(Profile!Y202))*AA174</f>
        <v>0</v>
      </c>
      <c s="348" r="AD174">
        <f>IF((AJ$15=TRUE),X174,NA())</f>
        <v>0</v>
      </c>
      <c s="348" r="AE174">
        <f>IF((AJ$15=TRUE),Y174,NA())</f>
        <v>0</v>
      </c>
      <c t="str" s="348" r="AF174">
        <f>IF(Profile!L202,Y174,NA())</f>
        <v>#N/A:explicit</v>
      </c>
      <c s="348" r="AG174">
        <f>Profile!T202*E$40</f>
        <v>0</v>
      </c>
      <c t="str" s="348" r="AH174">
        <f>IF((AK$15=TRUE),IF(ISNUMBER(Profile!Y202),IF(ISNUMBER(Profile!Y203),(((X174+((F$63/2)*COS(RADIANS(Profile!Y203))))+(X174+((F$63/2)*COS(RADIANS(Profile!Y202)))))/2),(X174+((F$63/2)*COS(RADIANS(Profile!Y202))))),AH173),0)</f>
        <v>#VALUE!:notNumber:For input string: "---"</v>
      </c>
      <c t="str" s="348" r="AI174">
        <f>IF((AK$15=TRUE),IF(ISNUMBER(Profile!Y202),IF(ISNUMBER(Profile!Y203),(((Y174-((F$63/2)*SIN(RADIANS(Profile!Y203))))+(Y174-((F$63/2)*SIN(RADIANS(Profile!Y202)))))/2),(Y174-((F$63/2)*SIN(RADIANS(Profile!Y202))))),AI173),0)</f>
        <v>#VALUE!:notNumber:For input string: "---"</v>
      </c>
      <c t="str" s="348" r="AJ174">
        <f>IF((AK$15=TRUE),IF(ISNUMBER(Profile!Y202),IF(ISNUMBER(Profile!Y203),(((X174-((F$63/2)*COS(RADIANS(Profile!Y203))))+(X174-((F$63/2)*COS(RADIANS(Profile!Y202)))))/2),(X174-((F$63/2)*COS(RADIANS(Profile!Y202))))),AJ173),0)</f>
        <v>#VALUE!:notNumber:For input string: "---"</v>
      </c>
      <c t="str" s="799" r="AK174">
        <f>IF((AK$15=TRUE),IF(ISNUMBER(Profile!Y202),IF(ISNUMBER(Profile!Y203),(((Y174+((F$63/2)*SIN(RADIANS(Profile!Y203))))+(Y174+((F$63/2)*SIN(RADIANS(Profile!Y202)))))/2),(Y174+((F$63/2)*SIN(RADIANS(Profile!Y202))))),AK173),0)</f>
        <v>#VALUE!:notNumber:For input string: "---"</v>
      </c>
      <c s="51" r="AL174"/>
      <c s="125" r="AM174"/>
    </row>
    <row r="175">
      <c s="125" r="A175"/>
      <c s="125" r="B175"/>
      <c s="125" r="C175"/>
      <c s="125" r="D175"/>
      <c s="125" r="E175"/>
      <c s="125" r="F175"/>
      <c s="125" r="G175"/>
      <c s="125" r="H175"/>
      <c s="125" r="I175"/>
      <c s="125" r="J175"/>
      <c s="125" r="K175"/>
      <c s="125" r="L175"/>
      <c s="125" r="M175"/>
      <c s="125" r="N175"/>
      <c s="125" r="O175"/>
      <c s="125" r="P175"/>
      <c s="125" r="Q175"/>
      <c s="125" r="R175"/>
      <c s="125" r="S175"/>
      <c s="822" r="T175"/>
      <c t="str" s="309" r="U175">
        <f>IF((Profile!L203&gt;0),Profile!L203,"")</f>
        <v/>
      </c>
      <c t="str" s="861" r="V175">
        <f>IF((Profile!O203&gt;0),Profile!O203,"---")</f>
        <v>---</v>
      </c>
      <c t="str" s="861" r="W175">
        <f>IF((Profile!Y203=0),IF((Profile!Y202=0),"---",IF((Profile!Y204=0),"---",Profile!Y203)),Profile!Y203)</f>
        <v>---</v>
      </c>
      <c s="239" r="X175">
        <f>AB175+X174</f>
        <v>0</v>
      </c>
      <c s="796" r="Y175">
        <f>AC175+Y174</f>
        <v>0</v>
      </c>
      <c s="702" r="Z175"/>
      <c s="289" r="AA175">
        <f>IF(Profile!Y203,IF((Profile!O203=0),0,(Profile!O203-MAX(Profile!O$44:O202))),0)</f>
        <v>0</v>
      </c>
      <c s="605" r="AB175">
        <f>SIN(RADIANS(Profile!Y203))*AA175</f>
        <v>0</v>
      </c>
      <c s="605" r="AC175">
        <f>COS(RADIANS(Profile!Y203))*AA175</f>
        <v>0</v>
      </c>
      <c s="348" r="AD175">
        <f>IF((AJ$15=TRUE),X175,NA())</f>
        <v>0</v>
      </c>
      <c s="348" r="AE175">
        <f>IF((AJ$15=TRUE),Y175,NA())</f>
        <v>0</v>
      </c>
      <c t="str" s="348" r="AF175">
        <f>IF(Profile!L203,Y175,NA())</f>
        <v>#N/A:explicit</v>
      </c>
      <c s="348" r="AG175">
        <f>Profile!T203*E$40</f>
        <v>0</v>
      </c>
      <c t="str" s="348" r="AH175">
        <f>IF((AK$15=TRUE),IF(ISNUMBER(Profile!Y203),IF(ISNUMBER(Profile!Y204),(((X175+((F$63/2)*COS(RADIANS(Profile!Y204))))+(X175+((F$63/2)*COS(RADIANS(Profile!Y203)))))/2),(X175+((F$63/2)*COS(RADIANS(Profile!Y203))))),AH174),0)</f>
        <v>#VALUE!:notNumber:For input string: "---"</v>
      </c>
      <c t="str" s="348" r="AI175">
        <f>IF((AK$15=TRUE),IF(ISNUMBER(Profile!Y203),IF(ISNUMBER(Profile!Y204),(((Y175-((F$63/2)*SIN(RADIANS(Profile!Y204))))+(Y175-((F$63/2)*SIN(RADIANS(Profile!Y203)))))/2),(Y175-((F$63/2)*SIN(RADIANS(Profile!Y203))))),AI174),0)</f>
        <v>#VALUE!:notNumber:For input string: "---"</v>
      </c>
      <c t="str" s="348" r="AJ175">
        <f>IF((AK$15=TRUE),IF(ISNUMBER(Profile!Y203),IF(ISNUMBER(Profile!Y204),(((X175-((F$63/2)*COS(RADIANS(Profile!Y204))))+(X175-((F$63/2)*COS(RADIANS(Profile!Y203)))))/2),(X175-((F$63/2)*COS(RADIANS(Profile!Y203))))),AJ174),0)</f>
        <v>#VALUE!:notNumber:For input string: "---"</v>
      </c>
      <c t="str" s="799" r="AK175">
        <f>IF((AK$15=TRUE),IF(ISNUMBER(Profile!Y203),IF(ISNUMBER(Profile!Y204),(((Y175+((F$63/2)*SIN(RADIANS(Profile!Y204))))+(Y175+((F$63/2)*SIN(RADIANS(Profile!Y203)))))/2),(Y175+((F$63/2)*SIN(RADIANS(Profile!Y203))))),AK174),0)</f>
        <v>#VALUE!:notNumber:For input string: "---"</v>
      </c>
      <c s="51" r="AL175"/>
      <c s="125" r="AM175"/>
    </row>
    <row r="176">
      <c s="125" r="A176"/>
      <c s="125" r="B176"/>
      <c s="125" r="C176"/>
      <c s="125" r="D176"/>
      <c s="125" r="E176"/>
      <c s="125" r="F176"/>
      <c s="125" r="G176"/>
      <c s="125" r="H176"/>
      <c s="125" r="I176"/>
      <c s="125" r="J176"/>
      <c s="125" r="K176"/>
      <c s="125" r="L176"/>
      <c s="125" r="M176"/>
      <c s="125" r="N176"/>
      <c s="125" r="O176"/>
      <c s="125" r="P176"/>
      <c s="125" r="Q176"/>
      <c s="125" r="R176"/>
      <c s="125" r="S176"/>
      <c s="822" r="T176"/>
      <c t="str" s="309" r="U176">
        <f>IF((Profile!L204&gt;0),Profile!L204,"")</f>
        <v/>
      </c>
      <c t="str" s="861" r="V176">
        <f>IF((Profile!O204&gt;0),Profile!O204,"---")</f>
        <v>---</v>
      </c>
      <c t="str" s="861" r="W176">
        <f>IF((Profile!Y204=0),IF((Profile!Y203=0),"---",IF((Profile!Y205=0),"---",Profile!Y204)),Profile!Y204)</f>
        <v>---</v>
      </c>
      <c s="239" r="X176">
        <f>AB176+X175</f>
        <v>0</v>
      </c>
      <c s="796" r="Y176">
        <f>AC176+Y175</f>
        <v>0</v>
      </c>
      <c s="702" r="Z176"/>
      <c s="289" r="AA176">
        <f>IF(Profile!Y204,IF((Profile!O204=0),0,(Profile!O204-MAX(Profile!O$44:O203))),0)</f>
        <v>0</v>
      </c>
      <c s="605" r="AB176">
        <f>SIN(RADIANS(Profile!Y204))*AA176</f>
        <v>0</v>
      </c>
      <c s="605" r="AC176">
        <f>COS(RADIANS(Profile!Y204))*AA176</f>
        <v>0</v>
      </c>
      <c s="348" r="AD176">
        <f>IF((AJ$15=TRUE),X176,NA())</f>
        <v>0</v>
      </c>
      <c s="348" r="AE176">
        <f>IF((AJ$15=TRUE),Y176,NA())</f>
        <v>0</v>
      </c>
      <c t="str" s="348" r="AF176">
        <f>IF(Profile!L204,Y176,NA())</f>
        <v>#N/A:explicit</v>
      </c>
      <c s="348" r="AG176">
        <f>Profile!T204*E$40</f>
        <v>0</v>
      </c>
      <c t="str" s="348" r="AH176">
        <f>IF((AK$15=TRUE),IF(ISNUMBER(Profile!Y204),IF(ISNUMBER(Profile!Y205),(((X176+((F$63/2)*COS(RADIANS(Profile!Y205))))+(X176+((F$63/2)*COS(RADIANS(Profile!Y204)))))/2),(X176+((F$63/2)*COS(RADIANS(Profile!Y204))))),AH175),0)</f>
        <v>#VALUE!:notNumber:For input string: "---"</v>
      </c>
      <c t="str" s="348" r="AI176">
        <f>IF((AK$15=TRUE),IF(ISNUMBER(Profile!Y204),IF(ISNUMBER(Profile!Y205),(((Y176-((F$63/2)*SIN(RADIANS(Profile!Y205))))+(Y176-((F$63/2)*SIN(RADIANS(Profile!Y204)))))/2),(Y176-((F$63/2)*SIN(RADIANS(Profile!Y204))))),AI175),0)</f>
        <v>#VALUE!:notNumber:For input string: "---"</v>
      </c>
      <c t="str" s="348" r="AJ176">
        <f>IF((AK$15=TRUE),IF(ISNUMBER(Profile!Y204),IF(ISNUMBER(Profile!Y205),(((X176-((F$63/2)*COS(RADIANS(Profile!Y205))))+(X176-((F$63/2)*COS(RADIANS(Profile!Y204)))))/2),(X176-((F$63/2)*COS(RADIANS(Profile!Y204))))),AJ175),0)</f>
        <v>#VALUE!:notNumber:For input string: "---"</v>
      </c>
      <c t="str" s="799" r="AK176">
        <f>IF((AK$15=TRUE),IF(ISNUMBER(Profile!Y204),IF(ISNUMBER(Profile!Y205),(((Y176+((F$63/2)*SIN(RADIANS(Profile!Y205))))+(Y176+((F$63/2)*SIN(RADIANS(Profile!Y204)))))/2),(Y176+((F$63/2)*SIN(RADIANS(Profile!Y204))))),AK175),0)</f>
        <v>#VALUE!:notNumber:For input string: "---"</v>
      </c>
      <c s="51" r="AL176"/>
      <c s="125" r="AM176"/>
    </row>
    <row r="177">
      <c s="125" r="A177"/>
      <c s="125" r="B177"/>
      <c s="125" r="C177"/>
      <c s="125" r="D177"/>
      <c s="125" r="E177"/>
      <c s="125" r="F177"/>
      <c s="125" r="G177"/>
      <c s="125" r="H177"/>
      <c s="125" r="I177"/>
      <c s="125" r="J177"/>
      <c s="125" r="K177"/>
      <c s="125" r="L177"/>
      <c s="125" r="M177"/>
      <c s="125" r="N177"/>
      <c s="125" r="O177"/>
      <c s="125" r="P177"/>
      <c s="125" r="Q177"/>
      <c s="125" r="R177"/>
      <c s="125" r="S177"/>
      <c s="822" r="T177"/>
      <c t="str" s="309" r="U177">
        <f>IF((Profile!L205&gt;0),Profile!L205,"")</f>
        <v/>
      </c>
      <c t="str" s="861" r="V177">
        <f>IF((Profile!O205&gt;0),Profile!O205,"---")</f>
        <v>---</v>
      </c>
      <c t="str" s="861" r="W177">
        <f>IF((Profile!Y205=0),IF((Profile!Y204=0),"---",IF((Profile!Y206=0),"---",Profile!Y205)),Profile!Y205)</f>
        <v>---</v>
      </c>
      <c s="239" r="X177">
        <f>AB177+X176</f>
        <v>0</v>
      </c>
      <c s="796" r="Y177">
        <f>AC177+Y176</f>
        <v>0</v>
      </c>
      <c s="702" r="Z177"/>
      <c s="289" r="AA177">
        <f>IF(Profile!Y205,IF((Profile!O205=0),0,(Profile!O205-MAX(Profile!O$44:O204))),0)</f>
        <v>0</v>
      </c>
      <c s="605" r="AB177">
        <f>SIN(RADIANS(Profile!Y205))*AA177</f>
        <v>0</v>
      </c>
      <c s="605" r="AC177">
        <f>COS(RADIANS(Profile!Y205))*AA177</f>
        <v>0</v>
      </c>
      <c s="348" r="AD177">
        <f>IF((AJ$15=TRUE),X177,NA())</f>
        <v>0</v>
      </c>
      <c s="348" r="AE177">
        <f>IF((AJ$15=TRUE),Y177,NA())</f>
        <v>0</v>
      </c>
      <c t="str" s="348" r="AF177">
        <f>IF(Profile!L205,Y177,NA())</f>
        <v>#N/A:explicit</v>
      </c>
      <c s="348" r="AG177">
        <f>Profile!T205*E$40</f>
        <v>0</v>
      </c>
      <c t="str" s="348" r="AH177">
        <f>IF((AK$15=TRUE),IF(ISNUMBER(Profile!Y205),IF(ISNUMBER(Profile!Y206),(((X177+((F$63/2)*COS(RADIANS(Profile!Y206))))+(X177+((F$63/2)*COS(RADIANS(Profile!Y205)))))/2),(X177+((F$63/2)*COS(RADIANS(Profile!Y205))))),AH176),0)</f>
        <v>#VALUE!:notNumber:For input string: "---"</v>
      </c>
      <c t="str" s="348" r="AI177">
        <f>IF((AK$15=TRUE),IF(ISNUMBER(Profile!Y205),IF(ISNUMBER(Profile!Y206),(((Y177-((F$63/2)*SIN(RADIANS(Profile!Y206))))+(Y177-((F$63/2)*SIN(RADIANS(Profile!Y205)))))/2),(Y177-((F$63/2)*SIN(RADIANS(Profile!Y205))))),AI176),0)</f>
        <v>#VALUE!:notNumber:For input string: "---"</v>
      </c>
      <c t="str" s="348" r="AJ177">
        <f>IF((AK$15=TRUE),IF(ISNUMBER(Profile!Y205),IF(ISNUMBER(Profile!Y206),(((X177-((F$63/2)*COS(RADIANS(Profile!Y206))))+(X177-((F$63/2)*COS(RADIANS(Profile!Y205)))))/2),(X177-((F$63/2)*COS(RADIANS(Profile!Y205))))),AJ176),0)</f>
        <v>#VALUE!:notNumber:For input string: "---"</v>
      </c>
      <c t="str" s="799" r="AK177">
        <f>IF((AK$15=TRUE),IF(ISNUMBER(Profile!Y205),IF(ISNUMBER(Profile!Y206),(((Y177+((F$63/2)*SIN(RADIANS(Profile!Y206))))+(Y177+((F$63/2)*SIN(RADIANS(Profile!Y205)))))/2),(Y177+((F$63/2)*SIN(RADIANS(Profile!Y205))))),AK176),0)</f>
        <v>#VALUE!:notNumber:For input string: "---"</v>
      </c>
      <c s="51" r="AL177"/>
      <c s="125" r="AM177"/>
    </row>
    <row r="178">
      <c s="125" r="A178"/>
      <c s="125" r="B178"/>
      <c s="125" r="C178"/>
      <c s="125" r="D178"/>
      <c s="125" r="E178"/>
      <c s="125" r="F178"/>
      <c s="125" r="G178"/>
      <c s="125" r="H178"/>
      <c s="125" r="I178"/>
      <c s="125" r="J178"/>
      <c s="125" r="K178"/>
      <c s="125" r="L178"/>
      <c s="125" r="M178"/>
      <c s="125" r="N178"/>
      <c s="125" r="O178"/>
      <c s="125" r="P178"/>
      <c s="125" r="Q178"/>
      <c s="125" r="R178"/>
      <c s="125" r="S178"/>
      <c s="822" r="T178"/>
      <c t="str" s="309" r="U178">
        <f>IF((Profile!L206&gt;0),Profile!L206,"")</f>
        <v/>
      </c>
      <c t="str" s="861" r="V178">
        <f>IF((Profile!O206&gt;0),Profile!O206,"---")</f>
        <v>---</v>
      </c>
      <c t="str" s="861" r="W178">
        <f>IF((Profile!Y206=0),IF((Profile!Y205=0),"---",IF((Profile!Y207=0),"---",Profile!Y206)),Profile!Y206)</f>
        <v>---</v>
      </c>
      <c s="239" r="X178">
        <f>AB178+X177</f>
        <v>0</v>
      </c>
      <c s="796" r="Y178">
        <f>AC178+Y177</f>
        <v>0</v>
      </c>
      <c s="702" r="Z178"/>
      <c s="289" r="AA178">
        <f>IF(Profile!Y206,IF((Profile!O206=0),0,(Profile!O206-MAX(Profile!O$44:O205))),0)</f>
        <v>0</v>
      </c>
      <c s="605" r="AB178">
        <f>SIN(RADIANS(Profile!Y206))*AA178</f>
        <v>0</v>
      </c>
      <c s="605" r="AC178">
        <f>COS(RADIANS(Profile!Y206))*AA178</f>
        <v>0</v>
      </c>
      <c s="348" r="AD178">
        <f>IF((AJ$15=TRUE),X178,NA())</f>
        <v>0</v>
      </c>
      <c s="348" r="AE178">
        <f>IF((AJ$15=TRUE),Y178,NA())</f>
        <v>0</v>
      </c>
      <c t="str" s="348" r="AF178">
        <f>IF(Profile!L206,Y178,NA())</f>
        <v>#N/A:explicit</v>
      </c>
      <c s="348" r="AG178">
        <f>Profile!T206*E$40</f>
        <v>0</v>
      </c>
      <c t="str" s="348" r="AH178">
        <f>IF((AK$15=TRUE),IF(ISNUMBER(Profile!Y206),IF(ISNUMBER(Profile!Y207),(((X178+((F$63/2)*COS(RADIANS(Profile!Y207))))+(X178+((F$63/2)*COS(RADIANS(Profile!Y206)))))/2),(X178+((F$63/2)*COS(RADIANS(Profile!Y206))))),AH177),0)</f>
        <v>#VALUE!:notNumber:For input string: "---"</v>
      </c>
      <c t="str" s="348" r="AI178">
        <f>IF((AK$15=TRUE),IF(ISNUMBER(Profile!Y206),IF(ISNUMBER(Profile!Y207),(((Y178-((F$63/2)*SIN(RADIANS(Profile!Y207))))+(Y178-((F$63/2)*SIN(RADIANS(Profile!Y206)))))/2),(Y178-((F$63/2)*SIN(RADIANS(Profile!Y206))))),AI177),0)</f>
        <v>#VALUE!:notNumber:For input string: "---"</v>
      </c>
      <c t="str" s="348" r="AJ178">
        <f>IF((AK$15=TRUE),IF(ISNUMBER(Profile!Y206),IF(ISNUMBER(Profile!Y207),(((X178-((F$63/2)*COS(RADIANS(Profile!Y207))))+(X178-((F$63/2)*COS(RADIANS(Profile!Y206)))))/2),(X178-((F$63/2)*COS(RADIANS(Profile!Y206))))),AJ177),0)</f>
        <v>#VALUE!:notNumber:For input string: "---"</v>
      </c>
      <c t="str" s="799" r="AK178">
        <f>IF((AK$15=TRUE),IF(ISNUMBER(Profile!Y206),IF(ISNUMBER(Profile!Y207),(((Y178+((F$63/2)*SIN(RADIANS(Profile!Y207))))+(Y178+((F$63/2)*SIN(RADIANS(Profile!Y206)))))/2),(Y178+((F$63/2)*SIN(RADIANS(Profile!Y206))))),AK177),0)</f>
        <v>#VALUE!:notNumber:For input string: "---"</v>
      </c>
      <c s="51" r="AL178"/>
      <c s="125" r="AM178"/>
    </row>
    <row r="179">
      <c s="125" r="A179"/>
      <c s="125" r="B179"/>
      <c s="125" r="C179"/>
      <c s="125" r="D179"/>
      <c s="125" r="E179"/>
      <c s="125" r="F179"/>
      <c s="125" r="G179"/>
      <c s="125" r="H179"/>
      <c s="125" r="I179"/>
      <c s="125" r="J179"/>
      <c s="125" r="K179"/>
      <c s="125" r="L179"/>
      <c s="125" r="M179"/>
      <c s="125" r="N179"/>
      <c s="125" r="O179"/>
      <c s="125" r="P179"/>
      <c s="125" r="Q179"/>
      <c s="125" r="R179"/>
      <c s="125" r="S179"/>
      <c s="822" r="T179"/>
      <c t="str" s="309" r="U179">
        <f>IF((Profile!L207&gt;0),Profile!L207,"")</f>
        <v/>
      </c>
      <c t="str" s="861" r="V179">
        <f>IF((Profile!O207&gt;0),Profile!O207,"---")</f>
        <v>---</v>
      </c>
      <c t="str" s="861" r="W179">
        <f>IF((Profile!Y207=0),IF((Profile!Y206=0),"---",IF((Profile!Y208=0),"---",Profile!Y207)),Profile!Y207)</f>
        <v>---</v>
      </c>
      <c s="239" r="X179">
        <f>AB179+X178</f>
        <v>0</v>
      </c>
      <c s="796" r="Y179">
        <f>AC179+Y178</f>
        <v>0</v>
      </c>
      <c s="702" r="Z179"/>
      <c s="289" r="AA179">
        <f>IF(Profile!Y207,IF((Profile!O207=0),0,(Profile!O207-MAX(Profile!O$44:O206))),0)</f>
        <v>0</v>
      </c>
      <c s="605" r="AB179">
        <f>SIN(RADIANS(Profile!Y207))*AA179</f>
        <v>0</v>
      </c>
      <c s="605" r="AC179">
        <f>COS(RADIANS(Profile!Y207))*AA179</f>
        <v>0</v>
      </c>
      <c s="348" r="AD179">
        <f>IF((AJ$15=TRUE),X179,NA())</f>
        <v>0</v>
      </c>
      <c s="348" r="AE179">
        <f>IF((AJ$15=TRUE),Y179,NA())</f>
        <v>0</v>
      </c>
      <c t="str" s="348" r="AF179">
        <f>IF(Profile!L207,Y179,NA())</f>
        <v>#N/A:explicit</v>
      </c>
      <c s="348" r="AG179">
        <f>Profile!T207*E$40</f>
        <v>0</v>
      </c>
      <c t="str" s="348" r="AH179">
        <f>IF((AK$15=TRUE),IF(ISNUMBER(Profile!Y207),IF(ISNUMBER(Profile!Y208),(((X179+((F$63/2)*COS(RADIANS(Profile!Y208))))+(X179+((F$63/2)*COS(RADIANS(Profile!Y207)))))/2),(X179+((F$63/2)*COS(RADIANS(Profile!Y207))))),AH178),0)</f>
        <v>#VALUE!:notNumber:For input string: "---"</v>
      </c>
      <c t="str" s="348" r="AI179">
        <f>IF((AK$15=TRUE),IF(ISNUMBER(Profile!Y207),IF(ISNUMBER(Profile!Y208),(((Y179-((F$63/2)*SIN(RADIANS(Profile!Y208))))+(Y179-((F$63/2)*SIN(RADIANS(Profile!Y207)))))/2),(Y179-((F$63/2)*SIN(RADIANS(Profile!Y207))))),AI178),0)</f>
        <v>#VALUE!:notNumber:For input string: "---"</v>
      </c>
      <c t="str" s="348" r="AJ179">
        <f>IF((AK$15=TRUE),IF(ISNUMBER(Profile!Y207),IF(ISNUMBER(Profile!Y208),(((X179-((F$63/2)*COS(RADIANS(Profile!Y208))))+(X179-((F$63/2)*COS(RADIANS(Profile!Y207)))))/2),(X179-((F$63/2)*COS(RADIANS(Profile!Y207))))),AJ178),0)</f>
        <v>#VALUE!:notNumber:For input string: "---"</v>
      </c>
      <c t="str" s="799" r="AK179">
        <f>IF((AK$15=TRUE),IF(ISNUMBER(Profile!Y207),IF(ISNUMBER(Profile!Y208),(((Y179+((F$63/2)*SIN(RADIANS(Profile!Y208))))+(Y179+((F$63/2)*SIN(RADIANS(Profile!Y207)))))/2),(Y179+((F$63/2)*SIN(RADIANS(Profile!Y207))))),AK178),0)</f>
        <v>#VALUE!:notNumber:For input string: "---"</v>
      </c>
      <c s="51" r="AL179"/>
      <c s="125" r="AM179"/>
    </row>
    <row r="180">
      <c s="125" r="A180"/>
      <c s="125" r="B180"/>
      <c s="125" r="C180"/>
      <c s="125" r="D180"/>
      <c s="125" r="E180"/>
      <c s="125" r="F180"/>
      <c s="125" r="G180"/>
      <c s="125" r="H180"/>
      <c s="125" r="I180"/>
      <c s="125" r="J180"/>
      <c s="125" r="K180"/>
      <c s="125" r="L180"/>
      <c s="125" r="M180"/>
      <c s="125" r="N180"/>
      <c s="125" r="O180"/>
      <c s="125" r="P180"/>
      <c s="125" r="Q180"/>
      <c s="125" r="R180"/>
      <c s="125" r="S180"/>
      <c s="822" r="T180"/>
      <c t="str" s="309" r="U180">
        <f>IF((Profile!L208&gt;0),Profile!L208,"")</f>
        <v/>
      </c>
      <c t="str" s="861" r="V180">
        <f>IF((Profile!O208&gt;0),Profile!O208,"---")</f>
        <v>---</v>
      </c>
      <c t="str" s="861" r="W180">
        <f>IF((Profile!Y208=0),IF((Profile!Y207=0),"---",IF((Profile!Y209=0),"---",Profile!Y208)),Profile!Y208)</f>
        <v>---</v>
      </c>
      <c s="239" r="X180">
        <f>AB180+X179</f>
        <v>0</v>
      </c>
      <c s="796" r="Y180">
        <f>AC180+Y179</f>
        <v>0</v>
      </c>
      <c s="702" r="Z180"/>
      <c s="289" r="AA180">
        <f>IF(Profile!Y208,IF((Profile!O208=0),0,(Profile!O208-MAX(Profile!O$44:O207))),0)</f>
        <v>0</v>
      </c>
      <c s="605" r="AB180">
        <f>SIN(RADIANS(Profile!Y208))*AA180</f>
        <v>0</v>
      </c>
      <c s="605" r="AC180">
        <f>COS(RADIANS(Profile!Y208))*AA180</f>
        <v>0</v>
      </c>
      <c s="348" r="AD180">
        <f>IF((AJ$15=TRUE),X180,NA())</f>
        <v>0</v>
      </c>
      <c s="348" r="AE180">
        <f>IF((AJ$15=TRUE),Y180,NA())</f>
        <v>0</v>
      </c>
      <c t="str" s="348" r="AF180">
        <f>IF(Profile!L208,Y180,NA())</f>
        <v>#N/A:explicit</v>
      </c>
      <c s="348" r="AG180">
        <f>Profile!T208*E$40</f>
        <v>0</v>
      </c>
      <c t="str" s="348" r="AH180">
        <f>IF((AK$15=TRUE),IF(ISNUMBER(Profile!Y208),IF(ISNUMBER(Profile!Y209),(((X180+((F$63/2)*COS(RADIANS(Profile!Y209))))+(X180+((F$63/2)*COS(RADIANS(Profile!Y208)))))/2),(X180+((F$63/2)*COS(RADIANS(Profile!Y208))))),AH179),0)</f>
        <v>#VALUE!:notNumber:For input string: "---"</v>
      </c>
      <c t="str" s="348" r="AI180">
        <f>IF((AK$15=TRUE),IF(ISNUMBER(Profile!Y208),IF(ISNUMBER(Profile!Y209),(((Y180-((F$63/2)*SIN(RADIANS(Profile!Y209))))+(Y180-((F$63/2)*SIN(RADIANS(Profile!Y208)))))/2),(Y180-((F$63/2)*SIN(RADIANS(Profile!Y208))))),AI179),0)</f>
        <v>#VALUE!:notNumber:For input string: "---"</v>
      </c>
      <c t="str" s="348" r="AJ180">
        <f>IF((AK$15=TRUE),IF(ISNUMBER(Profile!Y208),IF(ISNUMBER(Profile!Y209),(((X180-((F$63/2)*COS(RADIANS(Profile!Y209))))+(X180-((F$63/2)*COS(RADIANS(Profile!Y208)))))/2),(X180-((F$63/2)*COS(RADIANS(Profile!Y208))))),AJ179),0)</f>
        <v>#VALUE!:notNumber:For input string: "---"</v>
      </c>
      <c t="str" s="799" r="AK180">
        <f>IF((AK$15=TRUE),IF(ISNUMBER(Profile!Y208),IF(ISNUMBER(Profile!Y209),(((Y180+((F$63/2)*SIN(RADIANS(Profile!Y209))))+(Y180+((F$63/2)*SIN(RADIANS(Profile!Y208)))))/2),(Y180+((F$63/2)*SIN(RADIANS(Profile!Y208))))),AK179),0)</f>
        <v>#VALUE!:notNumber:For input string: "---"</v>
      </c>
      <c s="51" r="AL180"/>
      <c s="125" r="AM180"/>
    </row>
    <row r="181">
      <c s="125" r="A181"/>
      <c s="125" r="B181"/>
      <c s="125" r="C181"/>
      <c s="125" r="D181"/>
      <c s="125" r="E181"/>
      <c s="125" r="F181"/>
      <c s="125" r="G181"/>
      <c s="125" r="H181"/>
      <c s="125" r="I181"/>
      <c s="125" r="J181"/>
      <c s="125" r="K181"/>
      <c s="125" r="L181"/>
      <c s="125" r="M181"/>
      <c s="125" r="N181"/>
      <c s="125" r="O181"/>
      <c s="125" r="P181"/>
      <c s="125" r="Q181"/>
      <c s="125" r="R181"/>
      <c s="125" r="S181"/>
      <c s="822" r="T181"/>
      <c t="str" s="309" r="U181">
        <f>IF((Profile!L209&gt;0),Profile!L209,"")</f>
        <v/>
      </c>
      <c t="str" s="861" r="V181">
        <f>IF((Profile!O209&gt;0),Profile!O209,"---")</f>
        <v>---</v>
      </c>
      <c t="str" s="861" r="W181">
        <f>IF((Profile!Y209=0),IF((Profile!Y208=0),"---",IF((Profile!Y210=0),"---",Profile!Y209)),Profile!Y209)</f>
        <v>---</v>
      </c>
      <c s="239" r="X181">
        <f>AB181+X180</f>
        <v>0</v>
      </c>
      <c s="796" r="Y181">
        <f>AC181+Y180</f>
        <v>0</v>
      </c>
      <c s="702" r="Z181"/>
      <c s="289" r="AA181">
        <f>IF(Profile!Y209,IF((Profile!O209=0),0,(Profile!O209-MAX(Profile!O$44:O208))),0)</f>
        <v>0</v>
      </c>
      <c s="605" r="AB181">
        <f>SIN(RADIANS(Profile!Y209))*AA181</f>
        <v>0</v>
      </c>
      <c s="605" r="AC181">
        <f>COS(RADIANS(Profile!Y209))*AA181</f>
        <v>0</v>
      </c>
      <c s="348" r="AD181">
        <f>IF((AJ$15=TRUE),X181,NA())</f>
        <v>0</v>
      </c>
      <c s="348" r="AE181">
        <f>IF((AJ$15=TRUE),Y181,NA())</f>
        <v>0</v>
      </c>
      <c t="str" s="348" r="AF181">
        <f>IF(Profile!L209,Y181,NA())</f>
        <v>#N/A:explicit</v>
      </c>
      <c s="348" r="AG181">
        <f>Profile!T209*E$40</f>
        <v>0</v>
      </c>
      <c t="str" s="348" r="AH181">
        <f>IF((AK$15=TRUE),IF(ISNUMBER(Profile!Y209),IF(ISNUMBER(Profile!Y210),(((X181+((F$63/2)*COS(RADIANS(Profile!Y210))))+(X181+((F$63/2)*COS(RADIANS(Profile!Y209)))))/2),(X181+((F$63/2)*COS(RADIANS(Profile!Y209))))),AH180),0)</f>
        <v>#VALUE!:notNumber:For input string: "---"</v>
      </c>
      <c t="str" s="348" r="AI181">
        <f>IF((AK$15=TRUE),IF(ISNUMBER(Profile!Y209),IF(ISNUMBER(Profile!Y210),(((Y181-((F$63/2)*SIN(RADIANS(Profile!Y210))))+(Y181-((F$63/2)*SIN(RADIANS(Profile!Y209)))))/2),(Y181-((F$63/2)*SIN(RADIANS(Profile!Y209))))),AI180),0)</f>
        <v>#VALUE!:notNumber:For input string: "---"</v>
      </c>
      <c t="str" s="348" r="AJ181">
        <f>IF((AK$15=TRUE),IF(ISNUMBER(Profile!Y209),IF(ISNUMBER(Profile!Y210),(((X181-((F$63/2)*COS(RADIANS(Profile!Y210))))+(X181-((F$63/2)*COS(RADIANS(Profile!Y209)))))/2),(X181-((F$63/2)*COS(RADIANS(Profile!Y209))))),AJ180),0)</f>
        <v>#VALUE!:notNumber:For input string: "---"</v>
      </c>
      <c t="str" s="799" r="AK181">
        <f>IF((AK$15=TRUE),IF(ISNUMBER(Profile!Y209),IF(ISNUMBER(Profile!Y210),(((Y181+((F$63/2)*SIN(RADIANS(Profile!Y210))))+(Y181+((F$63/2)*SIN(RADIANS(Profile!Y209)))))/2),(Y181+((F$63/2)*SIN(RADIANS(Profile!Y209))))),AK180),0)</f>
        <v>#VALUE!:notNumber:For input string: "---"</v>
      </c>
      <c s="51" r="AL181"/>
      <c s="125" r="AM181"/>
    </row>
    <row r="182">
      <c s="125" r="A182"/>
      <c s="125" r="B182"/>
      <c s="125" r="C182"/>
      <c s="125" r="D182"/>
      <c s="125" r="E182"/>
      <c s="125" r="F182"/>
      <c s="125" r="G182"/>
      <c s="125" r="H182"/>
      <c s="125" r="I182"/>
      <c s="125" r="J182"/>
      <c s="125" r="K182"/>
      <c s="125" r="L182"/>
      <c s="125" r="M182"/>
      <c s="125" r="N182"/>
      <c s="125" r="O182"/>
      <c s="125" r="P182"/>
      <c s="125" r="Q182"/>
      <c s="125" r="R182"/>
      <c s="125" r="S182"/>
      <c s="822" r="T182"/>
      <c t="str" s="309" r="U182">
        <f>IF((Profile!L210&gt;0),Profile!L210,"")</f>
        <v/>
      </c>
      <c t="str" s="861" r="V182">
        <f>IF((Profile!O210&gt;0),Profile!O210,"---")</f>
        <v>---</v>
      </c>
      <c t="str" s="861" r="W182">
        <f>IF((Profile!Y210=0),IF((Profile!Y209=0),"---",IF((Profile!Y211=0),"---",Profile!Y210)),Profile!Y210)</f>
        <v>---</v>
      </c>
      <c s="239" r="X182">
        <f>AB182+X181</f>
        <v>0</v>
      </c>
      <c s="796" r="Y182">
        <f>AC182+Y181</f>
        <v>0</v>
      </c>
      <c s="702" r="Z182"/>
      <c s="289" r="AA182">
        <f>IF(Profile!Y210,IF((Profile!O210=0),0,(Profile!O210-MAX(Profile!O$44:O209))),0)</f>
        <v>0</v>
      </c>
      <c s="605" r="AB182">
        <f>SIN(RADIANS(Profile!Y210))*AA182</f>
        <v>0</v>
      </c>
      <c s="605" r="AC182">
        <f>COS(RADIANS(Profile!Y210))*AA182</f>
        <v>0</v>
      </c>
      <c s="348" r="AD182">
        <f>IF((AJ$15=TRUE),X182,NA())</f>
        <v>0</v>
      </c>
      <c s="348" r="AE182">
        <f>IF((AJ$15=TRUE),Y182,NA())</f>
        <v>0</v>
      </c>
      <c t="str" s="348" r="AF182">
        <f>IF(Profile!L210,Y182,NA())</f>
        <v>#N/A:explicit</v>
      </c>
      <c s="348" r="AG182">
        <f>Profile!T210*E$40</f>
        <v>0</v>
      </c>
      <c t="str" s="348" r="AH182">
        <f>IF((AK$15=TRUE),IF(ISNUMBER(Profile!Y210),IF(ISNUMBER(Profile!Y211),(((X182+((F$63/2)*COS(RADIANS(Profile!Y211))))+(X182+((F$63/2)*COS(RADIANS(Profile!Y210)))))/2),(X182+((F$63/2)*COS(RADIANS(Profile!Y210))))),AH181),0)</f>
        <v>#VALUE!:notNumber:For input string: "---"</v>
      </c>
      <c t="str" s="348" r="AI182">
        <f>IF((AK$15=TRUE),IF(ISNUMBER(Profile!Y210),IF(ISNUMBER(Profile!Y211),(((Y182-((F$63/2)*SIN(RADIANS(Profile!Y211))))+(Y182-((F$63/2)*SIN(RADIANS(Profile!Y210)))))/2),(Y182-((F$63/2)*SIN(RADIANS(Profile!Y210))))),AI181),0)</f>
        <v>#VALUE!:notNumber:For input string: "---"</v>
      </c>
      <c t="str" s="348" r="AJ182">
        <f>IF((AK$15=TRUE),IF(ISNUMBER(Profile!Y210),IF(ISNUMBER(Profile!Y211),(((X182-((F$63/2)*COS(RADIANS(Profile!Y211))))+(X182-((F$63/2)*COS(RADIANS(Profile!Y210)))))/2),(X182-((F$63/2)*COS(RADIANS(Profile!Y210))))),AJ181),0)</f>
        <v>#VALUE!:notNumber:For input string: "---"</v>
      </c>
      <c t="str" s="799" r="AK182">
        <f>IF((AK$15=TRUE),IF(ISNUMBER(Profile!Y210),IF(ISNUMBER(Profile!Y211),(((Y182+((F$63/2)*SIN(RADIANS(Profile!Y211))))+(Y182+((F$63/2)*SIN(RADIANS(Profile!Y210)))))/2),(Y182+((F$63/2)*SIN(RADIANS(Profile!Y210))))),AK181),0)</f>
        <v>#VALUE!:notNumber:For input string: "---"</v>
      </c>
      <c s="51" r="AL182"/>
      <c s="125" r="AM182"/>
    </row>
    <row r="183">
      <c s="125" r="A183"/>
      <c s="125" r="B183"/>
      <c s="125" r="C183"/>
      <c s="125" r="D183"/>
      <c s="125" r="E183"/>
      <c s="125" r="F183"/>
      <c s="125" r="G183"/>
      <c s="125" r="H183"/>
      <c s="125" r="I183"/>
      <c s="125" r="J183"/>
      <c s="125" r="K183"/>
      <c s="125" r="L183"/>
      <c s="125" r="M183"/>
      <c s="125" r="N183"/>
      <c s="125" r="O183"/>
      <c s="125" r="P183"/>
      <c s="125" r="Q183"/>
      <c s="125" r="R183"/>
      <c s="125" r="S183"/>
      <c s="822" r="T183"/>
      <c t="str" s="309" r="U183">
        <f>IF((Profile!L211&gt;0),Profile!L211,"")</f>
        <v/>
      </c>
      <c t="str" s="861" r="V183">
        <f>IF((Profile!O211&gt;0),Profile!O211,"---")</f>
        <v>---</v>
      </c>
      <c t="str" s="861" r="W183">
        <f>IF((Profile!Y211=0),IF((Profile!Y210=0),"---",IF((Profile!Y212=0),"---",Profile!Y211)),Profile!Y211)</f>
        <v>---</v>
      </c>
      <c s="239" r="X183">
        <f>AB183+X182</f>
        <v>0</v>
      </c>
      <c s="796" r="Y183">
        <f>AC183+Y182</f>
        <v>0</v>
      </c>
      <c s="702" r="Z183"/>
      <c s="289" r="AA183">
        <f>IF(Profile!Y211,IF((Profile!O211=0),0,(Profile!O211-MAX(Profile!O$44:O210))),0)</f>
        <v>0</v>
      </c>
      <c s="605" r="AB183">
        <f>SIN(RADIANS(Profile!Y211))*AA183</f>
        <v>0</v>
      </c>
      <c s="605" r="AC183">
        <f>COS(RADIANS(Profile!Y211))*AA183</f>
        <v>0</v>
      </c>
      <c s="348" r="AD183">
        <f>IF((AJ$15=TRUE),X183,NA())</f>
        <v>0</v>
      </c>
      <c s="348" r="AE183">
        <f>IF((AJ$15=TRUE),Y183,NA())</f>
        <v>0</v>
      </c>
      <c t="str" s="348" r="AF183">
        <f>IF(Profile!L211,Y183,NA())</f>
        <v>#N/A:explicit</v>
      </c>
      <c s="348" r="AG183">
        <f>Profile!T211*E$40</f>
        <v>0</v>
      </c>
      <c t="str" s="348" r="AH183">
        <f>IF((AK$15=TRUE),IF(ISNUMBER(Profile!Y211),IF(ISNUMBER(Profile!Y212),(((X183+((F$63/2)*COS(RADIANS(Profile!Y212))))+(X183+((F$63/2)*COS(RADIANS(Profile!Y211)))))/2),(X183+((F$63/2)*COS(RADIANS(Profile!Y211))))),AH182),0)</f>
        <v>#VALUE!:notNumber:For input string: "---"</v>
      </c>
      <c t="str" s="348" r="AI183">
        <f>IF((AK$15=TRUE),IF(ISNUMBER(Profile!Y211),IF(ISNUMBER(Profile!Y212),(((Y183-((F$63/2)*SIN(RADIANS(Profile!Y212))))+(Y183-((F$63/2)*SIN(RADIANS(Profile!Y211)))))/2),(Y183-((F$63/2)*SIN(RADIANS(Profile!Y211))))),AI182),0)</f>
        <v>#VALUE!:notNumber:For input string: "---"</v>
      </c>
      <c t="str" s="348" r="AJ183">
        <f>IF((AK$15=TRUE),IF(ISNUMBER(Profile!Y211),IF(ISNUMBER(Profile!Y212),(((X183-((F$63/2)*COS(RADIANS(Profile!Y212))))+(X183-((F$63/2)*COS(RADIANS(Profile!Y211)))))/2),(X183-((F$63/2)*COS(RADIANS(Profile!Y211))))),AJ182),0)</f>
        <v>#VALUE!:notNumber:For input string: "---"</v>
      </c>
      <c t="str" s="799" r="AK183">
        <f>IF((AK$15=TRUE),IF(ISNUMBER(Profile!Y211),IF(ISNUMBER(Profile!Y212),(((Y183+((F$63/2)*SIN(RADIANS(Profile!Y212))))+(Y183+((F$63/2)*SIN(RADIANS(Profile!Y211)))))/2),(Y183+((F$63/2)*SIN(RADIANS(Profile!Y211))))),AK182),0)</f>
        <v>#VALUE!:notNumber:For input string: "---"</v>
      </c>
      <c s="51" r="AL183"/>
      <c s="125" r="AM183"/>
    </row>
    <row r="184">
      <c s="125" r="A184"/>
      <c s="125" r="B184"/>
      <c s="125" r="C184"/>
      <c s="125" r="D184"/>
      <c s="125" r="E184"/>
      <c s="125" r="F184"/>
      <c s="125" r="G184"/>
      <c s="125" r="H184"/>
      <c s="125" r="I184"/>
      <c s="125" r="J184"/>
      <c s="125" r="K184"/>
      <c s="125" r="L184"/>
      <c s="125" r="M184"/>
      <c s="125" r="N184"/>
      <c s="125" r="O184"/>
      <c s="125" r="P184"/>
      <c s="125" r="Q184"/>
      <c s="125" r="R184"/>
      <c s="125" r="S184"/>
      <c s="822" r="T184"/>
      <c t="str" s="309" r="U184">
        <f>IF((Profile!L212&gt;0),Profile!L212,"")</f>
        <v/>
      </c>
      <c t="str" s="861" r="V184">
        <f>IF((Profile!O212&gt;0),Profile!O212,"---")</f>
        <v>---</v>
      </c>
      <c t="str" s="861" r="W184">
        <f>IF((Profile!Y212=0),IF((Profile!Y211=0),"---",IF((Profile!Y213=0),"---",Profile!Y212)),Profile!Y212)</f>
        <v>---</v>
      </c>
      <c s="239" r="X184">
        <f>AB184+X183</f>
        <v>0</v>
      </c>
      <c s="796" r="Y184">
        <f>AC184+Y183</f>
        <v>0</v>
      </c>
      <c s="702" r="Z184"/>
      <c s="289" r="AA184">
        <f>IF(Profile!Y212,IF((Profile!O212=0),0,(Profile!O212-MAX(Profile!O$44:O211))),0)</f>
        <v>0</v>
      </c>
      <c s="605" r="AB184">
        <f>SIN(RADIANS(Profile!Y212))*AA184</f>
        <v>0</v>
      </c>
      <c s="605" r="AC184">
        <f>COS(RADIANS(Profile!Y212))*AA184</f>
        <v>0</v>
      </c>
      <c s="348" r="AD184">
        <f>IF((AJ$15=TRUE),X184,NA())</f>
        <v>0</v>
      </c>
      <c s="348" r="AE184">
        <f>IF((AJ$15=TRUE),Y184,NA())</f>
        <v>0</v>
      </c>
      <c t="str" s="348" r="AF184">
        <f>IF(Profile!L212,Y184,NA())</f>
        <v>#N/A:explicit</v>
      </c>
      <c s="348" r="AG184">
        <f>Profile!T212*E$40</f>
        <v>0</v>
      </c>
      <c t="str" s="348" r="AH184">
        <f>IF((AK$15=TRUE),IF(ISNUMBER(Profile!Y212),IF(ISNUMBER(Profile!Y213),(((X184+((F$63/2)*COS(RADIANS(Profile!Y213))))+(X184+((F$63/2)*COS(RADIANS(Profile!Y212)))))/2),(X184+((F$63/2)*COS(RADIANS(Profile!Y212))))),AH183),0)</f>
        <v>#VALUE!:notNumber:For input string: "---"</v>
      </c>
      <c t="str" s="348" r="AI184">
        <f>IF((AK$15=TRUE),IF(ISNUMBER(Profile!Y212),IF(ISNUMBER(Profile!Y213),(((Y184-((F$63/2)*SIN(RADIANS(Profile!Y213))))+(Y184-((F$63/2)*SIN(RADIANS(Profile!Y212)))))/2),(Y184-((F$63/2)*SIN(RADIANS(Profile!Y212))))),AI183),0)</f>
        <v>#VALUE!:notNumber:For input string: "---"</v>
      </c>
      <c t="str" s="348" r="AJ184">
        <f>IF((AK$15=TRUE),IF(ISNUMBER(Profile!Y212),IF(ISNUMBER(Profile!Y213),(((X184-((F$63/2)*COS(RADIANS(Profile!Y213))))+(X184-((F$63/2)*COS(RADIANS(Profile!Y212)))))/2),(X184-((F$63/2)*COS(RADIANS(Profile!Y212))))),AJ183),0)</f>
        <v>#VALUE!:notNumber:For input string: "---"</v>
      </c>
      <c t="str" s="799" r="AK184">
        <f>IF((AK$15=TRUE),IF(ISNUMBER(Profile!Y212),IF(ISNUMBER(Profile!Y213),(((Y184+((F$63/2)*SIN(RADIANS(Profile!Y213))))+(Y184+((F$63/2)*SIN(RADIANS(Profile!Y212)))))/2),(Y184+((F$63/2)*SIN(RADIANS(Profile!Y212))))),AK183),0)</f>
        <v>#VALUE!:notNumber:For input string: "---"</v>
      </c>
      <c s="51" r="AL184"/>
      <c s="125" r="AM184"/>
    </row>
    <row r="185">
      <c s="125" r="A185"/>
      <c s="125" r="B185"/>
      <c s="125" r="C185"/>
      <c s="125" r="D185"/>
      <c s="125" r="E185"/>
      <c s="125" r="F185"/>
      <c s="125" r="G185"/>
      <c s="125" r="H185"/>
      <c s="125" r="I185"/>
      <c s="125" r="J185"/>
      <c s="125" r="K185"/>
      <c s="125" r="L185"/>
      <c s="125" r="M185"/>
      <c s="125" r="N185"/>
      <c s="125" r="O185"/>
      <c s="125" r="P185"/>
      <c s="125" r="Q185"/>
      <c s="125" r="R185"/>
      <c s="125" r="S185"/>
      <c s="822" r="T185"/>
      <c t="str" s="309" r="U185">
        <f>IF((Profile!L213&gt;0),Profile!L213,"")</f>
        <v/>
      </c>
      <c t="str" s="861" r="V185">
        <f>IF((Profile!O213&gt;0),Profile!O213,"---")</f>
        <v>---</v>
      </c>
      <c t="str" s="861" r="W185">
        <f>IF((Profile!Y213=0),IF((Profile!Y212=0),"---",IF((Profile!Y214=0),"---",Profile!Y213)),Profile!Y213)</f>
        <v>---</v>
      </c>
      <c s="239" r="X185">
        <f>AB185+X184</f>
        <v>0</v>
      </c>
      <c s="796" r="Y185">
        <f>AC185+Y184</f>
        <v>0</v>
      </c>
      <c s="702" r="Z185"/>
      <c s="289" r="AA185">
        <f>IF(Profile!Y213,IF((Profile!O213=0),0,(Profile!O213-MAX(Profile!O$44:O212))),0)</f>
        <v>0</v>
      </c>
      <c s="605" r="AB185">
        <f>SIN(RADIANS(Profile!Y213))*AA185</f>
        <v>0</v>
      </c>
      <c s="605" r="AC185">
        <f>COS(RADIANS(Profile!Y213))*AA185</f>
        <v>0</v>
      </c>
      <c s="348" r="AD185">
        <f>IF((AJ$15=TRUE),X185,NA())</f>
        <v>0</v>
      </c>
      <c s="348" r="AE185">
        <f>IF((AJ$15=TRUE),Y185,NA())</f>
        <v>0</v>
      </c>
      <c t="str" s="348" r="AF185">
        <f>IF(Profile!L213,Y185,NA())</f>
        <v>#N/A:explicit</v>
      </c>
      <c s="348" r="AG185">
        <f>Profile!T213*E$40</f>
        <v>0</v>
      </c>
      <c t="str" s="348" r="AH185">
        <f>IF((AK$15=TRUE),IF(ISNUMBER(Profile!Y213),IF(ISNUMBER(Profile!Y214),(((X185+((F$63/2)*COS(RADIANS(Profile!Y214))))+(X185+((F$63/2)*COS(RADIANS(Profile!Y213)))))/2),(X185+((F$63/2)*COS(RADIANS(Profile!Y213))))),AH184),0)</f>
        <v>#VALUE!:notNumber:For input string: "---"</v>
      </c>
      <c t="str" s="348" r="AI185">
        <f>IF((AK$15=TRUE),IF(ISNUMBER(Profile!Y213),IF(ISNUMBER(Profile!Y214),(((Y185-((F$63/2)*SIN(RADIANS(Profile!Y214))))+(Y185-((F$63/2)*SIN(RADIANS(Profile!Y213)))))/2),(Y185-((F$63/2)*SIN(RADIANS(Profile!Y213))))),AI184),0)</f>
        <v>#VALUE!:notNumber:For input string: "---"</v>
      </c>
      <c t="str" s="348" r="AJ185">
        <f>IF((AK$15=TRUE),IF(ISNUMBER(Profile!Y213),IF(ISNUMBER(Profile!Y214),(((X185-((F$63/2)*COS(RADIANS(Profile!Y214))))+(X185-((F$63/2)*COS(RADIANS(Profile!Y213)))))/2),(X185-((F$63/2)*COS(RADIANS(Profile!Y213))))),AJ184),0)</f>
        <v>#VALUE!:notNumber:For input string: "---"</v>
      </c>
      <c t="str" s="799" r="AK185">
        <f>IF((AK$15=TRUE),IF(ISNUMBER(Profile!Y213),IF(ISNUMBER(Profile!Y214),(((Y185+((F$63/2)*SIN(RADIANS(Profile!Y214))))+(Y185+((F$63/2)*SIN(RADIANS(Profile!Y213)))))/2),(Y185+((F$63/2)*SIN(RADIANS(Profile!Y213))))),AK184),0)</f>
        <v>#VALUE!:notNumber:For input string: "---"</v>
      </c>
      <c s="51" r="AL185"/>
      <c s="125" r="AM185"/>
    </row>
    <row r="186">
      <c s="125" r="A186"/>
      <c s="125" r="B186"/>
      <c s="125" r="C186"/>
      <c s="125" r="D186"/>
      <c s="125" r="E186"/>
      <c s="125" r="F186"/>
      <c s="125" r="G186"/>
      <c s="125" r="H186"/>
      <c s="125" r="I186"/>
      <c s="125" r="J186"/>
      <c s="125" r="K186"/>
      <c s="125" r="L186"/>
      <c s="125" r="M186"/>
      <c s="125" r="N186"/>
      <c s="125" r="O186"/>
      <c s="125" r="P186"/>
      <c s="125" r="Q186"/>
      <c s="125" r="R186"/>
      <c s="125" r="S186"/>
      <c s="822" r="T186"/>
      <c t="str" s="309" r="U186">
        <f>IF((Profile!L214&gt;0),Profile!L214,"")</f>
        <v/>
      </c>
      <c t="str" s="861" r="V186">
        <f>IF((Profile!O214&gt;0),Profile!O214,"---")</f>
        <v>---</v>
      </c>
      <c t="str" s="861" r="W186">
        <f>IF((Profile!Y214=0),IF((Profile!Y213=0),"---",IF((Profile!Y215=0),"---",Profile!Y214)),Profile!Y214)</f>
        <v>---</v>
      </c>
      <c s="239" r="X186">
        <f>AB186+X185</f>
        <v>0</v>
      </c>
      <c s="796" r="Y186">
        <f>AC186+Y185</f>
        <v>0</v>
      </c>
      <c s="702" r="Z186"/>
      <c s="289" r="AA186">
        <f>IF(Profile!Y214,IF((Profile!O214=0),0,(Profile!O214-MAX(Profile!O$44:O213))),0)</f>
        <v>0</v>
      </c>
      <c s="605" r="AB186">
        <f>SIN(RADIANS(Profile!Y214))*AA186</f>
        <v>0</v>
      </c>
      <c s="605" r="AC186">
        <f>COS(RADIANS(Profile!Y214))*AA186</f>
        <v>0</v>
      </c>
      <c s="348" r="AD186">
        <f>IF((AJ$15=TRUE),X186,NA())</f>
        <v>0</v>
      </c>
      <c s="348" r="AE186">
        <f>IF((AJ$15=TRUE),Y186,NA())</f>
        <v>0</v>
      </c>
      <c t="str" s="348" r="AF186">
        <f>IF(Profile!L214,Y186,NA())</f>
        <v>#N/A:explicit</v>
      </c>
      <c s="348" r="AG186">
        <f>Profile!T214*E$40</f>
        <v>0</v>
      </c>
      <c t="str" s="348" r="AH186">
        <f>IF((AK$15=TRUE),IF(ISNUMBER(Profile!Y214),IF(ISNUMBER(Profile!Y215),(((X186+((F$63/2)*COS(RADIANS(Profile!Y215))))+(X186+((F$63/2)*COS(RADIANS(Profile!Y214)))))/2),(X186+((F$63/2)*COS(RADIANS(Profile!Y214))))),AH185),0)</f>
        <v>#VALUE!:notNumber:For input string: "---"</v>
      </c>
      <c t="str" s="348" r="AI186">
        <f>IF((AK$15=TRUE),IF(ISNUMBER(Profile!Y214),IF(ISNUMBER(Profile!Y215),(((Y186-((F$63/2)*SIN(RADIANS(Profile!Y215))))+(Y186-((F$63/2)*SIN(RADIANS(Profile!Y214)))))/2),(Y186-((F$63/2)*SIN(RADIANS(Profile!Y214))))),AI185),0)</f>
        <v>#VALUE!:notNumber:For input string: "---"</v>
      </c>
      <c t="str" s="348" r="AJ186">
        <f>IF((AK$15=TRUE),IF(ISNUMBER(Profile!Y214),IF(ISNUMBER(Profile!Y215),(((X186-((F$63/2)*COS(RADIANS(Profile!Y215))))+(X186-((F$63/2)*COS(RADIANS(Profile!Y214)))))/2),(X186-((F$63/2)*COS(RADIANS(Profile!Y214))))),AJ185),0)</f>
        <v>#VALUE!:notNumber:For input string: "---"</v>
      </c>
      <c t="str" s="799" r="AK186">
        <f>IF((AK$15=TRUE),IF(ISNUMBER(Profile!Y214),IF(ISNUMBER(Profile!Y215),(((Y186+((F$63/2)*SIN(RADIANS(Profile!Y215))))+(Y186+((F$63/2)*SIN(RADIANS(Profile!Y214)))))/2),(Y186+((F$63/2)*SIN(RADIANS(Profile!Y214))))),AK185),0)</f>
        <v>#VALUE!:notNumber:For input string: "---"</v>
      </c>
      <c s="51" r="AL186"/>
      <c s="125" r="AM186"/>
    </row>
    <row r="187">
      <c s="125" r="A187"/>
      <c s="125" r="B187"/>
      <c s="125" r="C187"/>
      <c s="125" r="D187"/>
      <c s="125" r="E187"/>
      <c s="125" r="F187"/>
      <c s="125" r="G187"/>
      <c s="125" r="H187"/>
      <c s="125" r="I187"/>
      <c s="125" r="J187"/>
      <c s="125" r="K187"/>
      <c s="125" r="L187"/>
      <c s="125" r="M187"/>
      <c s="125" r="N187"/>
      <c s="125" r="O187"/>
      <c s="125" r="P187"/>
      <c s="125" r="Q187"/>
      <c s="125" r="R187"/>
      <c s="125" r="S187"/>
      <c s="822" r="T187"/>
      <c t="str" s="309" r="U187">
        <f>IF((Profile!L215&gt;0),Profile!L215,"")</f>
        <v/>
      </c>
      <c t="str" s="861" r="V187">
        <f>IF((Profile!O215&gt;0),Profile!O215,"---")</f>
        <v>---</v>
      </c>
      <c t="str" s="861" r="W187">
        <f>IF((Profile!Y215=0),IF((Profile!Y214=0),"---",IF((Profile!Y216=0),"---",Profile!Y215)),Profile!Y215)</f>
        <v>---</v>
      </c>
      <c s="239" r="X187">
        <f>AB187+X186</f>
        <v>0</v>
      </c>
      <c s="796" r="Y187">
        <f>AC187+Y186</f>
        <v>0</v>
      </c>
      <c s="702" r="Z187"/>
      <c s="289" r="AA187">
        <f>IF(Profile!Y215,IF((Profile!O215=0),0,(Profile!O215-MAX(Profile!O$44:O214))),0)</f>
        <v>0</v>
      </c>
      <c s="605" r="AB187">
        <f>SIN(RADIANS(Profile!Y215))*AA187</f>
        <v>0</v>
      </c>
      <c s="605" r="AC187">
        <f>COS(RADIANS(Profile!Y215))*AA187</f>
        <v>0</v>
      </c>
      <c s="348" r="AD187">
        <f>IF((AJ$15=TRUE),X187,NA())</f>
        <v>0</v>
      </c>
      <c s="348" r="AE187">
        <f>IF((AJ$15=TRUE),Y187,NA())</f>
        <v>0</v>
      </c>
      <c t="str" s="348" r="AF187">
        <f>IF(Profile!L215,Y187,NA())</f>
        <v>#N/A:explicit</v>
      </c>
      <c s="348" r="AG187">
        <f>Profile!T215*E$40</f>
        <v>0</v>
      </c>
      <c t="str" s="348" r="AH187">
        <f>IF((AK$15=TRUE),IF(ISNUMBER(Profile!Y215),IF(ISNUMBER(Profile!Y216),(((X187+((F$63/2)*COS(RADIANS(Profile!Y216))))+(X187+((F$63/2)*COS(RADIANS(Profile!Y215)))))/2),(X187+((F$63/2)*COS(RADIANS(Profile!Y215))))),AH186),0)</f>
        <v>#VALUE!:notNumber:For input string: "---"</v>
      </c>
      <c t="str" s="348" r="AI187">
        <f>IF((AK$15=TRUE),IF(ISNUMBER(Profile!Y215),IF(ISNUMBER(Profile!Y216),(((Y187-((F$63/2)*SIN(RADIANS(Profile!Y216))))+(Y187-((F$63/2)*SIN(RADIANS(Profile!Y215)))))/2),(Y187-((F$63/2)*SIN(RADIANS(Profile!Y215))))),AI186),0)</f>
        <v>#VALUE!:notNumber:For input string: "---"</v>
      </c>
      <c t="str" s="348" r="AJ187">
        <f>IF((AK$15=TRUE),IF(ISNUMBER(Profile!Y215),IF(ISNUMBER(Profile!Y216),(((X187-((F$63/2)*COS(RADIANS(Profile!Y216))))+(X187-((F$63/2)*COS(RADIANS(Profile!Y215)))))/2),(X187-((F$63/2)*COS(RADIANS(Profile!Y215))))),AJ186),0)</f>
        <v>#VALUE!:notNumber:For input string: "---"</v>
      </c>
      <c t="str" s="799" r="AK187">
        <f>IF((AK$15=TRUE),IF(ISNUMBER(Profile!Y215),IF(ISNUMBER(Profile!Y216),(((Y187+((F$63/2)*SIN(RADIANS(Profile!Y216))))+(Y187+((F$63/2)*SIN(RADIANS(Profile!Y215)))))/2),(Y187+((F$63/2)*SIN(RADIANS(Profile!Y215))))),AK186),0)</f>
        <v>#VALUE!:notNumber:For input string: "---"</v>
      </c>
      <c s="51" r="AL187"/>
      <c s="125" r="AM187"/>
    </row>
    <row r="188">
      <c s="125" r="A188"/>
      <c s="125" r="B188"/>
      <c s="125" r="C188"/>
      <c s="125" r="D188"/>
      <c s="125" r="E188"/>
      <c s="125" r="F188"/>
      <c s="125" r="G188"/>
      <c s="125" r="H188"/>
      <c s="125" r="I188"/>
      <c s="125" r="J188"/>
      <c s="125" r="K188"/>
      <c s="125" r="L188"/>
      <c s="125" r="M188"/>
      <c s="125" r="N188"/>
      <c s="125" r="O188"/>
      <c s="125" r="P188"/>
      <c s="125" r="Q188"/>
      <c s="125" r="R188"/>
      <c s="125" r="S188"/>
      <c s="822" r="T188"/>
      <c t="str" s="309" r="U188">
        <f>IF((Profile!L216&gt;0),Profile!L216,"")</f>
        <v/>
      </c>
      <c t="str" s="861" r="V188">
        <f>IF((Profile!O216&gt;0),Profile!O216,"---")</f>
        <v>---</v>
      </c>
      <c t="str" s="861" r="W188">
        <f>IF((Profile!Y216=0),IF((Profile!Y215=0),"---",IF((Profile!Y217=0),"---",Profile!Y216)),Profile!Y216)</f>
        <v>---</v>
      </c>
      <c s="239" r="X188">
        <f>AB188+X187</f>
        <v>0</v>
      </c>
      <c s="796" r="Y188">
        <f>AC188+Y187</f>
        <v>0</v>
      </c>
      <c s="702" r="Z188"/>
      <c s="289" r="AA188">
        <f>IF(Profile!Y216,IF((Profile!O216=0),0,(Profile!O216-MAX(Profile!O$44:O215))),0)</f>
        <v>0</v>
      </c>
      <c s="605" r="AB188">
        <f>SIN(RADIANS(Profile!Y216))*AA188</f>
        <v>0</v>
      </c>
      <c s="605" r="AC188">
        <f>COS(RADIANS(Profile!Y216))*AA188</f>
        <v>0</v>
      </c>
      <c s="348" r="AD188">
        <f>IF((AJ$15=TRUE),X188,NA())</f>
        <v>0</v>
      </c>
      <c s="348" r="AE188">
        <f>IF((AJ$15=TRUE),Y188,NA())</f>
        <v>0</v>
      </c>
      <c t="str" s="348" r="AF188">
        <f>IF(Profile!L216,Y188,NA())</f>
        <v>#N/A:explicit</v>
      </c>
      <c s="348" r="AG188">
        <f>Profile!T216*E$40</f>
        <v>0</v>
      </c>
      <c t="str" s="348" r="AH188">
        <f>IF((AK$15=TRUE),IF(ISNUMBER(Profile!Y216),IF(ISNUMBER(Profile!Y217),(((X188+((F$63/2)*COS(RADIANS(Profile!Y217))))+(X188+((F$63/2)*COS(RADIANS(Profile!Y216)))))/2),(X188+((F$63/2)*COS(RADIANS(Profile!Y216))))),AH187),0)</f>
        <v>#VALUE!:notNumber:For input string: "---"</v>
      </c>
      <c t="str" s="348" r="AI188">
        <f>IF((AK$15=TRUE),IF(ISNUMBER(Profile!Y216),IF(ISNUMBER(Profile!Y217),(((Y188-((F$63/2)*SIN(RADIANS(Profile!Y217))))+(Y188-((F$63/2)*SIN(RADIANS(Profile!Y216)))))/2),(Y188-((F$63/2)*SIN(RADIANS(Profile!Y216))))),AI187),0)</f>
        <v>#VALUE!:notNumber:For input string: "---"</v>
      </c>
      <c t="str" s="348" r="AJ188">
        <f>IF((AK$15=TRUE),IF(ISNUMBER(Profile!Y216),IF(ISNUMBER(Profile!Y217),(((X188-((F$63/2)*COS(RADIANS(Profile!Y217))))+(X188-((F$63/2)*COS(RADIANS(Profile!Y216)))))/2),(X188-((F$63/2)*COS(RADIANS(Profile!Y216))))),AJ187),0)</f>
        <v>#VALUE!:notNumber:For input string: "---"</v>
      </c>
      <c t="str" s="799" r="AK188">
        <f>IF((AK$15=TRUE),IF(ISNUMBER(Profile!Y216),IF(ISNUMBER(Profile!Y217),(((Y188+((F$63/2)*SIN(RADIANS(Profile!Y217))))+(Y188+((F$63/2)*SIN(RADIANS(Profile!Y216)))))/2),(Y188+((F$63/2)*SIN(RADIANS(Profile!Y216))))),AK187),0)</f>
        <v>#VALUE!:notNumber:For input string: "---"</v>
      </c>
      <c s="51" r="AL188"/>
      <c s="125" r="AM188"/>
    </row>
    <row r="189">
      <c s="125" r="A189"/>
      <c s="125" r="B189"/>
      <c s="125" r="C189"/>
      <c s="125" r="D189"/>
      <c s="125" r="E189"/>
      <c s="125" r="F189"/>
      <c s="125" r="G189"/>
      <c s="125" r="H189"/>
      <c s="125" r="I189"/>
      <c s="125" r="J189"/>
      <c s="125" r="K189"/>
      <c s="125" r="L189"/>
      <c s="125" r="M189"/>
      <c s="125" r="N189"/>
      <c s="125" r="O189"/>
      <c s="125" r="P189"/>
      <c s="125" r="Q189"/>
      <c s="125" r="R189"/>
      <c s="125" r="S189"/>
      <c s="822" r="T189"/>
      <c t="str" s="309" r="U189">
        <f>IF((Profile!L217&gt;0),Profile!L217,"")</f>
        <v/>
      </c>
      <c t="str" s="861" r="V189">
        <f>IF((Profile!O217&gt;0),Profile!O217,"---")</f>
        <v>---</v>
      </c>
      <c t="str" s="861" r="W189">
        <f>IF((Profile!Y217=0),IF((Profile!Y216=0),"---",IF((Profile!Y218=0),"---",Profile!Y217)),Profile!Y217)</f>
        <v>---</v>
      </c>
      <c s="239" r="X189">
        <f>AB189+X188</f>
        <v>0</v>
      </c>
      <c s="796" r="Y189">
        <f>AC189+Y188</f>
        <v>0</v>
      </c>
      <c s="702" r="Z189"/>
      <c s="289" r="AA189">
        <f>IF(Profile!Y217,IF((Profile!O217=0),0,(Profile!O217-MAX(Profile!O$44:O216))),0)</f>
        <v>0</v>
      </c>
      <c s="605" r="AB189">
        <f>SIN(RADIANS(Profile!Y217))*AA189</f>
        <v>0</v>
      </c>
      <c s="605" r="AC189">
        <f>COS(RADIANS(Profile!Y217))*AA189</f>
        <v>0</v>
      </c>
      <c s="348" r="AD189">
        <f>IF((AJ$15=TRUE),X189,NA())</f>
        <v>0</v>
      </c>
      <c s="348" r="AE189">
        <f>IF((AJ$15=TRUE),Y189,NA())</f>
        <v>0</v>
      </c>
      <c t="str" s="348" r="AF189">
        <f>IF(Profile!L217,Y189,NA())</f>
        <v>#N/A:explicit</v>
      </c>
      <c s="348" r="AG189">
        <f>Profile!T217*E$40</f>
        <v>0</v>
      </c>
      <c t="str" s="348" r="AH189">
        <f>IF((AK$15=TRUE),IF(ISNUMBER(Profile!Y217),IF(ISNUMBER(Profile!Y218),(((X189+((F$63/2)*COS(RADIANS(Profile!Y218))))+(X189+((F$63/2)*COS(RADIANS(Profile!Y217)))))/2),(X189+((F$63/2)*COS(RADIANS(Profile!Y217))))),AH188),0)</f>
        <v>#VALUE!:notNumber:For input string: "---"</v>
      </c>
      <c t="str" s="348" r="AI189">
        <f>IF((AK$15=TRUE),IF(ISNUMBER(Profile!Y217),IF(ISNUMBER(Profile!Y218),(((Y189-((F$63/2)*SIN(RADIANS(Profile!Y218))))+(Y189-((F$63/2)*SIN(RADIANS(Profile!Y217)))))/2),(Y189-((F$63/2)*SIN(RADIANS(Profile!Y217))))),AI188),0)</f>
        <v>#VALUE!:notNumber:For input string: "---"</v>
      </c>
      <c t="str" s="348" r="AJ189">
        <f>IF((AK$15=TRUE),IF(ISNUMBER(Profile!Y217),IF(ISNUMBER(Profile!Y218),(((X189-((F$63/2)*COS(RADIANS(Profile!Y218))))+(X189-((F$63/2)*COS(RADIANS(Profile!Y217)))))/2),(X189-((F$63/2)*COS(RADIANS(Profile!Y217))))),AJ188),0)</f>
        <v>#VALUE!:notNumber:For input string: "---"</v>
      </c>
      <c t="str" s="799" r="AK189">
        <f>IF((AK$15=TRUE),IF(ISNUMBER(Profile!Y217),IF(ISNUMBER(Profile!Y218),(((Y189+((F$63/2)*SIN(RADIANS(Profile!Y218))))+(Y189+((F$63/2)*SIN(RADIANS(Profile!Y217)))))/2),(Y189+((F$63/2)*SIN(RADIANS(Profile!Y217))))),AK188),0)</f>
        <v>#VALUE!:notNumber:For input string: "---"</v>
      </c>
      <c s="51" r="AL189"/>
      <c s="125" r="AM189"/>
    </row>
    <row r="190">
      <c s="125" r="A190"/>
      <c s="125" r="B190"/>
      <c s="125" r="C190"/>
      <c s="125" r="D190"/>
      <c s="125" r="E190"/>
      <c s="125" r="F190"/>
      <c s="125" r="G190"/>
      <c s="125" r="H190"/>
      <c s="125" r="I190"/>
      <c s="125" r="J190"/>
      <c s="125" r="K190"/>
      <c s="125" r="L190"/>
      <c s="125" r="M190"/>
      <c s="125" r="N190"/>
      <c s="125" r="O190"/>
      <c s="125" r="P190"/>
      <c s="125" r="Q190"/>
      <c s="125" r="R190"/>
      <c s="125" r="S190"/>
      <c s="822" r="T190"/>
      <c t="str" s="309" r="U190">
        <f>IF((Profile!L218&gt;0),Profile!L218,"")</f>
        <v/>
      </c>
      <c t="str" s="861" r="V190">
        <f>IF((Profile!O218&gt;0),Profile!O218,"---")</f>
        <v>---</v>
      </c>
      <c t="str" s="861" r="W190">
        <f>IF((Profile!Y218=0),IF((Profile!Y217=0),"---",IF((Profile!Y219=0),"---",Profile!Y218)),Profile!Y218)</f>
        <v>---</v>
      </c>
      <c s="239" r="X190">
        <f>AB190+X189</f>
        <v>0</v>
      </c>
      <c s="796" r="Y190">
        <f>AC190+Y189</f>
        <v>0</v>
      </c>
      <c s="702" r="Z190"/>
      <c s="289" r="AA190">
        <f>IF(Profile!Y218,IF((Profile!O218=0),0,(Profile!O218-MAX(Profile!O$44:O217))),0)</f>
        <v>0</v>
      </c>
      <c s="605" r="AB190">
        <f>SIN(RADIANS(Profile!Y218))*AA190</f>
        <v>0</v>
      </c>
      <c s="605" r="AC190">
        <f>COS(RADIANS(Profile!Y218))*AA190</f>
        <v>0</v>
      </c>
      <c s="348" r="AD190">
        <f>IF((AJ$15=TRUE),X190,NA())</f>
        <v>0</v>
      </c>
      <c s="348" r="AE190">
        <f>IF((AJ$15=TRUE),Y190,NA())</f>
        <v>0</v>
      </c>
      <c t="str" s="348" r="AF190">
        <f>IF(Profile!L218,Y190,NA())</f>
        <v>#N/A:explicit</v>
      </c>
      <c s="348" r="AG190">
        <f>Profile!T218*E$40</f>
        <v>0</v>
      </c>
      <c t="str" s="348" r="AH190">
        <f>IF((AK$15=TRUE),IF(ISNUMBER(Profile!Y218),IF(ISNUMBER(Profile!Y219),(((X190+((F$63/2)*COS(RADIANS(Profile!Y219))))+(X190+((F$63/2)*COS(RADIANS(Profile!Y218)))))/2),(X190+((F$63/2)*COS(RADIANS(Profile!Y218))))),AH189),0)</f>
        <v>#VALUE!:notNumber:For input string: "---"</v>
      </c>
      <c t="str" s="348" r="AI190">
        <f>IF((AK$15=TRUE),IF(ISNUMBER(Profile!Y218),IF(ISNUMBER(Profile!Y219),(((Y190-((F$63/2)*SIN(RADIANS(Profile!Y219))))+(Y190-((F$63/2)*SIN(RADIANS(Profile!Y218)))))/2),(Y190-((F$63/2)*SIN(RADIANS(Profile!Y218))))),AI189),0)</f>
        <v>#VALUE!:notNumber:For input string: "---"</v>
      </c>
      <c t="str" s="348" r="AJ190">
        <f>IF((AK$15=TRUE),IF(ISNUMBER(Profile!Y218),IF(ISNUMBER(Profile!Y219),(((X190-((F$63/2)*COS(RADIANS(Profile!Y219))))+(X190-((F$63/2)*COS(RADIANS(Profile!Y218)))))/2),(X190-((F$63/2)*COS(RADIANS(Profile!Y218))))),AJ189),0)</f>
        <v>#VALUE!:notNumber:For input string: "---"</v>
      </c>
      <c t="str" s="799" r="AK190">
        <f>IF((AK$15=TRUE),IF(ISNUMBER(Profile!Y218),IF(ISNUMBER(Profile!Y219),(((Y190+((F$63/2)*SIN(RADIANS(Profile!Y219))))+(Y190+((F$63/2)*SIN(RADIANS(Profile!Y218)))))/2),(Y190+((F$63/2)*SIN(RADIANS(Profile!Y218))))),AK189),0)</f>
        <v>#VALUE!:notNumber:For input string: "---"</v>
      </c>
      <c s="51" r="AL190"/>
      <c s="125" r="AM190"/>
    </row>
    <row r="191">
      <c s="125" r="A191"/>
      <c s="125" r="B191"/>
      <c s="125" r="C191"/>
      <c s="125" r="D191"/>
      <c s="125" r="E191"/>
      <c s="125" r="F191"/>
      <c s="125" r="G191"/>
      <c s="125" r="H191"/>
      <c s="125" r="I191"/>
      <c s="125" r="J191"/>
      <c s="125" r="K191"/>
      <c s="125" r="L191"/>
      <c s="125" r="M191"/>
      <c s="125" r="N191"/>
      <c s="125" r="O191"/>
      <c s="125" r="P191"/>
      <c s="125" r="Q191"/>
      <c s="125" r="R191"/>
      <c s="125" r="S191"/>
      <c s="822" r="T191"/>
      <c t="str" s="309" r="U191">
        <f>IF((Profile!L219&gt;0),Profile!L219,"")</f>
        <v/>
      </c>
      <c t="str" s="861" r="V191">
        <f>IF((Profile!O219&gt;0),Profile!O219,"---")</f>
        <v>---</v>
      </c>
      <c t="str" s="861" r="W191">
        <f>IF((Profile!Y219=0),IF((Profile!Y218=0),"---",IF((Profile!Y220=0),"---",Profile!Y219)),Profile!Y219)</f>
        <v>---</v>
      </c>
      <c s="239" r="X191">
        <f>AB191+X190</f>
        <v>0</v>
      </c>
      <c s="796" r="Y191">
        <f>AC191+Y190</f>
        <v>0</v>
      </c>
      <c s="702" r="Z191"/>
      <c s="289" r="AA191">
        <f>IF(Profile!Y219,IF((Profile!O219=0),0,(Profile!O219-MAX(Profile!O$44:O218))),0)</f>
        <v>0</v>
      </c>
      <c s="605" r="AB191">
        <f>SIN(RADIANS(Profile!Y219))*AA191</f>
        <v>0</v>
      </c>
      <c s="605" r="AC191">
        <f>COS(RADIANS(Profile!Y219))*AA191</f>
        <v>0</v>
      </c>
      <c s="348" r="AD191">
        <f>IF((AJ$15=TRUE),X191,NA())</f>
        <v>0</v>
      </c>
      <c s="348" r="AE191">
        <f>IF((AJ$15=TRUE),Y191,NA())</f>
        <v>0</v>
      </c>
      <c t="str" s="348" r="AF191">
        <f>IF(Profile!L219,Y191,NA())</f>
        <v>#N/A:explicit</v>
      </c>
      <c s="348" r="AG191">
        <f>Profile!T219*E$40</f>
        <v>0</v>
      </c>
      <c t="str" s="348" r="AH191">
        <f>IF((AK$15=TRUE),IF(ISNUMBER(Profile!Y219),IF(ISNUMBER(Profile!Y220),(((X191+((F$63/2)*COS(RADIANS(Profile!Y220))))+(X191+((F$63/2)*COS(RADIANS(Profile!Y219)))))/2),(X191+((F$63/2)*COS(RADIANS(Profile!Y219))))),AH190),0)</f>
        <v>#VALUE!:notNumber:For input string: "---"</v>
      </c>
      <c t="str" s="348" r="AI191">
        <f>IF((AK$15=TRUE),IF(ISNUMBER(Profile!Y219),IF(ISNUMBER(Profile!Y220),(((Y191-((F$63/2)*SIN(RADIANS(Profile!Y220))))+(Y191-((F$63/2)*SIN(RADIANS(Profile!Y219)))))/2),(Y191-((F$63/2)*SIN(RADIANS(Profile!Y219))))),AI190),0)</f>
        <v>#VALUE!:notNumber:For input string: "---"</v>
      </c>
      <c t="str" s="348" r="AJ191">
        <f>IF((AK$15=TRUE),IF(ISNUMBER(Profile!Y219),IF(ISNUMBER(Profile!Y220),(((X191-((F$63/2)*COS(RADIANS(Profile!Y220))))+(X191-((F$63/2)*COS(RADIANS(Profile!Y219)))))/2),(X191-((F$63/2)*COS(RADIANS(Profile!Y219))))),AJ190),0)</f>
        <v>#VALUE!:notNumber:For input string: "---"</v>
      </c>
      <c t="str" s="799" r="AK191">
        <f>IF((AK$15=TRUE),IF(ISNUMBER(Profile!Y219),IF(ISNUMBER(Profile!Y220),(((Y191+((F$63/2)*SIN(RADIANS(Profile!Y220))))+(Y191+((F$63/2)*SIN(RADIANS(Profile!Y219)))))/2),(Y191+((F$63/2)*SIN(RADIANS(Profile!Y219))))),AK190),0)</f>
        <v>#VALUE!:notNumber:For input string: "---"</v>
      </c>
      <c s="51" r="AL191"/>
      <c s="125" r="AM191"/>
    </row>
    <row r="192">
      <c s="125" r="A192"/>
      <c s="125" r="B192"/>
      <c s="125" r="C192"/>
      <c s="125" r="D192"/>
      <c s="125" r="E192"/>
      <c s="125" r="F192"/>
      <c s="125" r="G192"/>
      <c s="125" r="H192"/>
      <c s="125" r="I192"/>
      <c s="125" r="J192"/>
      <c s="125" r="K192"/>
      <c s="125" r="L192"/>
      <c s="125" r="M192"/>
      <c s="125" r="N192"/>
      <c s="125" r="O192"/>
      <c s="125" r="P192"/>
      <c s="125" r="Q192"/>
      <c s="125" r="R192"/>
      <c s="125" r="S192"/>
      <c s="822" r="T192"/>
      <c t="str" s="309" r="U192">
        <f>IF((Profile!L220&gt;0),Profile!L220,"")</f>
        <v/>
      </c>
      <c t="str" s="861" r="V192">
        <f>IF((Profile!O220&gt;0),Profile!O220,"---")</f>
        <v>---</v>
      </c>
      <c t="str" s="861" r="W192">
        <f>IF((Profile!Y220=0),IF((Profile!Y219=0),"---",IF((Profile!Y221=0),"---",Profile!Y220)),Profile!Y220)</f>
        <v>---</v>
      </c>
      <c s="239" r="X192">
        <f>AB192+X191</f>
        <v>0</v>
      </c>
      <c s="796" r="Y192">
        <f>AC192+Y191</f>
        <v>0</v>
      </c>
      <c s="702" r="Z192"/>
      <c s="289" r="AA192">
        <f>IF(Profile!Y220,IF((Profile!O220=0),0,(Profile!O220-MAX(Profile!O$44:O219))),0)</f>
        <v>0</v>
      </c>
      <c s="605" r="AB192">
        <f>SIN(RADIANS(Profile!Y220))*AA192</f>
        <v>0</v>
      </c>
      <c s="605" r="AC192">
        <f>COS(RADIANS(Profile!Y220))*AA192</f>
        <v>0</v>
      </c>
      <c s="348" r="AD192">
        <f>IF((AJ$15=TRUE),X192,NA())</f>
        <v>0</v>
      </c>
      <c s="348" r="AE192">
        <f>IF((AJ$15=TRUE),Y192,NA())</f>
        <v>0</v>
      </c>
      <c t="str" s="348" r="AF192">
        <f>IF(Profile!L220,Y192,NA())</f>
        <v>#N/A:explicit</v>
      </c>
      <c s="348" r="AG192">
        <f>Profile!T220*E$40</f>
        <v>0</v>
      </c>
      <c t="str" s="348" r="AH192">
        <f>IF((AK$15=TRUE),IF(ISNUMBER(Profile!Y220),IF(ISNUMBER(Profile!Y221),(((X192+((F$63/2)*COS(RADIANS(Profile!Y221))))+(X192+((F$63/2)*COS(RADIANS(Profile!Y220)))))/2),(X192+((F$63/2)*COS(RADIANS(Profile!Y220))))),AH191),0)</f>
        <v>#VALUE!:notNumber:For input string: "---"</v>
      </c>
      <c t="str" s="348" r="AI192">
        <f>IF((AK$15=TRUE),IF(ISNUMBER(Profile!Y220),IF(ISNUMBER(Profile!Y221),(((Y192-((F$63/2)*SIN(RADIANS(Profile!Y221))))+(Y192-((F$63/2)*SIN(RADIANS(Profile!Y220)))))/2),(Y192-((F$63/2)*SIN(RADIANS(Profile!Y220))))),AI191),0)</f>
        <v>#VALUE!:notNumber:For input string: "---"</v>
      </c>
      <c t="str" s="348" r="AJ192">
        <f>IF((AK$15=TRUE),IF(ISNUMBER(Profile!Y220),IF(ISNUMBER(Profile!Y221),(((X192-((F$63/2)*COS(RADIANS(Profile!Y221))))+(X192-((F$63/2)*COS(RADIANS(Profile!Y220)))))/2),(X192-((F$63/2)*COS(RADIANS(Profile!Y220))))),AJ191),0)</f>
        <v>#VALUE!:notNumber:For input string: "---"</v>
      </c>
      <c t="str" s="799" r="AK192">
        <f>IF((AK$15=TRUE),IF(ISNUMBER(Profile!Y220),IF(ISNUMBER(Profile!Y221),(((Y192+((F$63/2)*SIN(RADIANS(Profile!Y221))))+(Y192+((F$63/2)*SIN(RADIANS(Profile!Y220)))))/2),(Y192+((F$63/2)*SIN(RADIANS(Profile!Y220))))),AK191),0)</f>
        <v>#VALUE!:notNumber:For input string: "---"</v>
      </c>
      <c s="51" r="AL192"/>
      <c s="125" r="AM192"/>
    </row>
    <row r="193">
      <c s="125" r="A193"/>
      <c s="125" r="B193"/>
      <c s="125" r="C193"/>
      <c s="125" r="D193"/>
      <c s="125" r="E193"/>
      <c s="125" r="F193"/>
      <c s="125" r="G193"/>
      <c s="125" r="H193"/>
      <c s="125" r="I193"/>
      <c s="125" r="J193"/>
      <c s="125" r="K193"/>
      <c s="125" r="L193"/>
      <c s="125" r="M193"/>
      <c s="125" r="N193"/>
      <c s="125" r="O193"/>
      <c s="125" r="P193"/>
      <c s="125" r="Q193"/>
      <c s="125" r="R193"/>
      <c s="125" r="S193"/>
      <c s="822" r="T193"/>
      <c t="str" s="309" r="U193">
        <f>IF((Profile!L221&gt;0),Profile!L221,"")</f>
        <v/>
      </c>
      <c t="str" s="861" r="V193">
        <f>IF((Profile!O221&gt;0),Profile!O221,"---")</f>
        <v>---</v>
      </c>
      <c t="str" s="861" r="W193">
        <f>IF((Profile!Y221=0),IF((Profile!Y220=0),"---",IF((Profile!Y222=0),"---",Profile!Y221)),Profile!Y221)</f>
        <v>---</v>
      </c>
      <c s="239" r="X193">
        <f>AB193+X192</f>
        <v>0</v>
      </c>
      <c s="796" r="Y193">
        <f>AC193+Y192</f>
        <v>0</v>
      </c>
      <c s="702" r="Z193"/>
      <c s="289" r="AA193">
        <f>IF(Profile!Y221,IF((Profile!O221=0),0,(Profile!O221-MAX(Profile!O$44:O220))),0)</f>
        <v>0</v>
      </c>
      <c s="605" r="AB193">
        <f>SIN(RADIANS(Profile!Y221))*AA193</f>
        <v>0</v>
      </c>
      <c s="605" r="AC193">
        <f>COS(RADIANS(Profile!Y221))*AA193</f>
        <v>0</v>
      </c>
      <c s="348" r="AD193">
        <f>IF((AJ$15=TRUE),X193,NA())</f>
        <v>0</v>
      </c>
      <c s="348" r="AE193">
        <f>IF((AJ$15=TRUE),Y193,NA())</f>
        <v>0</v>
      </c>
      <c t="str" s="348" r="AF193">
        <f>IF(Profile!L221,Y193,NA())</f>
        <v>#N/A:explicit</v>
      </c>
      <c s="348" r="AG193">
        <f>Profile!T221*E$40</f>
        <v>0</v>
      </c>
      <c t="str" s="348" r="AH193">
        <f>IF((AK$15=TRUE),IF(ISNUMBER(Profile!Y221),IF(ISNUMBER(Profile!Y222),(((X193+((F$63/2)*COS(RADIANS(Profile!Y222))))+(X193+((F$63/2)*COS(RADIANS(Profile!Y221)))))/2),(X193+((F$63/2)*COS(RADIANS(Profile!Y221))))),AH192),0)</f>
        <v>#VALUE!:notNumber:For input string: "---"</v>
      </c>
      <c t="str" s="348" r="AI193">
        <f>IF((AK$15=TRUE),IF(ISNUMBER(Profile!Y221),IF(ISNUMBER(Profile!Y222),(((Y193-((F$63/2)*SIN(RADIANS(Profile!Y222))))+(Y193-((F$63/2)*SIN(RADIANS(Profile!Y221)))))/2),(Y193-((F$63/2)*SIN(RADIANS(Profile!Y221))))),AI192),0)</f>
        <v>#VALUE!:notNumber:For input string: "---"</v>
      </c>
      <c t="str" s="348" r="AJ193">
        <f>IF((AK$15=TRUE),IF(ISNUMBER(Profile!Y221),IF(ISNUMBER(Profile!Y222),(((X193-((F$63/2)*COS(RADIANS(Profile!Y222))))+(X193-((F$63/2)*COS(RADIANS(Profile!Y221)))))/2),(X193-((F$63/2)*COS(RADIANS(Profile!Y221))))),AJ192),0)</f>
        <v>#VALUE!:notNumber:For input string: "---"</v>
      </c>
      <c t="str" s="799" r="AK193">
        <f>IF((AK$15=TRUE),IF(ISNUMBER(Profile!Y221),IF(ISNUMBER(Profile!Y222),(((Y193+((F$63/2)*SIN(RADIANS(Profile!Y222))))+(Y193+((F$63/2)*SIN(RADIANS(Profile!Y221)))))/2),(Y193+((F$63/2)*SIN(RADIANS(Profile!Y221))))),AK192),0)</f>
        <v>#VALUE!:notNumber:For input string: "---"</v>
      </c>
      <c s="51" r="AL193"/>
      <c s="125" r="AM193"/>
    </row>
    <row r="194">
      <c s="125" r="A194"/>
      <c s="125" r="B194"/>
      <c s="125" r="C194"/>
      <c s="125" r="D194"/>
      <c s="125" r="E194"/>
      <c s="125" r="F194"/>
      <c s="125" r="G194"/>
      <c s="125" r="H194"/>
      <c s="125" r="I194"/>
      <c s="125" r="J194"/>
      <c s="125" r="K194"/>
      <c s="125" r="L194"/>
      <c s="125" r="M194"/>
      <c s="125" r="N194"/>
      <c s="125" r="O194"/>
      <c s="125" r="P194"/>
      <c s="125" r="Q194"/>
      <c s="125" r="R194"/>
      <c s="125" r="S194"/>
      <c s="822" r="T194"/>
      <c t="str" s="309" r="U194">
        <f>IF((Profile!L222&gt;0),Profile!L222,"")</f>
        <v/>
      </c>
      <c t="str" s="861" r="V194">
        <f>IF((Profile!O222&gt;0),Profile!O222,"---")</f>
        <v>---</v>
      </c>
      <c t="str" s="861" r="W194">
        <f>IF((Profile!Y222=0),IF((Profile!Y221=0),"---",IF((Profile!Y223=0),"---",Profile!Y222)),Profile!Y222)</f>
        <v>---</v>
      </c>
      <c s="239" r="X194">
        <f>AB194+X193</f>
        <v>0</v>
      </c>
      <c s="796" r="Y194">
        <f>AC194+Y193</f>
        <v>0</v>
      </c>
      <c s="702" r="Z194"/>
      <c s="289" r="AA194">
        <f>IF(Profile!Y222,IF((Profile!O222=0),0,(Profile!O222-MAX(Profile!O$44:O221))),0)</f>
        <v>0</v>
      </c>
      <c s="605" r="AB194">
        <f>SIN(RADIANS(Profile!Y222))*AA194</f>
        <v>0</v>
      </c>
      <c s="605" r="AC194">
        <f>COS(RADIANS(Profile!Y222))*AA194</f>
        <v>0</v>
      </c>
      <c s="348" r="AD194">
        <f>IF((AJ$15=TRUE),X194,NA())</f>
        <v>0</v>
      </c>
      <c s="348" r="AE194">
        <f>IF((AJ$15=TRUE),Y194,NA())</f>
        <v>0</v>
      </c>
      <c t="str" s="348" r="AF194">
        <f>IF(Profile!L222,Y194,NA())</f>
        <v>#N/A:explicit</v>
      </c>
      <c s="348" r="AG194">
        <f>Profile!T222*E$40</f>
        <v>0</v>
      </c>
      <c t="str" s="348" r="AH194">
        <f>IF((AK$15=TRUE),IF(ISNUMBER(Profile!Y222),IF(ISNUMBER(Profile!Y223),(((X194+((F$63/2)*COS(RADIANS(Profile!Y223))))+(X194+((F$63/2)*COS(RADIANS(Profile!Y222)))))/2),(X194+((F$63/2)*COS(RADIANS(Profile!Y222))))),AH193),0)</f>
        <v>#VALUE!:notNumber:For input string: "---"</v>
      </c>
      <c t="str" s="348" r="AI194">
        <f>IF((AK$15=TRUE),IF(ISNUMBER(Profile!Y222),IF(ISNUMBER(Profile!Y223),(((Y194-((F$63/2)*SIN(RADIANS(Profile!Y223))))+(Y194-((F$63/2)*SIN(RADIANS(Profile!Y222)))))/2),(Y194-((F$63/2)*SIN(RADIANS(Profile!Y222))))),AI193),0)</f>
        <v>#VALUE!:notNumber:For input string: "---"</v>
      </c>
      <c t="str" s="348" r="AJ194">
        <f>IF((AK$15=TRUE),IF(ISNUMBER(Profile!Y222),IF(ISNUMBER(Profile!Y223),(((X194-((F$63/2)*COS(RADIANS(Profile!Y223))))+(X194-((F$63/2)*COS(RADIANS(Profile!Y222)))))/2),(X194-((F$63/2)*COS(RADIANS(Profile!Y222))))),AJ193),0)</f>
        <v>#VALUE!:notNumber:For input string: "---"</v>
      </c>
      <c t="str" s="799" r="AK194">
        <f>IF((AK$15=TRUE),IF(ISNUMBER(Profile!Y222),IF(ISNUMBER(Profile!Y223),(((Y194+((F$63/2)*SIN(RADIANS(Profile!Y223))))+(Y194+((F$63/2)*SIN(RADIANS(Profile!Y222)))))/2),(Y194+((F$63/2)*SIN(RADIANS(Profile!Y222))))),AK193),0)</f>
        <v>#VALUE!:notNumber:For input string: "---"</v>
      </c>
      <c s="51" r="AL194"/>
      <c s="125" r="AM194"/>
    </row>
    <row r="195">
      <c s="125" r="A195"/>
      <c s="125" r="B195"/>
      <c s="125" r="C195"/>
      <c s="125" r="D195"/>
      <c s="125" r="E195"/>
      <c s="125" r="F195"/>
      <c s="125" r="G195"/>
      <c s="125" r="H195"/>
      <c s="125" r="I195"/>
      <c s="125" r="J195"/>
      <c s="125" r="K195"/>
      <c s="125" r="L195"/>
      <c s="125" r="M195"/>
      <c s="125" r="N195"/>
      <c s="125" r="O195"/>
      <c s="125" r="P195"/>
      <c s="125" r="Q195"/>
      <c s="125" r="R195"/>
      <c s="125" r="S195"/>
      <c s="822" r="T195"/>
      <c t="str" s="309" r="U195">
        <f>IF((Profile!L223&gt;0),Profile!L223,"")</f>
        <v/>
      </c>
      <c t="str" s="861" r="V195">
        <f>IF((Profile!O223&gt;0),Profile!O223,"---")</f>
        <v>---</v>
      </c>
      <c t="str" s="861" r="W195">
        <f>IF((Profile!Y223=0),IF((Profile!Y222=0),"---",IF((Profile!Y224=0),"---",Profile!Y223)),Profile!Y223)</f>
        <v>---</v>
      </c>
      <c s="239" r="X195">
        <f>AB195+X194</f>
        <v>0</v>
      </c>
      <c s="796" r="Y195">
        <f>AC195+Y194</f>
        <v>0</v>
      </c>
      <c s="702" r="Z195"/>
      <c s="289" r="AA195">
        <f>IF(Profile!Y223,IF((Profile!O223=0),0,(Profile!O223-MAX(Profile!O$44:O222))),0)</f>
        <v>0</v>
      </c>
      <c s="605" r="AB195">
        <f>SIN(RADIANS(Profile!Y223))*AA195</f>
        <v>0</v>
      </c>
      <c s="605" r="AC195">
        <f>COS(RADIANS(Profile!Y223))*AA195</f>
        <v>0</v>
      </c>
      <c s="348" r="AD195">
        <f>IF((AJ$15=TRUE),X195,NA())</f>
        <v>0</v>
      </c>
      <c s="348" r="AE195">
        <f>IF((AJ$15=TRUE),Y195,NA())</f>
        <v>0</v>
      </c>
      <c t="str" s="348" r="AF195">
        <f>IF(Profile!L223,Y195,NA())</f>
        <v>#N/A:explicit</v>
      </c>
      <c s="348" r="AG195">
        <f>Profile!T223*E$40</f>
        <v>0</v>
      </c>
      <c t="str" s="348" r="AH195">
        <f>IF((AK$15=TRUE),IF(ISNUMBER(Profile!Y223),IF(ISNUMBER(Profile!Y224),(((X195+((F$63/2)*COS(RADIANS(Profile!Y224))))+(X195+((F$63/2)*COS(RADIANS(Profile!Y223)))))/2),(X195+((F$63/2)*COS(RADIANS(Profile!Y223))))),AH194),0)</f>
        <v>#VALUE!:notNumber:For input string: "---"</v>
      </c>
      <c t="str" s="348" r="AI195">
        <f>IF((AK$15=TRUE),IF(ISNUMBER(Profile!Y223),IF(ISNUMBER(Profile!Y224),(((Y195-((F$63/2)*SIN(RADIANS(Profile!Y224))))+(Y195-((F$63/2)*SIN(RADIANS(Profile!Y223)))))/2),(Y195-((F$63/2)*SIN(RADIANS(Profile!Y223))))),AI194),0)</f>
        <v>#VALUE!:notNumber:For input string: "---"</v>
      </c>
      <c t="str" s="348" r="AJ195">
        <f>IF((AK$15=TRUE),IF(ISNUMBER(Profile!Y223),IF(ISNUMBER(Profile!Y224),(((X195-((F$63/2)*COS(RADIANS(Profile!Y224))))+(X195-((F$63/2)*COS(RADIANS(Profile!Y223)))))/2),(X195-((F$63/2)*COS(RADIANS(Profile!Y223))))),AJ194),0)</f>
        <v>#VALUE!:notNumber:For input string: "---"</v>
      </c>
      <c t="str" s="799" r="AK195">
        <f>IF((AK$15=TRUE),IF(ISNUMBER(Profile!Y223),IF(ISNUMBER(Profile!Y224),(((Y195+((F$63/2)*SIN(RADIANS(Profile!Y224))))+(Y195+((F$63/2)*SIN(RADIANS(Profile!Y223)))))/2),(Y195+((F$63/2)*SIN(RADIANS(Profile!Y223))))),AK194),0)</f>
        <v>#VALUE!:notNumber:For input string: "---"</v>
      </c>
      <c s="51" r="AL195"/>
      <c s="125" r="AM195"/>
    </row>
    <row r="196">
      <c s="125" r="A196"/>
      <c s="125" r="B196"/>
      <c s="125" r="C196"/>
      <c s="125" r="D196"/>
      <c s="125" r="E196"/>
      <c s="125" r="F196"/>
      <c s="125" r="G196"/>
      <c s="125" r="H196"/>
      <c s="125" r="I196"/>
      <c s="125" r="J196"/>
      <c s="125" r="K196"/>
      <c s="125" r="L196"/>
      <c s="125" r="M196"/>
      <c s="125" r="N196"/>
      <c s="125" r="O196"/>
      <c s="125" r="P196"/>
      <c s="125" r="Q196"/>
      <c s="125" r="R196"/>
      <c s="125" r="S196"/>
      <c s="822" r="T196"/>
      <c t="str" s="309" r="U196">
        <f>IF((Profile!L224&gt;0),Profile!L224,"")</f>
        <v/>
      </c>
      <c t="str" s="861" r="V196">
        <f>IF((Profile!O224&gt;0),Profile!O224,"---")</f>
        <v>---</v>
      </c>
      <c t="str" s="861" r="W196">
        <f>IF((Profile!Y224=0),IF((Profile!Y223=0),"---",IF((Profile!Y225=0),"---",Profile!Y224)),Profile!Y224)</f>
        <v>---</v>
      </c>
      <c s="239" r="X196">
        <f>AB196+X195</f>
        <v>0</v>
      </c>
      <c s="796" r="Y196">
        <f>AC196+Y195</f>
        <v>0</v>
      </c>
      <c s="702" r="Z196"/>
      <c s="289" r="AA196">
        <f>IF(Profile!Y224,IF((Profile!O224=0),0,(Profile!O224-MAX(Profile!O$44:O223))),0)</f>
        <v>0</v>
      </c>
      <c s="605" r="AB196">
        <f>SIN(RADIANS(Profile!Y224))*AA196</f>
        <v>0</v>
      </c>
      <c s="605" r="AC196">
        <f>COS(RADIANS(Profile!Y224))*AA196</f>
        <v>0</v>
      </c>
      <c s="348" r="AD196">
        <f>IF((AJ$15=TRUE),X196,NA())</f>
        <v>0</v>
      </c>
      <c s="348" r="AE196">
        <f>IF((AJ$15=TRUE),Y196,NA())</f>
        <v>0</v>
      </c>
      <c t="str" s="348" r="AF196">
        <f>IF(Profile!L224,Y196,NA())</f>
        <v>#N/A:explicit</v>
      </c>
      <c s="348" r="AG196">
        <f>Profile!T224*E$40</f>
        <v>0</v>
      </c>
      <c t="str" s="348" r="AH196">
        <f>IF((AK$15=TRUE),IF(ISNUMBER(Profile!Y224),IF(ISNUMBER(Profile!Y225),(((X196+((F$63/2)*COS(RADIANS(Profile!Y225))))+(X196+((F$63/2)*COS(RADIANS(Profile!Y224)))))/2),(X196+((F$63/2)*COS(RADIANS(Profile!Y224))))),AH195),0)</f>
        <v>#VALUE!:notNumber:For input string: "---"</v>
      </c>
      <c t="str" s="348" r="AI196">
        <f>IF((AK$15=TRUE),IF(ISNUMBER(Profile!Y224),IF(ISNUMBER(Profile!Y225),(((Y196-((F$63/2)*SIN(RADIANS(Profile!Y225))))+(Y196-((F$63/2)*SIN(RADIANS(Profile!Y224)))))/2),(Y196-((F$63/2)*SIN(RADIANS(Profile!Y224))))),AI195),0)</f>
        <v>#VALUE!:notNumber:For input string: "---"</v>
      </c>
      <c t="str" s="348" r="AJ196">
        <f>IF((AK$15=TRUE),IF(ISNUMBER(Profile!Y224),IF(ISNUMBER(Profile!Y225),(((X196-((F$63/2)*COS(RADIANS(Profile!Y225))))+(X196-((F$63/2)*COS(RADIANS(Profile!Y224)))))/2),(X196-((F$63/2)*COS(RADIANS(Profile!Y224))))),AJ195),0)</f>
        <v>#VALUE!:notNumber:For input string: "---"</v>
      </c>
      <c t="str" s="799" r="AK196">
        <f>IF((AK$15=TRUE),IF(ISNUMBER(Profile!Y224),IF(ISNUMBER(Profile!Y225),(((Y196+((F$63/2)*SIN(RADIANS(Profile!Y225))))+(Y196+((F$63/2)*SIN(RADIANS(Profile!Y224)))))/2),(Y196+((F$63/2)*SIN(RADIANS(Profile!Y224))))),AK195),0)</f>
        <v>#VALUE!:notNumber:For input string: "---"</v>
      </c>
      <c s="51" r="AL196"/>
      <c s="125" r="AM196"/>
    </row>
    <row r="197">
      <c s="125" r="A197"/>
      <c s="125" r="B197"/>
      <c s="125" r="C197"/>
      <c s="125" r="D197"/>
      <c s="125" r="E197"/>
      <c s="125" r="F197"/>
      <c s="125" r="G197"/>
      <c s="125" r="H197"/>
      <c s="125" r="I197"/>
      <c s="125" r="J197"/>
      <c s="125" r="K197"/>
      <c s="125" r="L197"/>
      <c s="125" r="M197"/>
      <c s="125" r="N197"/>
      <c s="125" r="O197"/>
      <c s="125" r="P197"/>
      <c s="125" r="Q197"/>
      <c s="125" r="R197"/>
      <c s="125" r="S197"/>
      <c s="822" r="T197"/>
      <c t="str" s="309" r="U197">
        <f>IF((Profile!L225&gt;0),Profile!L225,"")</f>
        <v/>
      </c>
      <c t="str" s="861" r="V197">
        <f>IF((Profile!O225&gt;0),Profile!O225,"---")</f>
        <v>---</v>
      </c>
      <c t="str" s="861" r="W197">
        <f>IF((Profile!Y225=0),IF((Profile!Y224=0),"---",IF((Profile!Y226=0),"---",Profile!Y225)),Profile!Y225)</f>
        <v>---</v>
      </c>
      <c s="239" r="X197">
        <f>AB197+X196</f>
        <v>0</v>
      </c>
      <c s="796" r="Y197">
        <f>AC197+Y196</f>
        <v>0</v>
      </c>
      <c s="702" r="Z197"/>
      <c s="289" r="AA197">
        <f>IF(Profile!Y225,IF((Profile!O225=0),0,(Profile!O225-MAX(Profile!O$44:O224))),0)</f>
        <v>0</v>
      </c>
      <c s="605" r="AB197">
        <f>SIN(RADIANS(Profile!Y225))*AA197</f>
        <v>0</v>
      </c>
      <c s="605" r="AC197">
        <f>COS(RADIANS(Profile!Y225))*AA197</f>
        <v>0</v>
      </c>
      <c s="348" r="AD197">
        <f>IF((AJ$15=TRUE),X197,NA())</f>
        <v>0</v>
      </c>
      <c s="348" r="AE197">
        <f>IF((AJ$15=TRUE),Y197,NA())</f>
        <v>0</v>
      </c>
      <c t="str" s="348" r="AF197">
        <f>IF(Profile!L225,Y197,NA())</f>
        <v>#N/A:explicit</v>
      </c>
      <c s="348" r="AG197">
        <f>Profile!T225*E$40</f>
        <v>0</v>
      </c>
      <c t="str" s="348" r="AH197">
        <f>IF((AK$15=TRUE),IF(ISNUMBER(Profile!Y225),IF(ISNUMBER(Profile!Y226),(((X197+((F$63/2)*COS(RADIANS(Profile!Y226))))+(X197+((F$63/2)*COS(RADIANS(Profile!Y225)))))/2),(X197+((F$63/2)*COS(RADIANS(Profile!Y225))))),AH196),0)</f>
        <v>#VALUE!:notNumber:For input string: "---"</v>
      </c>
      <c t="str" s="348" r="AI197">
        <f>IF((AK$15=TRUE),IF(ISNUMBER(Profile!Y225),IF(ISNUMBER(Profile!Y226),(((Y197-((F$63/2)*SIN(RADIANS(Profile!Y226))))+(Y197-((F$63/2)*SIN(RADIANS(Profile!Y225)))))/2),(Y197-((F$63/2)*SIN(RADIANS(Profile!Y225))))),AI196),0)</f>
        <v>#VALUE!:notNumber:For input string: "---"</v>
      </c>
      <c t="str" s="348" r="AJ197">
        <f>IF((AK$15=TRUE),IF(ISNUMBER(Profile!Y225),IF(ISNUMBER(Profile!Y226),(((X197-((F$63/2)*COS(RADIANS(Profile!Y226))))+(X197-((F$63/2)*COS(RADIANS(Profile!Y225)))))/2),(X197-((F$63/2)*COS(RADIANS(Profile!Y225))))),AJ196),0)</f>
        <v>#VALUE!:notNumber:For input string: "---"</v>
      </c>
      <c t="str" s="799" r="AK197">
        <f>IF((AK$15=TRUE),IF(ISNUMBER(Profile!Y225),IF(ISNUMBER(Profile!Y226),(((Y197+((F$63/2)*SIN(RADIANS(Profile!Y226))))+(Y197+((F$63/2)*SIN(RADIANS(Profile!Y225)))))/2),(Y197+((F$63/2)*SIN(RADIANS(Profile!Y225))))),AK196),0)</f>
        <v>#VALUE!:notNumber:For input string: "---"</v>
      </c>
      <c s="51" r="AL197"/>
      <c s="125" r="AM197"/>
    </row>
    <row r="198">
      <c s="125" r="A198"/>
      <c s="125" r="B198"/>
      <c s="125" r="C198"/>
      <c s="125" r="D198"/>
      <c s="125" r="E198"/>
      <c s="125" r="F198"/>
      <c s="125" r="G198"/>
      <c s="125" r="H198"/>
      <c s="125" r="I198"/>
      <c s="125" r="J198"/>
      <c s="125" r="K198"/>
      <c s="125" r="L198"/>
      <c s="125" r="M198"/>
      <c s="125" r="N198"/>
      <c s="125" r="O198"/>
      <c s="125" r="P198"/>
      <c s="125" r="Q198"/>
      <c s="125" r="R198"/>
      <c s="125" r="S198"/>
      <c s="822" r="T198"/>
      <c t="str" s="309" r="U198">
        <f>IF((Profile!L226&gt;0),Profile!L226,"")</f>
        <v/>
      </c>
      <c t="str" s="861" r="V198">
        <f>IF((Profile!O226&gt;0),Profile!O226,"---")</f>
        <v>---</v>
      </c>
      <c t="str" s="861" r="W198">
        <f>IF((Profile!Y226=0),IF((Profile!Y225=0),"---",IF((Profile!Y227=0),"---",Profile!Y226)),Profile!Y226)</f>
        <v>---</v>
      </c>
      <c s="239" r="X198">
        <f>AB198+X197</f>
        <v>0</v>
      </c>
      <c s="796" r="Y198">
        <f>AC198+Y197</f>
        <v>0</v>
      </c>
      <c s="702" r="Z198"/>
      <c s="289" r="AA198">
        <f>IF(Profile!Y226,IF((Profile!O226=0),0,(Profile!O226-MAX(Profile!O$44:O225))),0)</f>
        <v>0</v>
      </c>
      <c s="605" r="AB198">
        <f>SIN(RADIANS(Profile!Y226))*AA198</f>
        <v>0</v>
      </c>
      <c s="605" r="AC198">
        <f>COS(RADIANS(Profile!Y226))*AA198</f>
        <v>0</v>
      </c>
      <c s="348" r="AD198">
        <f>IF((AJ$15=TRUE),X198,NA())</f>
        <v>0</v>
      </c>
      <c s="348" r="AE198">
        <f>IF((AJ$15=TRUE),Y198,NA())</f>
        <v>0</v>
      </c>
      <c t="str" s="348" r="AF198">
        <f>IF(Profile!L226,Y198,NA())</f>
        <v>#N/A:explicit</v>
      </c>
      <c s="348" r="AG198">
        <f>Profile!T226*E$40</f>
        <v>0</v>
      </c>
      <c t="str" s="348" r="AH198">
        <f>IF((AK$15=TRUE),IF(ISNUMBER(Profile!Y226),IF(ISNUMBER(Profile!Y227),(((X198+((F$63/2)*COS(RADIANS(Profile!Y227))))+(X198+((F$63/2)*COS(RADIANS(Profile!Y226)))))/2),(X198+((F$63/2)*COS(RADIANS(Profile!Y226))))),AH197),0)</f>
        <v>#VALUE!:notNumber:For input string: "---"</v>
      </c>
      <c t="str" s="348" r="AI198">
        <f>IF((AK$15=TRUE),IF(ISNUMBER(Profile!Y226),IF(ISNUMBER(Profile!Y227),(((Y198-((F$63/2)*SIN(RADIANS(Profile!Y227))))+(Y198-((F$63/2)*SIN(RADIANS(Profile!Y226)))))/2),(Y198-((F$63/2)*SIN(RADIANS(Profile!Y226))))),AI197),0)</f>
        <v>#VALUE!:notNumber:For input string: "---"</v>
      </c>
      <c t="str" s="348" r="AJ198">
        <f>IF((AK$15=TRUE),IF(ISNUMBER(Profile!Y226),IF(ISNUMBER(Profile!Y227),(((X198-((F$63/2)*COS(RADIANS(Profile!Y227))))+(X198-((F$63/2)*COS(RADIANS(Profile!Y226)))))/2),(X198-((F$63/2)*COS(RADIANS(Profile!Y226))))),AJ197),0)</f>
        <v>#VALUE!:notNumber:For input string: "---"</v>
      </c>
      <c t="str" s="799" r="AK198">
        <f>IF((AK$15=TRUE),IF(ISNUMBER(Profile!Y226),IF(ISNUMBER(Profile!Y227),(((Y198+((F$63/2)*SIN(RADIANS(Profile!Y227))))+(Y198+((F$63/2)*SIN(RADIANS(Profile!Y226)))))/2),(Y198+((F$63/2)*SIN(RADIANS(Profile!Y226))))),AK197),0)</f>
        <v>#VALUE!:notNumber:For input string: "---"</v>
      </c>
      <c s="51" r="AL198"/>
      <c s="125" r="AM198"/>
    </row>
    <row r="199">
      <c s="125" r="A199"/>
      <c s="125" r="B199"/>
      <c s="125" r="C199"/>
      <c s="125" r="D199"/>
      <c s="125" r="E199"/>
      <c s="125" r="F199"/>
      <c s="125" r="G199"/>
      <c s="125" r="H199"/>
      <c s="125" r="I199"/>
      <c s="125" r="J199"/>
      <c s="125" r="K199"/>
      <c s="125" r="L199"/>
      <c s="125" r="M199"/>
      <c s="125" r="N199"/>
      <c s="125" r="O199"/>
      <c s="125" r="P199"/>
      <c s="125" r="Q199"/>
      <c s="125" r="R199"/>
      <c s="125" r="S199"/>
      <c s="822" r="T199"/>
      <c t="str" s="309" r="U199">
        <f>IF((Profile!L227&gt;0),Profile!L227,"")</f>
        <v/>
      </c>
      <c t="str" s="861" r="V199">
        <f>IF((Profile!O227&gt;0),Profile!O227,"---")</f>
        <v>---</v>
      </c>
      <c t="str" s="861" r="W199">
        <f>IF((Profile!Y227=0),IF((Profile!Y226=0),"---",IF((Profile!Y228=0),"---",Profile!Y227)),Profile!Y227)</f>
        <v>---</v>
      </c>
      <c s="239" r="X199">
        <f>AB199+X198</f>
        <v>0</v>
      </c>
      <c s="796" r="Y199">
        <f>AC199+Y198</f>
        <v>0</v>
      </c>
      <c s="702" r="Z199"/>
      <c s="289" r="AA199">
        <f>IF(Profile!Y227,IF((Profile!O227=0),0,(Profile!O227-MAX(Profile!O$44:O226))),0)</f>
        <v>0</v>
      </c>
      <c s="605" r="AB199">
        <f>SIN(RADIANS(Profile!Y227))*AA199</f>
        <v>0</v>
      </c>
      <c s="605" r="AC199">
        <f>COS(RADIANS(Profile!Y227))*AA199</f>
        <v>0</v>
      </c>
      <c s="348" r="AD199">
        <f>IF((AJ$15=TRUE),X199,NA())</f>
        <v>0</v>
      </c>
      <c s="348" r="AE199">
        <f>IF((AJ$15=TRUE),Y199,NA())</f>
        <v>0</v>
      </c>
      <c t="str" s="348" r="AF199">
        <f>IF(Profile!L227,Y199,NA())</f>
        <v>#N/A:explicit</v>
      </c>
      <c s="348" r="AG199">
        <f>Profile!T227*E$40</f>
        <v>0</v>
      </c>
      <c t="str" s="348" r="AH199">
        <f>IF((AK$15=TRUE),IF(ISNUMBER(Profile!Y227),IF(ISNUMBER(Profile!Y228),(((X199+((F$63/2)*COS(RADIANS(Profile!Y228))))+(X199+((F$63/2)*COS(RADIANS(Profile!Y227)))))/2),(X199+((F$63/2)*COS(RADIANS(Profile!Y227))))),AH198),0)</f>
        <v>#VALUE!:notNumber:For input string: "---"</v>
      </c>
      <c t="str" s="348" r="AI199">
        <f>IF((AK$15=TRUE),IF(ISNUMBER(Profile!Y227),IF(ISNUMBER(Profile!Y228),(((Y199-((F$63/2)*SIN(RADIANS(Profile!Y228))))+(Y199-((F$63/2)*SIN(RADIANS(Profile!Y227)))))/2),(Y199-((F$63/2)*SIN(RADIANS(Profile!Y227))))),AI198),0)</f>
        <v>#VALUE!:notNumber:For input string: "---"</v>
      </c>
      <c t="str" s="348" r="AJ199">
        <f>IF((AK$15=TRUE),IF(ISNUMBER(Profile!Y227),IF(ISNUMBER(Profile!Y228),(((X199-((F$63/2)*COS(RADIANS(Profile!Y228))))+(X199-((F$63/2)*COS(RADIANS(Profile!Y227)))))/2),(X199-((F$63/2)*COS(RADIANS(Profile!Y227))))),AJ198),0)</f>
        <v>#VALUE!:notNumber:For input string: "---"</v>
      </c>
      <c t="str" s="799" r="AK199">
        <f>IF((AK$15=TRUE),IF(ISNUMBER(Profile!Y227),IF(ISNUMBER(Profile!Y228),(((Y199+((F$63/2)*SIN(RADIANS(Profile!Y228))))+(Y199+((F$63/2)*SIN(RADIANS(Profile!Y227)))))/2),(Y199+((F$63/2)*SIN(RADIANS(Profile!Y227))))),AK198),0)</f>
        <v>#VALUE!:notNumber:For input string: "---"</v>
      </c>
      <c s="51" r="AL199"/>
      <c s="125" r="AM199"/>
    </row>
    <row r="200">
      <c s="125" r="A200"/>
      <c s="125" r="B200"/>
      <c s="125" r="C200"/>
      <c s="125" r="D200"/>
      <c s="125" r="E200"/>
      <c s="125" r="F200"/>
      <c s="125" r="G200"/>
      <c s="125" r="H200"/>
      <c s="125" r="I200"/>
      <c s="125" r="J200"/>
      <c s="125" r="K200"/>
      <c s="125" r="L200"/>
      <c s="125" r="M200"/>
      <c s="125" r="N200"/>
      <c s="125" r="O200"/>
      <c s="125" r="P200"/>
      <c s="125" r="Q200"/>
      <c s="125" r="R200"/>
      <c s="125" r="S200"/>
      <c s="822" r="T200"/>
      <c t="str" s="309" r="U200">
        <f>IF((Profile!L228&gt;0),Profile!L228,"")</f>
        <v/>
      </c>
      <c t="str" s="861" r="V200">
        <f>IF((Profile!O228&gt;0),Profile!O228,"---")</f>
        <v>---</v>
      </c>
      <c t="str" s="861" r="W200">
        <f>IF((Profile!Y228=0),IF((Profile!Y227=0),"---",IF((Profile!Y229=0),"---",Profile!Y228)),Profile!Y228)</f>
        <v>---</v>
      </c>
      <c s="239" r="X200">
        <f>AB200+X199</f>
        <v>0</v>
      </c>
      <c s="796" r="Y200">
        <f>AC200+Y199</f>
        <v>0</v>
      </c>
      <c s="702" r="Z200"/>
      <c s="289" r="AA200">
        <f>IF(Profile!Y228,IF((Profile!O228=0),0,(Profile!O228-MAX(Profile!O$44:O227))),0)</f>
        <v>0</v>
      </c>
      <c s="605" r="AB200">
        <f>SIN(RADIANS(Profile!Y228))*AA200</f>
        <v>0</v>
      </c>
      <c s="605" r="AC200">
        <f>COS(RADIANS(Profile!Y228))*AA200</f>
        <v>0</v>
      </c>
      <c s="348" r="AD200">
        <f>IF((AJ$15=TRUE),X200,NA())</f>
        <v>0</v>
      </c>
      <c s="348" r="AE200">
        <f>IF((AJ$15=TRUE),Y200,NA())</f>
        <v>0</v>
      </c>
      <c t="str" s="348" r="AF200">
        <f>IF(Profile!L228,Y200,NA())</f>
        <v>#N/A:explicit</v>
      </c>
      <c s="348" r="AG200">
        <f>Profile!T228*E$40</f>
        <v>0</v>
      </c>
      <c t="str" s="348" r="AH200">
        <f>IF((AK$15=TRUE),IF(ISNUMBER(Profile!Y228),IF(ISNUMBER(Profile!Y229),(((X200+((F$63/2)*COS(RADIANS(Profile!Y229))))+(X200+((F$63/2)*COS(RADIANS(Profile!Y228)))))/2),(X200+((F$63/2)*COS(RADIANS(Profile!Y228))))),AH199),0)</f>
        <v>#VALUE!:notNumber:For input string: "---"</v>
      </c>
      <c t="str" s="348" r="AI200">
        <f>IF((AK$15=TRUE),IF(ISNUMBER(Profile!Y228),IF(ISNUMBER(Profile!Y229),(((Y200-((F$63/2)*SIN(RADIANS(Profile!Y229))))+(Y200-((F$63/2)*SIN(RADIANS(Profile!Y228)))))/2),(Y200-((F$63/2)*SIN(RADIANS(Profile!Y228))))),AI199),0)</f>
        <v>#VALUE!:notNumber:For input string: "---"</v>
      </c>
      <c t="str" s="348" r="AJ200">
        <f>IF((AK$15=TRUE),IF(ISNUMBER(Profile!Y228),IF(ISNUMBER(Profile!Y229),(((X200-((F$63/2)*COS(RADIANS(Profile!Y229))))+(X200-((F$63/2)*COS(RADIANS(Profile!Y228)))))/2),(X200-((F$63/2)*COS(RADIANS(Profile!Y228))))),AJ199),0)</f>
        <v>#VALUE!:notNumber:For input string: "---"</v>
      </c>
      <c t="str" s="799" r="AK200">
        <f>IF((AK$15=TRUE),IF(ISNUMBER(Profile!Y228),IF(ISNUMBER(Profile!Y229),(((Y200+((F$63/2)*SIN(RADIANS(Profile!Y229))))+(Y200+((F$63/2)*SIN(RADIANS(Profile!Y228)))))/2),(Y200+((F$63/2)*SIN(RADIANS(Profile!Y228))))),AK199),0)</f>
        <v>#VALUE!:notNumber:For input string: "---"</v>
      </c>
      <c s="51" r="AL200"/>
      <c s="125" r="AM200"/>
    </row>
    <row r="201">
      <c s="125" r="A201"/>
      <c s="125" r="B201"/>
      <c s="125" r="C201"/>
      <c s="125" r="D201"/>
      <c s="125" r="E201"/>
      <c s="125" r="F201"/>
      <c s="125" r="G201"/>
      <c s="125" r="H201"/>
      <c s="125" r="I201"/>
      <c s="125" r="J201"/>
      <c s="125" r="K201"/>
      <c s="125" r="L201"/>
      <c s="125" r="M201"/>
      <c s="125" r="N201"/>
      <c s="125" r="O201"/>
      <c s="125" r="P201"/>
      <c s="125" r="Q201"/>
      <c s="125" r="R201"/>
      <c s="125" r="S201"/>
      <c s="822" r="T201"/>
      <c t="str" s="309" r="U201">
        <f>IF((Profile!L229&gt;0),Profile!L229,"")</f>
        <v/>
      </c>
      <c t="str" s="861" r="V201">
        <f>IF((Profile!O229&gt;0),Profile!O229,"---")</f>
        <v>---</v>
      </c>
      <c t="str" s="861" r="W201">
        <f>IF((Profile!Y229=0),IF((Profile!Y228=0),"---",IF((Profile!Y230=0),"---",Profile!Y229)),Profile!Y229)</f>
        <v>---</v>
      </c>
      <c s="239" r="X201">
        <f>AB201+X200</f>
        <v>0</v>
      </c>
      <c s="796" r="Y201">
        <f>AC201+Y200</f>
        <v>0</v>
      </c>
      <c s="702" r="Z201"/>
      <c s="289" r="AA201">
        <f>IF(Profile!Y229,IF((Profile!O229=0),0,(Profile!O229-MAX(Profile!O$44:O228))),0)</f>
        <v>0</v>
      </c>
      <c s="605" r="AB201">
        <f>SIN(RADIANS(Profile!Y229))*AA201</f>
        <v>0</v>
      </c>
      <c s="605" r="AC201">
        <f>COS(RADIANS(Profile!Y229))*AA201</f>
        <v>0</v>
      </c>
      <c s="348" r="AD201">
        <f>IF((AJ$15=TRUE),X201,NA())</f>
        <v>0</v>
      </c>
      <c s="348" r="AE201">
        <f>IF((AJ$15=TRUE),Y201,NA())</f>
        <v>0</v>
      </c>
      <c t="str" s="348" r="AF201">
        <f>IF(Profile!L229,Y201,NA())</f>
        <v>#N/A:explicit</v>
      </c>
      <c s="348" r="AG201">
        <f>Profile!T229*E$40</f>
        <v>0</v>
      </c>
      <c t="str" s="348" r="AH201">
        <f>IF((AK$15=TRUE),IF(ISNUMBER(Profile!Y229),IF(ISNUMBER(Profile!Y230),(((X201+((F$63/2)*COS(RADIANS(Profile!Y230))))+(X201+((F$63/2)*COS(RADIANS(Profile!Y229)))))/2),(X201+((F$63/2)*COS(RADIANS(Profile!Y229))))),AH200),0)</f>
        <v>#VALUE!:notNumber:For input string: "---"</v>
      </c>
      <c t="str" s="348" r="AI201">
        <f>IF((AK$15=TRUE),IF(ISNUMBER(Profile!Y229),IF(ISNUMBER(Profile!Y230),(((Y201-((F$63/2)*SIN(RADIANS(Profile!Y230))))+(Y201-((F$63/2)*SIN(RADIANS(Profile!Y229)))))/2),(Y201-((F$63/2)*SIN(RADIANS(Profile!Y229))))),AI200),0)</f>
        <v>#VALUE!:notNumber:For input string: "---"</v>
      </c>
      <c t="str" s="348" r="AJ201">
        <f>IF((AK$15=TRUE),IF(ISNUMBER(Profile!Y229),IF(ISNUMBER(Profile!Y230),(((X201-((F$63/2)*COS(RADIANS(Profile!Y230))))+(X201-((F$63/2)*COS(RADIANS(Profile!Y229)))))/2),(X201-((F$63/2)*COS(RADIANS(Profile!Y229))))),AJ200),0)</f>
        <v>#VALUE!:notNumber:For input string: "---"</v>
      </c>
      <c t="str" s="799" r="AK201">
        <f>IF((AK$15=TRUE),IF(ISNUMBER(Profile!Y229),IF(ISNUMBER(Profile!Y230),(((Y201+((F$63/2)*SIN(RADIANS(Profile!Y230))))+(Y201+((F$63/2)*SIN(RADIANS(Profile!Y229)))))/2),(Y201+((F$63/2)*SIN(RADIANS(Profile!Y229))))),AK200),0)</f>
        <v>#VALUE!:notNumber:For input string: "---"</v>
      </c>
      <c s="51" r="AL201"/>
      <c s="125" r="AM201"/>
    </row>
    <row r="202">
      <c s="125" r="A202"/>
      <c s="125" r="B202"/>
      <c s="125" r="C202"/>
      <c s="125" r="D202"/>
      <c s="125" r="E202"/>
      <c s="125" r="F202"/>
      <c s="125" r="G202"/>
      <c s="125" r="H202"/>
      <c s="125" r="I202"/>
      <c s="125" r="J202"/>
      <c s="125" r="K202"/>
      <c s="125" r="L202"/>
      <c s="125" r="M202"/>
      <c s="125" r="N202"/>
      <c s="125" r="O202"/>
      <c s="125" r="P202"/>
      <c s="125" r="Q202"/>
      <c s="125" r="R202"/>
      <c s="125" r="S202"/>
      <c s="822" r="T202"/>
      <c t="str" s="309" r="U202">
        <f>IF((Profile!L230&gt;0),Profile!L230,"")</f>
        <v/>
      </c>
      <c t="str" s="861" r="V202">
        <f>IF((Profile!O230&gt;0),Profile!O230,"---")</f>
        <v>---</v>
      </c>
      <c t="str" s="861" r="W202">
        <f>IF((Profile!Y230=0),IF((Profile!Y229=0),"---",IF((Profile!Y231=0),"---",Profile!Y230)),Profile!Y230)</f>
        <v>---</v>
      </c>
      <c s="239" r="X202">
        <f>AB202+X201</f>
        <v>0</v>
      </c>
      <c s="796" r="Y202">
        <f>AC202+Y201</f>
        <v>0</v>
      </c>
      <c s="702" r="Z202"/>
      <c s="289" r="AA202">
        <f>IF(Profile!Y230,IF((Profile!O230=0),0,(Profile!O230-MAX(Profile!O$44:O229))),0)</f>
        <v>0</v>
      </c>
      <c s="605" r="AB202">
        <f>SIN(RADIANS(Profile!Y230))*AA202</f>
        <v>0</v>
      </c>
      <c s="605" r="AC202">
        <f>COS(RADIANS(Profile!Y230))*AA202</f>
        <v>0</v>
      </c>
      <c s="348" r="AD202">
        <f>IF((AJ$15=TRUE),X202,NA())</f>
        <v>0</v>
      </c>
      <c s="348" r="AE202">
        <f>IF((AJ$15=TRUE),Y202,NA())</f>
        <v>0</v>
      </c>
      <c t="str" s="348" r="AF202">
        <f>IF(Profile!L230,Y202,NA())</f>
        <v>#N/A:explicit</v>
      </c>
      <c s="348" r="AG202">
        <f>Profile!T230*E$40</f>
        <v>0</v>
      </c>
      <c t="str" s="348" r="AH202">
        <f>IF((AK$15=TRUE),IF(ISNUMBER(Profile!Y230),IF(ISNUMBER(Profile!Y231),(((X202+((F$63/2)*COS(RADIANS(Profile!Y231))))+(X202+((F$63/2)*COS(RADIANS(Profile!Y230)))))/2),(X202+((F$63/2)*COS(RADIANS(Profile!Y230))))),AH201),0)</f>
        <v>#VALUE!:notNumber:For input string: "---"</v>
      </c>
      <c t="str" s="348" r="AI202">
        <f>IF((AK$15=TRUE),IF(ISNUMBER(Profile!Y230),IF(ISNUMBER(Profile!Y231),(((Y202-((F$63/2)*SIN(RADIANS(Profile!Y231))))+(Y202-((F$63/2)*SIN(RADIANS(Profile!Y230)))))/2),(Y202-((F$63/2)*SIN(RADIANS(Profile!Y230))))),AI201),0)</f>
        <v>#VALUE!:notNumber:For input string: "---"</v>
      </c>
      <c t="str" s="348" r="AJ202">
        <f>IF((AK$15=TRUE),IF(ISNUMBER(Profile!Y230),IF(ISNUMBER(Profile!Y231),(((X202-((F$63/2)*COS(RADIANS(Profile!Y231))))+(X202-((F$63/2)*COS(RADIANS(Profile!Y230)))))/2),(X202-((F$63/2)*COS(RADIANS(Profile!Y230))))),AJ201),0)</f>
        <v>#VALUE!:notNumber:For input string: "---"</v>
      </c>
      <c t="str" s="799" r="AK202">
        <f>IF((AK$15=TRUE),IF(ISNUMBER(Profile!Y230),IF(ISNUMBER(Profile!Y231),(((Y202+((F$63/2)*SIN(RADIANS(Profile!Y231))))+(Y202+((F$63/2)*SIN(RADIANS(Profile!Y230)))))/2),(Y202+((F$63/2)*SIN(RADIANS(Profile!Y230))))),AK201),0)</f>
        <v>#VALUE!:notNumber:For input string: "---"</v>
      </c>
      <c s="51" r="AL202"/>
      <c s="125" r="AM202"/>
    </row>
    <row r="203">
      <c s="125" r="A203"/>
      <c s="125" r="B203"/>
      <c s="125" r="C203"/>
      <c s="125" r="D203"/>
      <c s="125" r="E203"/>
      <c s="125" r="F203"/>
      <c s="125" r="G203"/>
      <c s="125" r="H203"/>
      <c s="125" r="I203"/>
      <c s="125" r="J203"/>
      <c s="125" r="K203"/>
      <c s="125" r="L203"/>
      <c s="125" r="M203"/>
      <c s="125" r="N203"/>
      <c s="125" r="O203"/>
      <c s="125" r="P203"/>
      <c s="125" r="Q203"/>
      <c s="125" r="R203"/>
      <c s="125" r="S203"/>
      <c s="822" r="T203"/>
      <c t="str" s="309" r="U203">
        <f>IF((Profile!L231&gt;0),Profile!L231,"")</f>
        <v/>
      </c>
      <c t="str" s="861" r="V203">
        <f>IF((Profile!O231&gt;0),Profile!O231,"---")</f>
        <v>---</v>
      </c>
      <c t="str" s="861" r="W203">
        <f>IF((Profile!Y231=0),IF((Profile!Y230=0),"---",IF((Profile!Y232=0),"---",Profile!Y231)),Profile!Y231)</f>
        <v>---</v>
      </c>
      <c s="239" r="X203">
        <f>AB203+X202</f>
        <v>0</v>
      </c>
      <c s="796" r="Y203">
        <f>AC203+Y202</f>
        <v>0</v>
      </c>
      <c s="702" r="Z203"/>
      <c s="289" r="AA203">
        <f>IF(Profile!Y231,IF((Profile!O231=0),0,(Profile!O231-MAX(Profile!O$44:O230))),0)</f>
        <v>0</v>
      </c>
      <c s="605" r="AB203">
        <f>SIN(RADIANS(Profile!Y231))*AA203</f>
        <v>0</v>
      </c>
      <c s="605" r="AC203">
        <f>COS(RADIANS(Profile!Y231))*AA203</f>
        <v>0</v>
      </c>
      <c s="348" r="AD203">
        <f>IF((AJ$15=TRUE),X203,NA())</f>
        <v>0</v>
      </c>
      <c s="348" r="AE203">
        <f>IF((AJ$15=TRUE),Y203,NA())</f>
        <v>0</v>
      </c>
      <c t="str" s="348" r="AF203">
        <f>IF(Profile!L231,Y203,NA())</f>
        <v>#N/A:explicit</v>
      </c>
      <c s="348" r="AG203">
        <f>Profile!T231*E$40</f>
        <v>0</v>
      </c>
      <c t="str" s="348" r="AH203">
        <f>IF((AK$15=TRUE),IF(ISNUMBER(Profile!Y231),IF(ISNUMBER(Profile!Y232),(((X203+((F$63/2)*COS(RADIANS(Profile!Y232))))+(X203+((F$63/2)*COS(RADIANS(Profile!Y231)))))/2),(X203+((F$63/2)*COS(RADIANS(Profile!Y231))))),AH202),0)</f>
        <v>#VALUE!:notNumber:For input string: "---"</v>
      </c>
      <c t="str" s="348" r="AI203">
        <f>IF((AK$15=TRUE),IF(ISNUMBER(Profile!Y231),IF(ISNUMBER(Profile!Y232),(((Y203-((F$63/2)*SIN(RADIANS(Profile!Y232))))+(Y203-((F$63/2)*SIN(RADIANS(Profile!Y231)))))/2),(Y203-((F$63/2)*SIN(RADIANS(Profile!Y231))))),AI202),0)</f>
        <v>#VALUE!:notNumber:For input string: "---"</v>
      </c>
      <c t="str" s="348" r="AJ203">
        <f>IF((AK$15=TRUE),IF(ISNUMBER(Profile!Y231),IF(ISNUMBER(Profile!Y232),(((X203-((F$63/2)*COS(RADIANS(Profile!Y232))))+(X203-((F$63/2)*COS(RADIANS(Profile!Y231)))))/2),(X203-((F$63/2)*COS(RADIANS(Profile!Y231))))),AJ202),0)</f>
        <v>#VALUE!:notNumber:For input string: "---"</v>
      </c>
      <c t="str" s="799" r="AK203">
        <f>IF((AK$15=TRUE),IF(ISNUMBER(Profile!Y231),IF(ISNUMBER(Profile!Y232),(((Y203+((F$63/2)*SIN(RADIANS(Profile!Y232))))+(Y203+((F$63/2)*SIN(RADIANS(Profile!Y231)))))/2),(Y203+((F$63/2)*SIN(RADIANS(Profile!Y231))))),AK202),0)</f>
        <v>#VALUE!:notNumber:For input string: "---"</v>
      </c>
      <c s="51" r="AL203"/>
      <c s="125" r="AM203"/>
    </row>
    <row r="204">
      <c s="125" r="A204"/>
      <c s="125" r="B204"/>
      <c s="125" r="C204"/>
      <c s="125" r="D204"/>
      <c s="125" r="E204"/>
      <c s="125" r="F204"/>
      <c s="125" r="G204"/>
      <c s="125" r="H204"/>
      <c s="125" r="I204"/>
      <c s="125" r="J204"/>
      <c s="125" r="K204"/>
      <c s="125" r="L204"/>
      <c s="125" r="M204"/>
      <c s="125" r="N204"/>
      <c s="125" r="O204"/>
      <c s="125" r="P204"/>
      <c s="125" r="Q204"/>
      <c s="125" r="R204"/>
      <c s="125" r="S204"/>
      <c s="822" r="T204"/>
      <c t="str" s="309" r="U204">
        <f>IF((Profile!L232&gt;0),Profile!L232,"")</f>
        <v/>
      </c>
      <c t="str" s="861" r="V204">
        <f>IF((Profile!O232&gt;0),Profile!O232,"---")</f>
        <v>---</v>
      </c>
      <c t="str" s="861" r="W204">
        <f>IF((Profile!Y232=0),IF((Profile!Y231=0),"---",IF((Profile!Y233=0),"---",Profile!Y232)),Profile!Y232)</f>
        <v>---</v>
      </c>
      <c s="239" r="X204">
        <f>AB204+X203</f>
        <v>0</v>
      </c>
      <c s="796" r="Y204">
        <f>AC204+Y203</f>
        <v>0</v>
      </c>
      <c s="702" r="Z204"/>
      <c s="289" r="AA204">
        <f>IF(Profile!Y232,IF((Profile!O232=0),0,(Profile!O232-MAX(Profile!O$44:O231))),0)</f>
        <v>0</v>
      </c>
      <c s="605" r="AB204">
        <f>SIN(RADIANS(Profile!Y232))*AA204</f>
        <v>0</v>
      </c>
      <c s="605" r="AC204">
        <f>COS(RADIANS(Profile!Y232))*AA204</f>
        <v>0</v>
      </c>
      <c s="348" r="AD204">
        <f>IF((AJ$15=TRUE),X204,NA())</f>
        <v>0</v>
      </c>
      <c s="348" r="AE204">
        <f>IF((AJ$15=TRUE),Y204,NA())</f>
        <v>0</v>
      </c>
      <c t="str" s="348" r="AF204">
        <f>IF(Profile!L232,Y204,NA())</f>
        <v>#N/A:explicit</v>
      </c>
      <c s="348" r="AG204">
        <f>Profile!T232*E$40</f>
        <v>0</v>
      </c>
      <c t="str" s="348" r="AH204">
        <f>IF((AK$15=TRUE),IF(ISNUMBER(Profile!Y232),IF(ISNUMBER(Profile!Y233),(((X204+((F$63/2)*COS(RADIANS(Profile!Y233))))+(X204+((F$63/2)*COS(RADIANS(Profile!Y232)))))/2),(X204+((F$63/2)*COS(RADIANS(Profile!Y232))))),AH203),0)</f>
        <v>#VALUE!:notNumber:For input string: "---"</v>
      </c>
      <c t="str" s="348" r="AI204">
        <f>IF((AK$15=TRUE),IF(ISNUMBER(Profile!Y232),IF(ISNUMBER(Profile!Y233),(((Y204-((F$63/2)*SIN(RADIANS(Profile!Y233))))+(Y204-((F$63/2)*SIN(RADIANS(Profile!Y232)))))/2),(Y204-((F$63/2)*SIN(RADIANS(Profile!Y232))))),AI203),0)</f>
        <v>#VALUE!:notNumber:For input string: "---"</v>
      </c>
      <c t="str" s="348" r="AJ204">
        <f>IF((AK$15=TRUE),IF(ISNUMBER(Profile!Y232),IF(ISNUMBER(Profile!Y233),(((X204-((F$63/2)*COS(RADIANS(Profile!Y233))))+(X204-((F$63/2)*COS(RADIANS(Profile!Y232)))))/2),(X204-((F$63/2)*COS(RADIANS(Profile!Y232))))),AJ203),0)</f>
        <v>#VALUE!:notNumber:For input string: "---"</v>
      </c>
      <c t="str" s="799" r="AK204">
        <f>IF((AK$15=TRUE),IF(ISNUMBER(Profile!Y232),IF(ISNUMBER(Profile!Y233),(((Y204+((F$63/2)*SIN(RADIANS(Profile!Y233))))+(Y204+((F$63/2)*SIN(RADIANS(Profile!Y232)))))/2),(Y204+((F$63/2)*SIN(RADIANS(Profile!Y232))))),AK203),0)</f>
        <v>#VALUE!:notNumber:For input string: "---"</v>
      </c>
      <c s="51" r="AL204"/>
      <c s="125" r="AM204"/>
    </row>
    <row r="205">
      <c s="125" r="A205"/>
      <c s="125" r="B205"/>
      <c s="125" r="C205"/>
      <c s="125" r="D205"/>
      <c s="125" r="E205"/>
      <c s="125" r="F205"/>
      <c s="125" r="G205"/>
      <c s="125" r="H205"/>
      <c s="125" r="I205"/>
      <c s="125" r="J205"/>
      <c s="125" r="K205"/>
      <c s="125" r="L205"/>
      <c s="125" r="M205"/>
      <c s="125" r="N205"/>
      <c s="125" r="O205"/>
      <c s="125" r="P205"/>
      <c s="125" r="Q205"/>
      <c s="125" r="R205"/>
      <c s="125" r="S205"/>
      <c s="822" r="T205"/>
      <c t="str" s="309" r="U205">
        <f>IF((Profile!L233&gt;0),Profile!L233,"")</f>
        <v/>
      </c>
      <c t="str" s="861" r="V205">
        <f>IF((Profile!O233&gt;0),Profile!O233,"---")</f>
        <v>---</v>
      </c>
      <c t="str" s="861" r="W205">
        <f>IF((Profile!Y233=0),IF((Profile!Y232=0),"---",IF((Profile!Y234=0),"---",Profile!Y233)),Profile!Y233)</f>
        <v>---</v>
      </c>
      <c s="239" r="X205">
        <f>AB205+X204</f>
        <v>0</v>
      </c>
      <c s="796" r="Y205">
        <f>AC205+Y204</f>
        <v>0</v>
      </c>
      <c s="702" r="Z205"/>
      <c s="289" r="AA205">
        <f>IF(Profile!Y233,IF((Profile!O233=0),0,(Profile!O233-MAX(Profile!O$44:O232))),0)</f>
        <v>0</v>
      </c>
      <c s="605" r="AB205">
        <f>SIN(RADIANS(Profile!Y233))*AA205</f>
        <v>0</v>
      </c>
      <c s="605" r="AC205">
        <f>COS(RADIANS(Profile!Y233))*AA205</f>
        <v>0</v>
      </c>
      <c s="348" r="AD205">
        <f>IF((AJ$15=TRUE),X205,NA())</f>
        <v>0</v>
      </c>
      <c s="348" r="AE205">
        <f>IF((AJ$15=TRUE),Y205,NA())</f>
        <v>0</v>
      </c>
      <c t="str" s="348" r="AF205">
        <f>IF(Profile!L233,Y205,NA())</f>
        <v>#N/A:explicit</v>
      </c>
      <c s="348" r="AG205">
        <f>Profile!T233*E$40</f>
        <v>0</v>
      </c>
      <c t="str" s="348" r="AH205">
        <f>IF((AK$15=TRUE),IF(ISNUMBER(Profile!Y233),IF(ISNUMBER(Profile!Y234),(((X205+((F$63/2)*COS(RADIANS(Profile!Y234))))+(X205+((F$63/2)*COS(RADIANS(Profile!Y233)))))/2),(X205+((F$63/2)*COS(RADIANS(Profile!Y233))))),AH204),0)</f>
        <v>#VALUE!:notNumber:For input string: "---"</v>
      </c>
      <c t="str" s="348" r="AI205">
        <f>IF((AK$15=TRUE),IF(ISNUMBER(Profile!Y233),IF(ISNUMBER(Profile!Y234),(((Y205-((F$63/2)*SIN(RADIANS(Profile!Y234))))+(Y205-((F$63/2)*SIN(RADIANS(Profile!Y233)))))/2),(Y205-((F$63/2)*SIN(RADIANS(Profile!Y233))))),AI204),0)</f>
        <v>#VALUE!:notNumber:For input string: "---"</v>
      </c>
      <c t="str" s="348" r="AJ205">
        <f>IF((AK$15=TRUE),IF(ISNUMBER(Profile!Y233),IF(ISNUMBER(Profile!Y234),(((X205-((F$63/2)*COS(RADIANS(Profile!Y234))))+(X205-((F$63/2)*COS(RADIANS(Profile!Y233)))))/2),(X205-((F$63/2)*COS(RADIANS(Profile!Y233))))),AJ204),0)</f>
        <v>#VALUE!:notNumber:For input string: "---"</v>
      </c>
      <c t="str" s="799" r="AK205">
        <f>IF((AK$15=TRUE),IF(ISNUMBER(Profile!Y233),IF(ISNUMBER(Profile!Y234),(((Y205+((F$63/2)*SIN(RADIANS(Profile!Y234))))+(Y205+((F$63/2)*SIN(RADIANS(Profile!Y233)))))/2),(Y205+((F$63/2)*SIN(RADIANS(Profile!Y233))))),AK204),0)</f>
        <v>#VALUE!:notNumber:For input string: "---"</v>
      </c>
      <c s="51" r="AL205"/>
      <c s="125" r="AM205"/>
    </row>
    <row r="206">
      <c s="125" r="A206"/>
      <c s="125" r="B206"/>
      <c s="125" r="C206"/>
      <c s="125" r="D206"/>
      <c s="125" r="E206"/>
      <c s="125" r="F206"/>
      <c s="125" r="G206"/>
      <c s="125" r="H206"/>
      <c s="125" r="I206"/>
      <c s="125" r="J206"/>
      <c s="125" r="K206"/>
      <c s="125" r="L206"/>
      <c s="125" r="M206"/>
      <c s="125" r="N206"/>
      <c s="125" r="O206"/>
      <c s="125" r="P206"/>
      <c s="125" r="Q206"/>
      <c s="125" r="R206"/>
      <c s="125" r="S206"/>
      <c s="822" r="T206"/>
      <c t="str" s="309" r="U206">
        <f>IF((Profile!L234&gt;0),Profile!L234,"")</f>
        <v/>
      </c>
      <c t="str" s="861" r="V206">
        <f>IF((Profile!O234&gt;0),Profile!O234,"---")</f>
        <v>---</v>
      </c>
      <c t="str" s="861" r="W206">
        <f>IF((Profile!Y234=0),IF((Profile!Y233=0),"---",IF((Profile!Y235=0),"---",Profile!Y234)),Profile!Y234)</f>
        <v>---</v>
      </c>
      <c s="239" r="X206">
        <f>AB206+X205</f>
        <v>0</v>
      </c>
      <c s="796" r="Y206">
        <f>AC206+Y205</f>
        <v>0</v>
      </c>
      <c s="702" r="Z206"/>
      <c s="289" r="AA206">
        <f>IF(Profile!Y234,IF((Profile!O234=0),0,(Profile!O234-MAX(Profile!O$44:O233))),0)</f>
        <v>0</v>
      </c>
      <c s="605" r="AB206">
        <f>SIN(RADIANS(Profile!Y234))*AA206</f>
        <v>0</v>
      </c>
      <c s="605" r="AC206">
        <f>COS(RADIANS(Profile!Y234))*AA206</f>
        <v>0</v>
      </c>
      <c s="348" r="AD206">
        <f>IF((AJ$15=TRUE),X206,NA())</f>
        <v>0</v>
      </c>
      <c s="348" r="AE206">
        <f>IF((AJ$15=TRUE),Y206,NA())</f>
        <v>0</v>
      </c>
      <c t="str" s="348" r="AF206">
        <f>IF(Profile!L234,Y206,NA())</f>
        <v>#N/A:explicit</v>
      </c>
      <c s="348" r="AG206">
        <f>Profile!T234*E$40</f>
        <v>0</v>
      </c>
      <c t="str" s="348" r="AH206">
        <f>IF((AK$15=TRUE),IF(ISNUMBER(Profile!Y234),IF(ISNUMBER(Profile!Y235),(((X206+((F$63/2)*COS(RADIANS(Profile!Y235))))+(X206+((F$63/2)*COS(RADIANS(Profile!Y234)))))/2),(X206+((F$63/2)*COS(RADIANS(Profile!Y234))))),AH205),0)</f>
        <v>#VALUE!:notNumber:For input string: "---"</v>
      </c>
      <c t="str" s="348" r="AI206">
        <f>IF((AK$15=TRUE),IF(ISNUMBER(Profile!Y234),IF(ISNUMBER(Profile!Y235),(((Y206-((F$63/2)*SIN(RADIANS(Profile!Y235))))+(Y206-((F$63/2)*SIN(RADIANS(Profile!Y234)))))/2),(Y206-((F$63/2)*SIN(RADIANS(Profile!Y234))))),AI205),0)</f>
        <v>#VALUE!:notNumber:For input string: "---"</v>
      </c>
      <c t="str" s="348" r="AJ206">
        <f>IF((AK$15=TRUE),IF(ISNUMBER(Profile!Y234),IF(ISNUMBER(Profile!Y235),(((X206-((F$63/2)*COS(RADIANS(Profile!Y235))))+(X206-((F$63/2)*COS(RADIANS(Profile!Y234)))))/2),(X206-((F$63/2)*COS(RADIANS(Profile!Y234))))),AJ205),0)</f>
        <v>#VALUE!:notNumber:For input string: "---"</v>
      </c>
      <c t="str" s="799" r="AK206">
        <f>IF((AK$15=TRUE),IF(ISNUMBER(Profile!Y234),IF(ISNUMBER(Profile!Y235),(((Y206+((F$63/2)*SIN(RADIANS(Profile!Y235))))+(Y206+((F$63/2)*SIN(RADIANS(Profile!Y234)))))/2),(Y206+((F$63/2)*SIN(RADIANS(Profile!Y234))))),AK205),0)</f>
        <v>#VALUE!:notNumber:For input string: "---"</v>
      </c>
      <c s="51" r="AL206"/>
      <c s="125" r="AM206"/>
    </row>
    <row r="207">
      <c s="125" r="A207"/>
      <c s="125" r="B207"/>
      <c s="125" r="C207"/>
      <c s="125" r="D207"/>
      <c s="125" r="E207"/>
      <c s="125" r="F207"/>
      <c s="125" r="G207"/>
      <c s="125" r="H207"/>
      <c s="125" r="I207"/>
      <c s="125" r="J207"/>
      <c s="125" r="K207"/>
      <c s="125" r="L207"/>
      <c s="125" r="M207"/>
      <c s="125" r="N207"/>
      <c s="125" r="O207"/>
      <c s="125" r="P207"/>
      <c s="125" r="Q207"/>
      <c s="125" r="R207"/>
      <c s="125" r="S207"/>
      <c s="822" r="T207"/>
      <c t="str" s="309" r="U207">
        <f>IF((Profile!L235&gt;0),Profile!L235,"")</f>
        <v/>
      </c>
      <c t="str" s="861" r="V207">
        <f>IF((Profile!O235&gt;0),Profile!O235,"---")</f>
        <v>---</v>
      </c>
      <c t="str" s="861" r="W207">
        <f>IF((Profile!Y235=0),IF((Profile!Y234=0),"---",IF((Profile!Y236=0),"---",Profile!Y235)),Profile!Y235)</f>
        <v>---</v>
      </c>
      <c s="239" r="X207">
        <f>AB207+X206</f>
        <v>0</v>
      </c>
      <c s="796" r="Y207">
        <f>AC207+Y206</f>
        <v>0</v>
      </c>
      <c s="702" r="Z207"/>
      <c s="289" r="AA207">
        <f>IF(Profile!Y235,IF((Profile!O235=0),0,(Profile!O235-MAX(Profile!O$44:O234))),0)</f>
        <v>0</v>
      </c>
      <c s="605" r="AB207">
        <f>SIN(RADIANS(Profile!Y235))*AA207</f>
        <v>0</v>
      </c>
      <c s="605" r="AC207">
        <f>COS(RADIANS(Profile!Y235))*AA207</f>
        <v>0</v>
      </c>
      <c s="348" r="AD207">
        <f>IF((AJ$15=TRUE),X207,NA())</f>
        <v>0</v>
      </c>
      <c s="348" r="AE207">
        <f>IF((AJ$15=TRUE),Y207,NA())</f>
        <v>0</v>
      </c>
      <c t="str" s="348" r="AF207">
        <f>IF(Profile!L235,Y207,NA())</f>
        <v>#N/A:explicit</v>
      </c>
      <c s="348" r="AG207">
        <f>Profile!T235*E$40</f>
        <v>0</v>
      </c>
      <c t="str" s="348" r="AH207">
        <f>IF((AK$15=TRUE),IF(ISNUMBER(Profile!Y235),IF(ISNUMBER(Profile!Y236),(((X207+((F$63/2)*COS(RADIANS(Profile!Y236))))+(X207+((F$63/2)*COS(RADIANS(Profile!Y235)))))/2),(X207+((F$63/2)*COS(RADIANS(Profile!Y235))))),AH206),0)</f>
        <v>#VALUE!:notNumber:For input string: "---"</v>
      </c>
      <c t="str" s="348" r="AI207">
        <f>IF((AK$15=TRUE),IF(ISNUMBER(Profile!Y235),IF(ISNUMBER(Profile!Y236),(((Y207-((F$63/2)*SIN(RADIANS(Profile!Y236))))+(Y207-((F$63/2)*SIN(RADIANS(Profile!Y235)))))/2),(Y207-((F$63/2)*SIN(RADIANS(Profile!Y235))))),AI206),0)</f>
        <v>#VALUE!:notNumber:For input string: "---"</v>
      </c>
      <c t="str" s="348" r="AJ207">
        <f>IF((AK$15=TRUE),IF(ISNUMBER(Profile!Y235),IF(ISNUMBER(Profile!Y236),(((X207-((F$63/2)*COS(RADIANS(Profile!Y236))))+(X207-((F$63/2)*COS(RADIANS(Profile!Y235)))))/2),(X207-((F$63/2)*COS(RADIANS(Profile!Y235))))),AJ206),0)</f>
        <v>#VALUE!:notNumber:For input string: "---"</v>
      </c>
      <c t="str" s="799" r="AK207">
        <f>IF((AK$15=TRUE),IF(ISNUMBER(Profile!Y235),IF(ISNUMBER(Profile!Y236),(((Y207+((F$63/2)*SIN(RADIANS(Profile!Y236))))+(Y207+((F$63/2)*SIN(RADIANS(Profile!Y235)))))/2),(Y207+((F$63/2)*SIN(RADIANS(Profile!Y235))))),AK206),0)</f>
        <v>#VALUE!:notNumber:For input string: "---"</v>
      </c>
      <c s="51" r="AL207"/>
      <c s="125" r="AM207"/>
    </row>
    <row r="208">
      <c s="125" r="A208"/>
      <c s="125" r="B208"/>
      <c s="125" r="C208"/>
      <c s="125" r="D208"/>
      <c s="125" r="E208"/>
      <c s="125" r="F208"/>
      <c s="125" r="G208"/>
      <c s="125" r="H208"/>
      <c s="125" r="I208"/>
      <c s="125" r="J208"/>
      <c s="125" r="K208"/>
      <c s="125" r="L208"/>
      <c s="125" r="M208"/>
      <c s="125" r="N208"/>
      <c s="125" r="O208"/>
      <c s="125" r="P208"/>
      <c s="125" r="Q208"/>
      <c s="125" r="R208"/>
      <c s="125" r="S208"/>
      <c s="822" r="T208"/>
      <c t="str" s="309" r="U208">
        <f>IF((Profile!L236&gt;0),Profile!L236,"")</f>
        <v/>
      </c>
      <c t="str" s="861" r="V208">
        <f>IF((Profile!O236&gt;0),Profile!O236,"---")</f>
        <v>---</v>
      </c>
      <c t="str" s="861" r="W208">
        <f>IF((Profile!Y236=0),IF((Profile!Y235=0),"---",IF((Profile!Y237=0),"---",Profile!Y236)),Profile!Y236)</f>
        <v>---</v>
      </c>
      <c s="239" r="X208">
        <f>AB208+X207</f>
        <v>0</v>
      </c>
      <c s="796" r="Y208">
        <f>AC208+Y207</f>
        <v>0</v>
      </c>
      <c s="702" r="Z208"/>
      <c s="289" r="AA208">
        <f>IF(Profile!Y236,IF((Profile!O236=0),0,(Profile!O236-MAX(Profile!O$44:O235))),0)</f>
        <v>0</v>
      </c>
      <c s="605" r="AB208">
        <f>SIN(RADIANS(Profile!Y236))*AA208</f>
        <v>0</v>
      </c>
      <c s="605" r="AC208">
        <f>COS(RADIANS(Profile!Y236))*AA208</f>
        <v>0</v>
      </c>
      <c s="348" r="AD208">
        <f>IF((AJ$15=TRUE),X208,NA())</f>
        <v>0</v>
      </c>
      <c s="348" r="AE208">
        <f>IF((AJ$15=TRUE),Y208,NA())</f>
        <v>0</v>
      </c>
      <c t="str" s="348" r="AF208">
        <f>IF(Profile!L236,Y208,NA())</f>
        <v>#N/A:explicit</v>
      </c>
      <c s="348" r="AG208">
        <f>Profile!T236*E$40</f>
        <v>0</v>
      </c>
      <c t="str" s="348" r="AH208">
        <f>IF((AK$15=TRUE),IF(ISNUMBER(Profile!Y236),IF(ISNUMBER(Profile!Y237),(((X208+((F$63/2)*COS(RADIANS(Profile!Y237))))+(X208+((F$63/2)*COS(RADIANS(Profile!Y236)))))/2),(X208+((F$63/2)*COS(RADIANS(Profile!Y236))))),AH207),0)</f>
        <v>#VALUE!:notNumber:For input string: "---"</v>
      </c>
      <c t="str" s="348" r="AI208">
        <f>IF((AK$15=TRUE),IF(ISNUMBER(Profile!Y236),IF(ISNUMBER(Profile!Y237),(((Y208-((F$63/2)*SIN(RADIANS(Profile!Y237))))+(Y208-((F$63/2)*SIN(RADIANS(Profile!Y236)))))/2),(Y208-((F$63/2)*SIN(RADIANS(Profile!Y236))))),AI207),0)</f>
        <v>#VALUE!:notNumber:For input string: "---"</v>
      </c>
      <c t="str" s="348" r="AJ208">
        <f>IF((AK$15=TRUE),IF(ISNUMBER(Profile!Y236),IF(ISNUMBER(Profile!Y237),(((X208-((F$63/2)*COS(RADIANS(Profile!Y237))))+(X208-((F$63/2)*COS(RADIANS(Profile!Y236)))))/2),(X208-((F$63/2)*COS(RADIANS(Profile!Y236))))),AJ207),0)</f>
        <v>#VALUE!:notNumber:For input string: "---"</v>
      </c>
      <c t="str" s="799" r="AK208">
        <f>IF((AK$15=TRUE),IF(ISNUMBER(Profile!Y236),IF(ISNUMBER(Profile!Y237),(((Y208+((F$63/2)*SIN(RADIANS(Profile!Y237))))+(Y208+((F$63/2)*SIN(RADIANS(Profile!Y236)))))/2),(Y208+((F$63/2)*SIN(RADIANS(Profile!Y236))))),AK207),0)</f>
        <v>#VALUE!:notNumber:For input string: "---"</v>
      </c>
      <c s="51" r="AL208"/>
      <c s="125" r="AM208"/>
    </row>
    <row r="209">
      <c s="125" r="A209"/>
      <c s="125" r="B209"/>
      <c s="125" r="C209"/>
      <c s="125" r="D209"/>
      <c s="125" r="E209"/>
      <c s="125" r="F209"/>
      <c s="125" r="G209"/>
      <c s="125" r="H209"/>
      <c s="125" r="I209"/>
      <c s="125" r="J209"/>
      <c s="125" r="K209"/>
      <c s="125" r="L209"/>
      <c s="125" r="M209"/>
      <c s="125" r="N209"/>
      <c s="125" r="O209"/>
      <c s="125" r="P209"/>
      <c s="125" r="Q209"/>
      <c s="125" r="R209"/>
      <c s="125" r="S209"/>
      <c s="822" r="T209"/>
      <c t="str" s="309" r="U209">
        <f>IF((Profile!L237&gt;0),Profile!L237,"")</f>
        <v/>
      </c>
      <c t="str" s="861" r="V209">
        <f>IF((Profile!O237&gt;0),Profile!O237,"---")</f>
        <v>---</v>
      </c>
      <c t="str" s="861" r="W209">
        <f>IF((Profile!Y237=0),IF((Profile!Y236=0),"---",IF((Profile!Y238=0),"---",Profile!Y237)),Profile!Y237)</f>
        <v>---</v>
      </c>
      <c s="239" r="X209">
        <f>AB209+X208</f>
        <v>0</v>
      </c>
      <c s="796" r="Y209">
        <f>AC209+Y208</f>
        <v>0</v>
      </c>
      <c s="702" r="Z209"/>
      <c s="289" r="AA209">
        <f>IF(Profile!Y237,IF((Profile!O237=0),0,(Profile!O237-MAX(Profile!O$44:O236))),0)</f>
        <v>0</v>
      </c>
      <c s="605" r="AB209">
        <f>SIN(RADIANS(Profile!Y237))*AA209</f>
        <v>0</v>
      </c>
      <c s="605" r="AC209">
        <f>COS(RADIANS(Profile!Y237))*AA209</f>
        <v>0</v>
      </c>
      <c s="348" r="AD209">
        <f>IF((AJ$15=TRUE),X209,NA())</f>
        <v>0</v>
      </c>
      <c s="348" r="AE209">
        <f>IF((AJ$15=TRUE),Y209,NA())</f>
        <v>0</v>
      </c>
      <c t="str" s="348" r="AF209">
        <f>IF(Profile!L237,Y209,NA())</f>
        <v>#N/A:explicit</v>
      </c>
      <c s="348" r="AG209">
        <f>Profile!T237*E$40</f>
        <v>0</v>
      </c>
      <c t="str" s="348" r="AH209">
        <f>IF((AK$15=TRUE),IF(ISNUMBER(Profile!Y237),IF(ISNUMBER(Profile!Y238),(((X209+((F$63/2)*COS(RADIANS(Profile!Y238))))+(X209+((F$63/2)*COS(RADIANS(Profile!Y237)))))/2),(X209+((F$63/2)*COS(RADIANS(Profile!Y237))))),AH208),0)</f>
        <v>#VALUE!:notNumber:For input string: "---"</v>
      </c>
      <c t="str" s="348" r="AI209">
        <f>IF((AK$15=TRUE),IF(ISNUMBER(Profile!Y237),IF(ISNUMBER(Profile!Y238),(((Y209-((F$63/2)*SIN(RADIANS(Profile!Y238))))+(Y209-((F$63/2)*SIN(RADIANS(Profile!Y237)))))/2),(Y209-((F$63/2)*SIN(RADIANS(Profile!Y237))))),AI208),0)</f>
        <v>#VALUE!:notNumber:For input string: "---"</v>
      </c>
      <c t="str" s="348" r="AJ209">
        <f>IF((AK$15=TRUE),IF(ISNUMBER(Profile!Y237),IF(ISNUMBER(Profile!Y238),(((X209-((F$63/2)*COS(RADIANS(Profile!Y238))))+(X209-((F$63/2)*COS(RADIANS(Profile!Y237)))))/2),(X209-((F$63/2)*COS(RADIANS(Profile!Y237))))),AJ208),0)</f>
        <v>#VALUE!:notNumber:For input string: "---"</v>
      </c>
      <c t="str" s="799" r="AK209">
        <f>IF((AK$15=TRUE),IF(ISNUMBER(Profile!Y237),IF(ISNUMBER(Profile!Y238),(((Y209+((F$63/2)*SIN(RADIANS(Profile!Y238))))+(Y209+((F$63/2)*SIN(RADIANS(Profile!Y237)))))/2),(Y209+((F$63/2)*SIN(RADIANS(Profile!Y237))))),AK208),0)</f>
        <v>#VALUE!:notNumber:For input string: "---"</v>
      </c>
      <c s="51" r="AL209"/>
      <c s="125" r="AM209"/>
    </row>
    <row r="210">
      <c s="125" r="A210"/>
      <c s="125" r="B210"/>
      <c s="125" r="C210"/>
      <c s="125" r="D210"/>
      <c s="125" r="E210"/>
      <c s="125" r="F210"/>
      <c s="125" r="G210"/>
      <c s="125" r="H210"/>
      <c s="125" r="I210"/>
      <c s="125" r="J210"/>
      <c s="125" r="K210"/>
      <c s="125" r="L210"/>
      <c s="125" r="M210"/>
      <c s="125" r="N210"/>
      <c s="125" r="O210"/>
      <c s="125" r="P210"/>
      <c s="125" r="Q210"/>
      <c s="125" r="R210"/>
      <c s="125" r="S210"/>
      <c s="822" r="T210"/>
      <c t="str" s="309" r="U210">
        <f>IF((Profile!L238&gt;0),Profile!L238,"")</f>
        <v/>
      </c>
      <c t="str" s="861" r="V210">
        <f>IF((Profile!O238&gt;0),Profile!O238,"---")</f>
        <v>---</v>
      </c>
      <c t="str" s="861" r="W210">
        <f>IF((Profile!Y238=0),IF((Profile!Y237=0),"---",IF((Profile!Y239=0),"---",Profile!Y238)),Profile!Y238)</f>
        <v>---</v>
      </c>
      <c s="239" r="X210">
        <f>AB210+X209</f>
        <v>0</v>
      </c>
      <c s="796" r="Y210">
        <f>AC210+Y209</f>
        <v>0</v>
      </c>
      <c s="702" r="Z210"/>
      <c s="289" r="AA210">
        <f>IF(Profile!Y238,IF((Profile!O238=0),0,(Profile!O238-MAX(Profile!O$44:O237))),0)</f>
        <v>0</v>
      </c>
      <c s="605" r="AB210">
        <f>SIN(RADIANS(Profile!Y238))*AA210</f>
        <v>0</v>
      </c>
      <c s="605" r="AC210">
        <f>COS(RADIANS(Profile!Y238))*AA210</f>
        <v>0</v>
      </c>
      <c s="348" r="AD210">
        <f>IF((AJ$15=TRUE),X210,NA())</f>
        <v>0</v>
      </c>
      <c s="348" r="AE210">
        <f>IF((AJ$15=TRUE),Y210,NA())</f>
        <v>0</v>
      </c>
      <c t="str" s="348" r="AF210">
        <f>IF(Profile!L238,Y210,NA())</f>
        <v>#N/A:explicit</v>
      </c>
      <c s="348" r="AG210">
        <f>Profile!T238*E$40</f>
        <v>0</v>
      </c>
      <c t="str" s="348" r="AH210">
        <f>IF((AK$15=TRUE),IF(ISNUMBER(Profile!Y238),IF(ISNUMBER(Profile!Y239),(((X210+((F$63/2)*COS(RADIANS(Profile!Y239))))+(X210+((F$63/2)*COS(RADIANS(Profile!Y238)))))/2),(X210+((F$63/2)*COS(RADIANS(Profile!Y238))))),AH209),0)</f>
        <v>#VALUE!:notNumber:For input string: "---"</v>
      </c>
      <c t="str" s="348" r="AI210">
        <f>IF((AK$15=TRUE),IF(ISNUMBER(Profile!Y238),IF(ISNUMBER(Profile!Y239),(((Y210-((F$63/2)*SIN(RADIANS(Profile!Y239))))+(Y210-((F$63/2)*SIN(RADIANS(Profile!Y238)))))/2),(Y210-((F$63/2)*SIN(RADIANS(Profile!Y238))))),AI209),0)</f>
        <v>#VALUE!:notNumber:For input string: "---"</v>
      </c>
      <c t="str" s="348" r="AJ210">
        <f>IF((AK$15=TRUE),IF(ISNUMBER(Profile!Y238),IF(ISNUMBER(Profile!Y239),(((X210-((F$63/2)*COS(RADIANS(Profile!Y239))))+(X210-((F$63/2)*COS(RADIANS(Profile!Y238)))))/2),(X210-((F$63/2)*COS(RADIANS(Profile!Y238))))),AJ209),0)</f>
        <v>#VALUE!:notNumber:For input string: "---"</v>
      </c>
      <c t="str" s="799" r="AK210">
        <f>IF((AK$15=TRUE),IF(ISNUMBER(Profile!Y238),IF(ISNUMBER(Profile!Y239),(((Y210+((F$63/2)*SIN(RADIANS(Profile!Y239))))+(Y210+((F$63/2)*SIN(RADIANS(Profile!Y238)))))/2),(Y210+((F$63/2)*SIN(RADIANS(Profile!Y238))))),AK209),0)</f>
        <v>#VALUE!:notNumber:For input string: "---"</v>
      </c>
      <c s="51" r="AL210"/>
      <c s="125" r="AM210"/>
    </row>
    <row r="211">
      <c s="125" r="A211"/>
      <c s="125" r="B211"/>
      <c s="125" r="C211"/>
      <c s="125" r="D211"/>
      <c s="125" r="E211"/>
      <c s="125" r="F211"/>
      <c s="125" r="G211"/>
      <c s="125" r="H211"/>
      <c s="125" r="I211"/>
      <c s="125" r="J211"/>
      <c s="125" r="K211"/>
      <c s="125" r="L211"/>
      <c s="125" r="M211"/>
      <c s="125" r="N211"/>
      <c s="125" r="O211"/>
      <c s="125" r="P211"/>
      <c s="125" r="Q211"/>
      <c s="125" r="R211"/>
      <c s="125" r="S211"/>
      <c s="822" r="T211"/>
      <c t="str" s="309" r="U211">
        <f>IF((Profile!L239&gt;0),Profile!L239,"")</f>
        <v/>
      </c>
      <c t="str" s="861" r="V211">
        <f>IF((Profile!O239&gt;0),Profile!O239,"---")</f>
        <v>---</v>
      </c>
      <c t="str" s="861" r="W211">
        <f>IF((Profile!Y239=0),IF((Profile!Y238=0),"---",IF((Profile!Y240=0),"---",Profile!Y239)),Profile!Y239)</f>
        <v>---</v>
      </c>
      <c s="239" r="X211">
        <f>AB211+X210</f>
        <v>0</v>
      </c>
      <c s="796" r="Y211">
        <f>AC211+Y210</f>
        <v>0</v>
      </c>
      <c s="702" r="Z211"/>
      <c s="289" r="AA211">
        <f>IF(Profile!Y239,IF((Profile!O239=0),0,(Profile!O239-MAX(Profile!O$44:O238))),0)</f>
        <v>0</v>
      </c>
      <c s="605" r="AB211">
        <f>SIN(RADIANS(Profile!Y239))*AA211</f>
        <v>0</v>
      </c>
      <c s="605" r="AC211">
        <f>COS(RADIANS(Profile!Y239))*AA211</f>
        <v>0</v>
      </c>
      <c s="348" r="AD211">
        <f>IF((AJ$15=TRUE),X211,NA())</f>
        <v>0</v>
      </c>
      <c s="348" r="AE211">
        <f>IF((AJ$15=TRUE),Y211,NA())</f>
        <v>0</v>
      </c>
      <c t="str" s="348" r="AF211">
        <f>IF(Profile!L239,Y211,NA())</f>
        <v>#N/A:explicit</v>
      </c>
      <c s="348" r="AG211">
        <f>Profile!T239*E$40</f>
        <v>0</v>
      </c>
      <c t="str" s="348" r="AH211">
        <f>IF((AK$15=TRUE),IF(ISNUMBER(Profile!Y239),IF(ISNUMBER(Profile!Y240),(((X211+((F$63/2)*COS(RADIANS(Profile!Y240))))+(X211+((F$63/2)*COS(RADIANS(Profile!Y239)))))/2),(X211+((F$63/2)*COS(RADIANS(Profile!Y239))))),AH210),0)</f>
        <v>#VALUE!:notNumber:For input string: "---"</v>
      </c>
      <c t="str" s="348" r="AI211">
        <f>IF((AK$15=TRUE),IF(ISNUMBER(Profile!Y239),IF(ISNUMBER(Profile!Y240),(((Y211-((F$63/2)*SIN(RADIANS(Profile!Y240))))+(Y211-((F$63/2)*SIN(RADIANS(Profile!Y239)))))/2),(Y211-((F$63/2)*SIN(RADIANS(Profile!Y239))))),AI210),0)</f>
        <v>#VALUE!:notNumber:For input string: "---"</v>
      </c>
      <c t="str" s="348" r="AJ211">
        <f>IF((AK$15=TRUE),IF(ISNUMBER(Profile!Y239),IF(ISNUMBER(Profile!Y240),(((X211-((F$63/2)*COS(RADIANS(Profile!Y240))))+(X211-((F$63/2)*COS(RADIANS(Profile!Y239)))))/2),(X211-((F$63/2)*COS(RADIANS(Profile!Y239))))),AJ210),0)</f>
        <v>#VALUE!:notNumber:For input string: "---"</v>
      </c>
      <c t="str" s="799" r="AK211">
        <f>IF((AK$15=TRUE),IF(ISNUMBER(Profile!Y239),IF(ISNUMBER(Profile!Y240),(((Y211+((F$63/2)*SIN(RADIANS(Profile!Y240))))+(Y211+((F$63/2)*SIN(RADIANS(Profile!Y239)))))/2),(Y211+((F$63/2)*SIN(RADIANS(Profile!Y239))))),AK210),0)</f>
        <v>#VALUE!:notNumber:For input string: "---"</v>
      </c>
      <c s="51" r="AL211"/>
      <c s="125" r="AM211"/>
    </row>
    <row r="212">
      <c s="125" r="A212"/>
      <c s="125" r="B212"/>
      <c s="125" r="C212"/>
      <c s="125" r="D212"/>
      <c s="125" r="E212"/>
      <c s="125" r="F212"/>
      <c s="125" r="G212"/>
      <c s="125" r="H212"/>
      <c s="125" r="I212"/>
      <c s="125" r="J212"/>
      <c s="125" r="K212"/>
      <c s="125" r="L212"/>
      <c s="125" r="M212"/>
      <c s="125" r="N212"/>
      <c s="125" r="O212"/>
      <c s="125" r="P212"/>
      <c s="125" r="Q212"/>
      <c s="125" r="R212"/>
      <c s="125" r="S212"/>
      <c s="822" r="T212"/>
      <c t="str" s="309" r="U212">
        <f>IF((Profile!L240&gt;0),Profile!L240,"")</f>
        <v/>
      </c>
      <c t="str" s="861" r="V212">
        <f>IF((Profile!O240&gt;0),Profile!O240,"---")</f>
        <v>---</v>
      </c>
      <c t="str" s="861" r="W212">
        <f>IF((Profile!Y240=0),IF((Profile!Y239=0),"---",IF((Profile!Y241=0),"---",Profile!Y240)),Profile!Y240)</f>
        <v>---</v>
      </c>
      <c s="239" r="X212">
        <f>AB212+X211</f>
        <v>0</v>
      </c>
      <c s="796" r="Y212">
        <f>AC212+Y211</f>
        <v>0</v>
      </c>
      <c s="702" r="Z212"/>
      <c s="289" r="AA212">
        <f>IF(Profile!Y240,IF((Profile!O240=0),0,(Profile!O240-MAX(Profile!O$44:O239))),0)</f>
        <v>0</v>
      </c>
      <c s="605" r="AB212">
        <f>SIN(RADIANS(Profile!Y240))*AA212</f>
        <v>0</v>
      </c>
      <c s="605" r="AC212">
        <f>COS(RADIANS(Profile!Y240))*AA212</f>
        <v>0</v>
      </c>
      <c s="348" r="AD212">
        <f>IF((AJ$15=TRUE),X212,NA())</f>
        <v>0</v>
      </c>
      <c s="348" r="AE212">
        <f>IF((AJ$15=TRUE),Y212,NA())</f>
        <v>0</v>
      </c>
      <c t="str" s="348" r="AF212">
        <f>IF(Profile!L240,Y212,NA())</f>
        <v>#N/A:explicit</v>
      </c>
      <c s="348" r="AG212">
        <f>Profile!T240*E$40</f>
        <v>0</v>
      </c>
      <c t="str" s="348" r="AH212">
        <f>IF((AK$15=TRUE),IF(ISNUMBER(Profile!Y240),IF(ISNUMBER(Profile!Y241),(((X212+((F$63/2)*COS(RADIANS(Profile!Y241))))+(X212+((F$63/2)*COS(RADIANS(Profile!Y240)))))/2),(X212+((F$63/2)*COS(RADIANS(Profile!Y240))))),AH211),0)</f>
        <v>#VALUE!:notNumber:For input string: "---"</v>
      </c>
      <c t="str" s="348" r="AI212">
        <f>IF((AK$15=TRUE),IF(ISNUMBER(Profile!Y240),IF(ISNUMBER(Profile!Y241),(((Y212-((F$63/2)*SIN(RADIANS(Profile!Y241))))+(Y212-((F$63/2)*SIN(RADIANS(Profile!Y240)))))/2),(Y212-((F$63/2)*SIN(RADIANS(Profile!Y240))))),AI211),0)</f>
        <v>#VALUE!:notNumber:For input string: "---"</v>
      </c>
      <c t="str" s="348" r="AJ212">
        <f>IF((AK$15=TRUE),IF(ISNUMBER(Profile!Y240),IF(ISNUMBER(Profile!Y241),(((X212-((F$63/2)*COS(RADIANS(Profile!Y241))))+(X212-((F$63/2)*COS(RADIANS(Profile!Y240)))))/2),(X212-((F$63/2)*COS(RADIANS(Profile!Y240))))),AJ211),0)</f>
        <v>#VALUE!:notNumber:For input string: "---"</v>
      </c>
      <c t="str" s="799" r="AK212">
        <f>IF((AK$15=TRUE),IF(ISNUMBER(Profile!Y240),IF(ISNUMBER(Profile!Y241),(((Y212+((F$63/2)*SIN(RADIANS(Profile!Y241))))+(Y212+((F$63/2)*SIN(RADIANS(Profile!Y240)))))/2),(Y212+((F$63/2)*SIN(RADIANS(Profile!Y240))))),AK211),0)</f>
        <v>#VALUE!:notNumber:For input string: "---"</v>
      </c>
      <c s="51" r="AL212"/>
      <c s="125" r="AM212"/>
    </row>
    <row r="213">
      <c s="125" r="A213"/>
      <c s="125" r="B213"/>
      <c s="125" r="C213"/>
      <c s="125" r="D213"/>
      <c s="125" r="E213"/>
      <c s="125" r="F213"/>
      <c s="125" r="G213"/>
      <c s="125" r="H213"/>
      <c s="125" r="I213"/>
      <c s="125" r="J213"/>
      <c s="125" r="K213"/>
      <c s="125" r="L213"/>
      <c s="125" r="M213"/>
      <c s="125" r="N213"/>
      <c s="125" r="O213"/>
      <c s="125" r="P213"/>
      <c s="125" r="Q213"/>
      <c s="125" r="R213"/>
      <c s="125" r="S213"/>
      <c s="822" r="T213"/>
      <c t="str" s="309" r="U213">
        <f>IF((Profile!L241&gt;0),Profile!L241,"")</f>
        <v/>
      </c>
      <c t="str" s="861" r="V213">
        <f>IF((Profile!O241&gt;0),Profile!O241,"---")</f>
        <v>---</v>
      </c>
      <c t="str" s="861" r="W213">
        <f>IF((Profile!Y241=0),IF((Profile!Y240=0),"---",IF((Profile!Y242=0),"---",Profile!Y241)),Profile!Y241)</f>
        <v>---</v>
      </c>
      <c s="239" r="X213">
        <f>AB213+X212</f>
        <v>0</v>
      </c>
      <c s="796" r="Y213">
        <f>AC213+Y212</f>
        <v>0</v>
      </c>
      <c s="702" r="Z213"/>
      <c s="289" r="AA213">
        <f>IF(Profile!Y241,IF((Profile!O241=0),0,(Profile!O241-MAX(Profile!O$44:O240))),0)</f>
        <v>0</v>
      </c>
      <c s="605" r="AB213">
        <f>SIN(RADIANS(Profile!Y241))*AA213</f>
        <v>0</v>
      </c>
      <c s="605" r="AC213">
        <f>COS(RADIANS(Profile!Y241))*AA213</f>
        <v>0</v>
      </c>
      <c s="348" r="AD213">
        <f>IF((AJ$15=TRUE),X213,NA())</f>
        <v>0</v>
      </c>
      <c s="348" r="AE213">
        <f>IF((AJ$15=TRUE),Y213,NA())</f>
        <v>0</v>
      </c>
      <c t="str" s="348" r="AF213">
        <f>IF(Profile!L241,Y213,NA())</f>
        <v>#N/A:explicit</v>
      </c>
      <c s="348" r="AG213">
        <f>Profile!T241*E$40</f>
        <v>0</v>
      </c>
      <c t="str" s="348" r="AH213">
        <f>IF((AK$15=TRUE),IF(ISNUMBER(Profile!Y241),IF(ISNUMBER(Profile!Y242),(((X213+((F$63/2)*COS(RADIANS(Profile!Y242))))+(X213+((F$63/2)*COS(RADIANS(Profile!Y241)))))/2),(X213+((F$63/2)*COS(RADIANS(Profile!Y241))))),AH212),0)</f>
        <v>#VALUE!:notNumber:For input string: "---"</v>
      </c>
      <c t="str" s="348" r="AI213">
        <f>IF((AK$15=TRUE),IF(ISNUMBER(Profile!Y241),IF(ISNUMBER(Profile!Y242),(((Y213-((F$63/2)*SIN(RADIANS(Profile!Y242))))+(Y213-((F$63/2)*SIN(RADIANS(Profile!Y241)))))/2),(Y213-((F$63/2)*SIN(RADIANS(Profile!Y241))))),AI212),0)</f>
        <v>#VALUE!:notNumber:For input string: "---"</v>
      </c>
      <c t="str" s="348" r="AJ213">
        <f>IF((AK$15=TRUE),IF(ISNUMBER(Profile!Y241),IF(ISNUMBER(Profile!Y242),(((X213-((F$63/2)*COS(RADIANS(Profile!Y242))))+(X213-((F$63/2)*COS(RADIANS(Profile!Y241)))))/2),(X213-((F$63/2)*COS(RADIANS(Profile!Y241))))),AJ212),0)</f>
        <v>#VALUE!:notNumber:For input string: "---"</v>
      </c>
      <c t="str" s="799" r="AK213">
        <f>IF((AK$15=TRUE),IF(ISNUMBER(Profile!Y241),IF(ISNUMBER(Profile!Y242),(((Y213+((F$63/2)*SIN(RADIANS(Profile!Y242))))+(Y213+((F$63/2)*SIN(RADIANS(Profile!Y241)))))/2),(Y213+((F$63/2)*SIN(RADIANS(Profile!Y241))))),AK212),0)</f>
        <v>#VALUE!:notNumber:For input string: "---"</v>
      </c>
      <c s="51" r="AL213"/>
      <c s="125" r="AM213"/>
    </row>
    <row r="214">
      <c s="125" r="A214"/>
      <c s="125" r="B214"/>
      <c s="125" r="C214"/>
      <c s="125" r="D214"/>
      <c s="125" r="E214"/>
      <c s="125" r="F214"/>
      <c s="125" r="G214"/>
      <c s="125" r="H214"/>
      <c s="125" r="I214"/>
      <c s="125" r="J214"/>
      <c s="125" r="K214"/>
      <c s="125" r="L214"/>
      <c s="125" r="M214"/>
      <c s="125" r="N214"/>
      <c s="125" r="O214"/>
      <c s="125" r="P214"/>
      <c s="125" r="Q214"/>
      <c s="125" r="R214"/>
      <c s="125" r="S214"/>
      <c s="822" r="T214"/>
      <c t="str" s="309" r="U214">
        <f>IF((Profile!L242&gt;0),Profile!L242,"")</f>
        <v/>
      </c>
      <c t="str" s="861" r="V214">
        <f>IF((Profile!O242&gt;0),Profile!O242,"---")</f>
        <v>---</v>
      </c>
      <c t="str" s="861" r="W214">
        <f>IF((Profile!Y242=0),IF((Profile!Y241=0),"---",IF((Profile!Y243=0),"---",Profile!Y242)),Profile!Y242)</f>
        <v>---</v>
      </c>
      <c s="239" r="X214">
        <f>AB214+X213</f>
        <v>0</v>
      </c>
      <c s="796" r="Y214">
        <f>AC214+Y213</f>
        <v>0</v>
      </c>
      <c s="702" r="Z214"/>
      <c s="289" r="AA214">
        <f>IF(Profile!Y242,IF((Profile!O242=0),0,(Profile!O242-MAX(Profile!O$44:O241))),0)</f>
        <v>0</v>
      </c>
      <c s="605" r="AB214">
        <f>SIN(RADIANS(Profile!Y242))*AA214</f>
        <v>0</v>
      </c>
      <c s="605" r="AC214">
        <f>COS(RADIANS(Profile!Y242))*AA214</f>
        <v>0</v>
      </c>
      <c s="348" r="AD214">
        <f>IF((AJ$15=TRUE),X214,NA())</f>
        <v>0</v>
      </c>
      <c s="348" r="AE214">
        <f>IF((AJ$15=TRUE),Y214,NA())</f>
        <v>0</v>
      </c>
      <c t="str" s="348" r="AF214">
        <f>IF(Profile!L242,Y214,NA())</f>
        <v>#N/A:explicit</v>
      </c>
      <c s="348" r="AG214">
        <f>Profile!T242*E$40</f>
        <v>0</v>
      </c>
      <c t="str" s="348" r="AH214">
        <f>IF((AK$15=TRUE),IF(ISNUMBER(Profile!Y242),IF(ISNUMBER(Profile!Y243),(((X214+((F$63/2)*COS(RADIANS(Profile!Y243))))+(X214+((F$63/2)*COS(RADIANS(Profile!Y242)))))/2),(X214+((F$63/2)*COS(RADIANS(Profile!Y242))))),AH213),0)</f>
        <v>#VALUE!:notNumber:For input string: "---"</v>
      </c>
      <c t="str" s="348" r="AI214">
        <f>IF((AK$15=TRUE),IF(ISNUMBER(Profile!Y242),IF(ISNUMBER(Profile!Y243),(((Y214-((F$63/2)*SIN(RADIANS(Profile!Y243))))+(Y214-((F$63/2)*SIN(RADIANS(Profile!Y242)))))/2),(Y214-((F$63/2)*SIN(RADIANS(Profile!Y242))))),AI213),0)</f>
        <v>#VALUE!:notNumber:For input string: "---"</v>
      </c>
      <c t="str" s="348" r="AJ214">
        <f>IF((AK$15=TRUE),IF(ISNUMBER(Profile!Y242),IF(ISNUMBER(Profile!Y243),(((X214-((F$63/2)*COS(RADIANS(Profile!Y243))))+(X214-((F$63/2)*COS(RADIANS(Profile!Y242)))))/2),(X214-((F$63/2)*COS(RADIANS(Profile!Y242))))),AJ213),0)</f>
        <v>#VALUE!:notNumber:For input string: "---"</v>
      </c>
      <c t="str" s="799" r="AK214">
        <f>IF((AK$15=TRUE),IF(ISNUMBER(Profile!Y242),IF(ISNUMBER(Profile!Y243),(((Y214+((F$63/2)*SIN(RADIANS(Profile!Y243))))+(Y214+((F$63/2)*SIN(RADIANS(Profile!Y242)))))/2),(Y214+((F$63/2)*SIN(RADIANS(Profile!Y242))))),AK213),0)</f>
        <v>#VALUE!:notNumber:For input string: "---"</v>
      </c>
      <c s="51" r="AL214"/>
      <c s="125" r="AM214"/>
    </row>
    <row r="215">
      <c s="125" r="A215"/>
      <c s="125" r="B215"/>
      <c s="125" r="C215"/>
      <c s="125" r="D215"/>
      <c s="125" r="E215"/>
      <c s="125" r="F215"/>
      <c s="125" r="G215"/>
      <c s="125" r="H215"/>
      <c s="125" r="I215"/>
      <c s="125" r="J215"/>
      <c s="125" r="K215"/>
      <c s="125" r="L215"/>
      <c s="125" r="M215"/>
      <c s="125" r="N215"/>
      <c s="125" r="O215"/>
      <c s="125" r="P215"/>
      <c s="125" r="Q215"/>
      <c s="125" r="R215"/>
      <c s="125" r="S215"/>
      <c s="822" r="T215"/>
      <c t="str" s="309" r="U215">
        <f>IF((Profile!L243&gt;0),Profile!L243,"")</f>
        <v/>
      </c>
      <c t="str" s="861" r="V215">
        <f>IF((Profile!O243&gt;0),Profile!O243,"---")</f>
        <v>---</v>
      </c>
      <c t="str" s="861" r="W215">
        <f>IF((Profile!Y243=0),IF((Profile!Y242=0),"---",IF((Profile!Y244=0),"---",Profile!Y243)),Profile!Y243)</f>
        <v>---</v>
      </c>
      <c s="239" r="X215">
        <f>AB215+X214</f>
        <v>0</v>
      </c>
      <c s="796" r="Y215">
        <f>AC215+Y214</f>
        <v>0</v>
      </c>
      <c s="702" r="Z215"/>
      <c s="289" r="AA215">
        <f>IF(Profile!Y243,IF((Profile!O243=0),0,(Profile!O243-MAX(Profile!O$44:O242))),0)</f>
        <v>0</v>
      </c>
      <c s="605" r="AB215">
        <f>SIN(RADIANS(Profile!Y243))*AA215</f>
        <v>0</v>
      </c>
      <c s="605" r="AC215">
        <f>COS(RADIANS(Profile!Y243))*AA215</f>
        <v>0</v>
      </c>
      <c s="348" r="AD215">
        <f>IF((AJ$15=TRUE),X215,NA())</f>
        <v>0</v>
      </c>
      <c s="348" r="AE215">
        <f>IF((AJ$15=TRUE),Y215,NA())</f>
        <v>0</v>
      </c>
      <c t="str" s="348" r="AF215">
        <f>IF(Profile!L243,Y215,NA())</f>
        <v>#N/A:explicit</v>
      </c>
      <c s="348" r="AG215">
        <f>Profile!T243*E$40</f>
        <v>0</v>
      </c>
      <c t="str" s="348" r="AH215">
        <f>IF((AK$15=TRUE),IF(ISNUMBER(Profile!Y243),IF(ISNUMBER(Profile!Y244),(((X215+((F$63/2)*COS(RADIANS(Profile!Y244))))+(X215+((F$63/2)*COS(RADIANS(Profile!Y243)))))/2),(X215+((F$63/2)*COS(RADIANS(Profile!Y243))))),AH214),0)</f>
        <v>#VALUE!:notNumber:For input string: "---"</v>
      </c>
      <c t="str" s="348" r="AI215">
        <f>IF((AK$15=TRUE),IF(ISNUMBER(Profile!Y243),IF(ISNUMBER(Profile!Y244),(((Y215-((F$63/2)*SIN(RADIANS(Profile!Y244))))+(Y215-((F$63/2)*SIN(RADIANS(Profile!Y243)))))/2),(Y215-((F$63/2)*SIN(RADIANS(Profile!Y243))))),AI214),0)</f>
        <v>#VALUE!:notNumber:For input string: "---"</v>
      </c>
      <c t="str" s="348" r="AJ215">
        <f>IF((AK$15=TRUE),IF(ISNUMBER(Profile!Y243),IF(ISNUMBER(Profile!Y244),(((X215-((F$63/2)*COS(RADIANS(Profile!Y244))))+(X215-((F$63/2)*COS(RADIANS(Profile!Y243)))))/2),(X215-((F$63/2)*COS(RADIANS(Profile!Y243))))),AJ214),0)</f>
        <v>#VALUE!:notNumber:For input string: "---"</v>
      </c>
      <c t="str" s="799" r="AK215">
        <f>IF((AK$15=TRUE),IF(ISNUMBER(Profile!Y243),IF(ISNUMBER(Profile!Y244),(((Y215+((F$63/2)*SIN(RADIANS(Profile!Y244))))+(Y215+((F$63/2)*SIN(RADIANS(Profile!Y243)))))/2),(Y215+((F$63/2)*SIN(RADIANS(Profile!Y243))))),AK214),0)</f>
        <v>#VALUE!:notNumber:For input string: "---"</v>
      </c>
      <c s="51" r="AL215"/>
      <c s="125" r="AM215"/>
    </row>
    <row r="216">
      <c s="125" r="A216"/>
      <c s="125" r="B216"/>
      <c s="125" r="C216"/>
      <c s="125" r="D216"/>
      <c s="125" r="E216"/>
      <c s="125" r="F216"/>
      <c s="125" r="G216"/>
      <c s="125" r="H216"/>
      <c s="125" r="I216"/>
      <c s="125" r="J216"/>
      <c s="125" r="K216"/>
      <c s="125" r="L216"/>
      <c s="125" r="M216"/>
      <c s="125" r="N216"/>
      <c s="125" r="O216"/>
      <c s="125" r="P216"/>
      <c s="125" r="Q216"/>
      <c s="125" r="R216"/>
      <c s="125" r="S216"/>
      <c s="822" r="T216"/>
      <c t="str" s="309" r="U216">
        <f>IF((Profile!L244&gt;0),Profile!L244,"")</f>
        <v/>
      </c>
      <c t="str" s="861" r="V216">
        <f>IF((Profile!O244&gt;0),Profile!O244,"---")</f>
        <v>---</v>
      </c>
      <c t="str" s="861" r="W216">
        <f>IF((Profile!Y244=0),IF((Profile!Y243=0),"---",IF((Profile!Y245=0),"---",Profile!Y244)),Profile!Y244)</f>
        <v>---</v>
      </c>
      <c s="239" r="X216">
        <f>AB216+X215</f>
        <v>0</v>
      </c>
      <c s="796" r="Y216">
        <f>AC216+Y215</f>
        <v>0</v>
      </c>
      <c s="702" r="Z216"/>
      <c s="289" r="AA216">
        <f>IF(Profile!Y244,IF((Profile!O244=0),0,(Profile!O244-MAX(Profile!O$44:O243))),0)</f>
        <v>0</v>
      </c>
      <c s="605" r="AB216">
        <f>SIN(RADIANS(Profile!Y244))*AA216</f>
        <v>0</v>
      </c>
      <c s="605" r="AC216">
        <f>COS(RADIANS(Profile!Y244))*AA216</f>
        <v>0</v>
      </c>
      <c s="348" r="AD216">
        <f>IF((AJ$15=TRUE),X216,NA())</f>
        <v>0</v>
      </c>
      <c s="348" r="AE216">
        <f>IF((AJ$15=TRUE),Y216,NA())</f>
        <v>0</v>
      </c>
      <c t="str" s="348" r="AF216">
        <f>IF(Profile!L244,Y216,NA())</f>
        <v>#N/A:explicit</v>
      </c>
      <c s="348" r="AG216">
        <f>Profile!T244*E$40</f>
        <v>0</v>
      </c>
      <c t="str" s="348" r="AH216">
        <f>IF((AK$15=TRUE),IF(ISNUMBER(Profile!Y244),IF(ISNUMBER(Profile!Y245),(((X216+((F$63/2)*COS(RADIANS(Profile!Y245))))+(X216+((F$63/2)*COS(RADIANS(Profile!Y244)))))/2),(X216+((F$63/2)*COS(RADIANS(Profile!Y244))))),AH215),0)</f>
        <v>#VALUE!:notNumber:For input string: "---"</v>
      </c>
      <c t="str" s="348" r="AI216">
        <f>IF((AK$15=TRUE),IF(ISNUMBER(Profile!Y244),IF(ISNUMBER(Profile!Y245),(((Y216-((F$63/2)*SIN(RADIANS(Profile!Y245))))+(Y216-((F$63/2)*SIN(RADIANS(Profile!Y244)))))/2),(Y216-((F$63/2)*SIN(RADIANS(Profile!Y244))))),AI215),0)</f>
        <v>#VALUE!:notNumber:For input string: "---"</v>
      </c>
      <c t="str" s="348" r="AJ216">
        <f>IF((AK$15=TRUE),IF(ISNUMBER(Profile!Y244),IF(ISNUMBER(Profile!Y245),(((X216-((F$63/2)*COS(RADIANS(Profile!Y245))))+(X216-((F$63/2)*COS(RADIANS(Profile!Y244)))))/2),(X216-((F$63/2)*COS(RADIANS(Profile!Y244))))),AJ215),0)</f>
        <v>#VALUE!:notNumber:For input string: "---"</v>
      </c>
      <c t="str" s="799" r="AK216">
        <f>IF((AK$15=TRUE),IF(ISNUMBER(Profile!Y244),IF(ISNUMBER(Profile!Y245),(((Y216+((F$63/2)*SIN(RADIANS(Profile!Y245))))+(Y216+((F$63/2)*SIN(RADIANS(Profile!Y244)))))/2),(Y216+((F$63/2)*SIN(RADIANS(Profile!Y244))))),AK215),0)</f>
        <v>#VALUE!:notNumber:For input string: "---"</v>
      </c>
      <c s="51" r="AL216"/>
      <c s="125" r="AM216"/>
    </row>
    <row r="217">
      <c s="125" r="A217"/>
      <c s="125" r="B217"/>
      <c s="125" r="C217"/>
      <c s="125" r="D217"/>
      <c s="125" r="E217"/>
      <c s="125" r="F217"/>
      <c s="125" r="G217"/>
      <c s="125" r="H217"/>
      <c s="125" r="I217"/>
      <c s="125" r="J217"/>
      <c s="125" r="K217"/>
      <c s="125" r="L217"/>
      <c s="125" r="M217"/>
      <c s="125" r="N217"/>
      <c s="125" r="O217"/>
      <c s="125" r="P217"/>
      <c s="125" r="Q217"/>
      <c s="125" r="R217"/>
      <c s="125" r="S217"/>
      <c s="822" r="T217"/>
      <c t="str" s="309" r="U217">
        <f>IF((Profile!L245&gt;0),Profile!L245,"")</f>
        <v/>
      </c>
      <c t="str" s="861" r="V217">
        <f>IF((Profile!O245&gt;0),Profile!O245,"---")</f>
        <v>---</v>
      </c>
      <c t="str" s="861" r="W217">
        <f>IF((Profile!Y245=0),IF((Profile!Y244=0),"---",IF((Profile!Y246=0),"---",Profile!Y245)),Profile!Y245)</f>
        <v>---</v>
      </c>
      <c s="239" r="X217">
        <f>AB217+X216</f>
        <v>0</v>
      </c>
      <c s="796" r="Y217">
        <f>AC217+Y216</f>
        <v>0</v>
      </c>
      <c s="702" r="Z217"/>
      <c s="289" r="AA217">
        <f>IF(Profile!Y245,IF((Profile!O245=0),0,(Profile!O245-MAX(Profile!O$44:O244))),0)</f>
        <v>0</v>
      </c>
      <c s="605" r="AB217">
        <f>SIN(RADIANS(Profile!Y245))*AA217</f>
        <v>0</v>
      </c>
      <c s="605" r="AC217">
        <f>COS(RADIANS(Profile!Y245))*AA217</f>
        <v>0</v>
      </c>
      <c s="348" r="AD217">
        <f>IF((AJ$15=TRUE),X217,NA())</f>
        <v>0</v>
      </c>
      <c s="348" r="AE217">
        <f>IF((AJ$15=TRUE),Y217,NA())</f>
        <v>0</v>
      </c>
      <c t="str" s="348" r="AF217">
        <f>IF(Profile!L245,Y217,NA())</f>
        <v>#N/A:explicit</v>
      </c>
      <c s="348" r="AG217">
        <f>Profile!T245*E$40</f>
        <v>0</v>
      </c>
      <c t="str" s="348" r="AH217">
        <f>IF((AK$15=TRUE),IF(ISNUMBER(Profile!Y245),IF(ISNUMBER(Profile!Y246),(((X217+((F$63/2)*COS(RADIANS(Profile!Y246))))+(X217+((F$63/2)*COS(RADIANS(Profile!Y245)))))/2),(X217+((F$63/2)*COS(RADIANS(Profile!Y245))))),AH216),0)</f>
        <v>#VALUE!:notNumber:For input string: "---"</v>
      </c>
      <c t="str" s="348" r="AI217">
        <f>IF((AK$15=TRUE),IF(ISNUMBER(Profile!Y245),IF(ISNUMBER(Profile!Y246),(((Y217-((F$63/2)*SIN(RADIANS(Profile!Y246))))+(Y217-((F$63/2)*SIN(RADIANS(Profile!Y245)))))/2),(Y217-((F$63/2)*SIN(RADIANS(Profile!Y245))))),AI216),0)</f>
        <v>#VALUE!:notNumber:For input string: "---"</v>
      </c>
      <c t="str" s="348" r="AJ217">
        <f>IF((AK$15=TRUE),IF(ISNUMBER(Profile!Y245),IF(ISNUMBER(Profile!Y246),(((X217-((F$63/2)*COS(RADIANS(Profile!Y246))))+(X217-((F$63/2)*COS(RADIANS(Profile!Y245)))))/2),(X217-((F$63/2)*COS(RADIANS(Profile!Y245))))),AJ216),0)</f>
        <v>#VALUE!:notNumber:For input string: "---"</v>
      </c>
      <c t="str" s="799" r="AK217">
        <f>IF((AK$15=TRUE),IF(ISNUMBER(Profile!Y245),IF(ISNUMBER(Profile!Y246),(((Y217+((F$63/2)*SIN(RADIANS(Profile!Y246))))+(Y217+((F$63/2)*SIN(RADIANS(Profile!Y245)))))/2),(Y217+((F$63/2)*SIN(RADIANS(Profile!Y245))))),AK216),0)</f>
        <v>#VALUE!:notNumber:For input string: "---"</v>
      </c>
      <c s="51" r="AL217"/>
      <c s="125" r="AM217"/>
    </row>
    <row r="218">
      <c s="125" r="A218"/>
      <c s="125" r="B218"/>
      <c s="125" r="C218"/>
      <c s="125" r="D218"/>
      <c s="125" r="E218"/>
      <c s="125" r="F218"/>
      <c s="125" r="G218"/>
      <c s="125" r="H218"/>
      <c s="125" r="I218"/>
      <c s="125" r="J218"/>
      <c s="125" r="K218"/>
      <c s="125" r="L218"/>
      <c s="125" r="M218"/>
      <c s="125" r="N218"/>
      <c s="125" r="O218"/>
      <c s="125" r="P218"/>
      <c s="125" r="Q218"/>
      <c s="125" r="R218"/>
      <c s="125" r="S218"/>
      <c s="822" r="T218"/>
      <c t="str" s="309" r="U218">
        <f>IF((Profile!L246&gt;0),Profile!L246,"")</f>
        <v/>
      </c>
      <c t="str" s="861" r="V218">
        <f>IF((Profile!O246&gt;0),Profile!O246,"---")</f>
        <v>---</v>
      </c>
      <c t="str" s="861" r="W218">
        <f>IF((Profile!Y246=0),IF((Profile!Y245=0),"---",IF((Profile!Y247=0),"---",Profile!Y246)),Profile!Y246)</f>
        <v>---</v>
      </c>
      <c s="239" r="X218">
        <f>AB218+X217</f>
        <v>0</v>
      </c>
      <c s="796" r="Y218">
        <f>AC218+Y217</f>
        <v>0</v>
      </c>
      <c s="702" r="Z218"/>
      <c s="289" r="AA218">
        <f>IF(Profile!Y246,IF((Profile!O246=0),0,(Profile!O246-MAX(Profile!O$44:O245))),0)</f>
        <v>0</v>
      </c>
      <c s="605" r="AB218">
        <f>SIN(RADIANS(Profile!Y246))*AA218</f>
        <v>0</v>
      </c>
      <c s="605" r="AC218">
        <f>COS(RADIANS(Profile!Y246))*AA218</f>
        <v>0</v>
      </c>
      <c s="348" r="AD218">
        <f>IF((AJ$15=TRUE),X218,NA())</f>
        <v>0</v>
      </c>
      <c s="348" r="AE218">
        <f>IF((AJ$15=TRUE),Y218,NA())</f>
        <v>0</v>
      </c>
      <c t="str" s="348" r="AF218">
        <f>IF(Profile!L246,Y218,NA())</f>
        <v>#N/A:explicit</v>
      </c>
      <c s="348" r="AG218">
        <f>Profile!T246*E$40</f>
        <v>0</v>
      </c>
      <c t="str" s="348" r="AH218">
        <f>IF((AK$15=TRUE),IF(ISNUMBER(Profile!Y246),IF(ISNUMBER(Profile!Y247),(((X218+((F$63/2)*COS(RADIANS(Profile!Y247))))+(X218+((F$63/2)*COS(RADIANS(Profile!Y246)))))/2),(X218+((F$63/2)*COS(RADIANS(Profile!Y246))))),AH217),0)</f>
        <v>#VALUE!:notNumber:For input string: "---"</v>
      </c>
      <c t="str" s="348" r="AI218">
        <f>IF((AK$15=TRUE),IF(ISNUMBER(Profile!Y246),IF(ISNUMBER(Profile!Y247),(((Y218-((F$63/2)*SIN(RADIANS(Profile!Y247))))+(Y218-((F$63/2)*SIN(RADIANS(Profile!Y246)))))/2),(Y218-((F$63/2)*SIN(RADIANS(Profile!Y246))))),AI217),0)</f>
        <v>#VALUE!:notNumber:For input string: "---"</v>
      </c>
      <c t="str" s="348" r="AJ218">
        <f>IF((AK$15=TRUE),IF(ISNUMBER(Profile!Y246),IF(ISNUMBER(Profile!Y247),(((X218-((F$63/2)*COS(RADIANS(Profile!Y247))))+(X218-((F$63/2)*COS(RADIANS(Profile!Y246)))))/2),(X218-((F$63/2)*COS(RADIANS(Profile!Y246))))),AJ217),0)</f>
        <v>#VALUE!:notNumber:For input string: "---"</v>
      </c>
      <c t="str" s="799" r="AK218">
        <f>IF((AK$15=TRUE),IF(ISNUMBER(Profile!Y246),IF(ISNUMBER(Profile!Y247),(((Y218+((F$63/2)*SIN(RADIANS(Profile!Y247))))+(Y218+((F$63/2)*SIN(RADIANS(Profile!Y246)))))/2),(Y218+((F$63/2)*SIN(RADIANS(Profile!Y246))))),AK217),0)</f>
        <v>#VALUE!:notNumber:For input string: "---"</v>
      </c>
      <c s="51" r="AL218"/>
      <c s="125" r="AM218"/>
    </row>
    <row r="219">
      <c s="125" r="A219"/>
      <c s="125" r="B219"/>
      <c s="125" r="C219"/>
      <c s="125" r="D219"/>
      <c s="125" r="E219"/>
      <c s="125" r="F219"/>
      <c s="125" r="G219"/>
      <c s="125" r="H219"/>
      <c s="125" r="I219"/>
      <c s="125" r="J219"/>
      <c s="125" r="K219"/>
      <c s="125" r="L219"/>
      <c s="125" r="M219"/>
      <c s="125" r="N219"/>
      <c s="125" r="O219"/>
      <c s="125" r="P219"/>
      <c s="125" r="Q219"/>
      <c s="125" r="R219"/>
      <c s="125" r="S219"/>
      <c s="822" r="T219"/>
      <c t="str" s="309" r="U219">
        <f>IF((Profile!L247&gt;0),Profile!L247,"")</f>
        <v/>
      </c>
      <c t="str" s="861" r="V219">
        <f>IF((Profile!O247&gt;0),Profile!O247,"---")</f>
        <v>---</v>
      </c>
      <c t="str" s="861" r="W219">
        <f>IF((Profile!Y247=0),IF((Profile!Y246=0),"---",IF((Profile!Y248=0),"---",Profile!Y247)),Profile!Y247)</f>
        <v>---</v>
      </c>
      <c s="239" r="X219">
        <f>AB219+X218</f>
        <v>0</v>
      </c>
      <c s="796" r="Y219">
        <f>AC219+Y218</f>
        <v>0</v>
      </c>
      <c s="702" r="Z219"/>
      <c s="289" r="AA219">
        <f>IF(Profile!Y247,IF((Profile!O247=0),0,(Profile!O247-MAX(Profile!O$44:O246))),0)</f>
        <v>0</v>
      </c>
      <c s="605" r="AB219">
        <f>SIN(RADIANS(Profile!Y247))*AA219</f>
        <v>0</v>
      </c>
      <c s="605" r="AC219">
        <f>COS(RADIANS(Profile!Y247))*AA219</f>
        <v>0</v>
      </c>
      <c s="348" r="AD219">
        <f>IF((AJ$15=TRUE),X219,NA())</f>
        <v>0</v>
      </c>
      <c s="348" r="AE219">
        <f>IF((AJ$15=TRUE),Y219,NA())</f>
        <v>0</v>
      </c>
      <c t="str" s="348" r="AF219">
        <f>IF(Profile!L247,Y219,NA())</f>
        <v>#N/A:explicit</v>
      </c>
      <c s="348" r="AG219">
        <f>Profile!T247*E$40</f>
        <v>0</v>
      </c>
      <c t="str" s="348" r="AH219">
        <f>IF((AK$15=TRUE),IF(ISNUMBER(Profile!Y247),IF(ISNUMBER(Profile!Y248),(((X219+((F$63/2)*COS(RADIANS(Profile!Y248))))+(X219+((F$63/2)*COS(RADIANS(Profile!Y247)))))/2),(X219+((F$63/2)*COS(RADIANS(Profile!Y247))))),AH218),0)</f>
        <v>#VALUE!:notNumber:For input string: "---"</v>
      </c>
      <c t="str" s="348" r="AI219">
        <f>IF((AK$15=TRUE),IF(ISNUMBER(Profile!Y247),IF(ISNUMBER(Profile!Y248),(((Y219-((F$63/2)*SIN(RADIANS(Profile!Y248))))+(Y219-((F$63/2)*SIN(RADIANS(Profile!Y247)))))/2),(Y219-((F$63/2)*SIN(RADIANS(Profile!Y247))))),AI218),0)</f>
        <v>#VALUE!:notNumber:For input string: "---"</v>
      </c>
      <c t="str" s="348" r="AJ219">
        <f>IF((AK$15=TRUE),IF(ISNUMBER(Profile!Y247),IF(ISNUMBER(Profile!Y248),(((X219-((F$63/2)*COS(RADIANS(Profile!Y248))))+(X219-((F$63/2)*COS(RADIANS(Profile!Y247)))))/2),(X219-((F$63/2)*COS(RADIANS(Profile!Y247))))),AJ218),0)</f>
        <v>#VALUE!:notNumber:For input string: "---"</v>
      </c>
      <c t="str" s="799" r="AK219">
        <f>IF((AK$15=TRUE),IF(ISNUMBER(Profile!Y247),IF(ISNUMBER(Profile!Y248),(((Y219+((F$63/2)*SIN(RADIANS(Profile!Y248))))+(Y219+((F$63/2)*SIN(RADIANS(Profile!Y247)))))/2),(Y219+((F$63/2)*SIN(RADIANS(Profile!Y247))))),AK218),0)</f>
        <v>#VALUE!:notNumber:For input string: "---"</v>
      </c>
      <c s="51" r="AL219"/>
      <c s="125" r="AM219"/>
    </row>
    <row r="220">
      <c s="125" r="A220"/>
      <c s="125" r="B220"/>
      <c s="125" r="C220"/>
      <c s="125" r="D220"/>
      <c s="125" r="E220"/>
      <c s="125" r="F220"/>
      <c s="125" r="G220"/>
      <c s="125" r="H220"/>
      <c s="125" r="I220"/>
      <c s="125" r="J220"/>
      <c s="125" r="K220"/>
      <c s="125" r="L220"/>
      <c s="125" r="M220"/>
      <c s="125" r="N220"/>
      <c s="125" r="O220"/>
      <c s="125" r="P220"/>
      <c s="125" r="Q220"/>
      <c s="125" r="R220"/>
      <c s="125" r="S220"/>
      <c s="822" r="T220"/>
      <c t="str" s="309" r="U220">
        <f>IF((Profile!L248&gt;0),Profile!L248,"")</f>
        <v/>
      </c>
      <c t="str" s="861" r="V220">
        <f>IF((Profile!O248&gt;0),Profile!O248,"---")</f>
        <v>---</v>
      </c>
      <c t="str" s="861" r="W220">
        <f>IF((Profile!Y248=0),IF((Profile!Y247=0),"---",IF((Profile!Y249=0),"---",Profile!Y248)),Profile!Y248)</f>
        <v>---</v>
      </c>
      <c s="239" r="X220">
        <f>AB220+X219</f>
        <v>0</v>
      </c>
      <c s="796" r="Y220">
        <f>AC220+Y219</f>
        <v>0</v>
      </c>
      <c s="702" r="Z220"/>
      <c s="289" r="AA220">
        <f>IF(Profile!Y248,IF((Profile!O248=0),0,(Profile!O248-MAX(Profile!O$44:O247))),0)</f>
        <v>0</v>
      </c>
      <c s="605" r="AB220">
        <f>SIN(RADIANS(Profile!Y248))*AA220</f>
        <v>0</v>
      </c>
      <c s="605" r="AC220">
        <f>COS(RADIANS(Profile!Y248))*AA220</f>
        <v>0</v>
      </c>
      <c s="348" r="AD220">
        <f>IF((AJ$15=TRUE),X220,NA())</f>
        <v>0</v>
      </c>
      <c s="348" r="AE220">
        <f>IF((AJ$15=TRUE),Y220,NA())</f>
        <v>0</v>
      </c>
      <c t="str" s="348" r="AF220">
        <f>IF(Profile!L248,Y220,NA())</f>
        <v>#N/A:explicit</v>
      </c>
      <c s="348" r="AG220">
        <f>Profile!T248*E$40</f>
        <v>0</v>
      </c>
      <c t="str" s="348" r="AH220">
        <f>IF((AK$15=TRUE),IF(ISNUMBER(Profile!Y248),IF(ISNUMBER(Profile!Y249),(((X220+((F$63/2)*COS(RADIANS(Profile!Y249))))+(X220+((F$63/2)*COS(RADIANS(Profile!Y248)))))/2),(X220+((F$63/2)*COS(RADIANS(Profile!Y248))))),AH219),0)</f>
        <v>#VALUE!:notNumber:For input string: "---"</v>
      </c>
      <c t="str" s="348" r="AI220">
        <f>IF((AK$15=TRUE),IF(ISNUMBER(Profile!Y248),IF(ISNUMBER(Profile!Y249),(((Y220-((F$63/2)*SIN(RADIANS(Profile!Y249))))+(Y220-((F$63/2)*SIN(RADIANS(Profile!Y248)))))/2),(Y220-((F$63/2)*SIN(RADIANS(Profile!Y248))))),AI219),0)</f>
        <v>#VALUE!:notNumber:For input string: "---"</v>
      </c>
      <c t="str" s="348" r="AJ220">
        <f>IF((AK$15=TRUE),IF(ISNUMBER(Profile!Y248),IF(ISNUMBER(Profile!Y249),(((X220-((F$63/2)*COS(RADIANS(Profile!Y249))))+(X220-((F$63/2)*COS(RADIANS(Profile!Y248)))))/2),(X220-((F$63/2)*COS(RADIANS(Profile!Y248))))),AJ219),0)</f>
        <v>#VALUE!:notNumber:For input string: "---"</v>
      </c>
      <c t="str" s="799" r="AK220">
        <f>IF((AK$15=TRUE),IF(ISNUMBER(Profile!Y248),IF(ISNUMBER(Profile!Y249),(((Y220+((F$63/2)*SIN(RADIANS(Profile!Y249))))+(Y220+((F$63/2)*SIN(RADIANS(Profile!Y248)))))/2),(Y220+((F$63/2)*SIN(RADIANS(Profile!Y248))))),AK219),0)</f>
        <v>#VALUE!:notNumber:For input string: "---"</v>
      </c>
      <c s="51" r="AL220"/>
      <c s="125" r="AM220"/>
    </row>
    <row r="221">
      <c s="125" r="A221"/>
      <c s="125" r="B221"/>
      <c s="125" r="C221"/>
      <c s="125" r="D221"/>
      <c s="125" r="E221"/>
      <c s="125" r="F221"/>
      <c s="125" r="G221"/>
      <c s="125" r="H221"/>
      <c s="125" r="I221"/>
      <c s="125" r="J221"/>
      <c s="125" r="K221"/>
      <c s="125" r="L221"/>
      <c s="125" r="M221"/>
      <c s="125" r="N221"/>
      <c s="125" r="O221"/>
      <c s="125" r="P221"/>
      <c s="125" r="Q221"/>
      <c s="125" r="R221"/>
      <c s="125" r="S221"/>
      <c s="822" r="T221"/>
      <c t="str" s="309" r="U221">
        <f>IF((Profile!L249&gt;0),Profile!L249,"")</f>
        <v/>
      </c>
      <c t="str" s="861" r="V221">
        <f>IF((Profile!O249&gt;0),Profile!O249,"---")</f>
        <v>---</v>
      </c>
      <c t="str" s="861" r="W221">
        <f>IF((Profile!Y249=0),IF((Profile!Y248=0),"---",IF((Profile!Y250=0),"---",Profile!Y249)),Profile!Y249)</f>
        <v>---</v>
      </c>
      <c s="239" r="X221">
        <f>AB221+X220</f>
        <v>0</v>
      </c>
      <c s="796" r="Y221">
        <f>AC221+Y220</f>
        <v>0</v>
      </c>
      <c s="702" r="Z221"/>
      <c s="289" r="AA221">
        <f>IF(Profile!Y249,IF((Profile!O249=0),0,(Profile!O249-MAX(Profile!O$44:O248))),0)</f>
        <v>0</v>
      </c>
      <c s="605" r="AB221">
        <f>SIN(RADIANS(Profile!Y249))*AA221</f>
        <v>0</v>
      </c>
      <c s="605" r="AC221">
        <f>COS(RADIANS(Profile!Y249))*AA221</f>
        <v>0</v>
      </c>
      <c s="348" r="AD221">
        <f>IF((AJ$15=TRUE),X221,NA())</f>
        <v>0</v>
      </c>
      <c s="348" r="AE221">
        <f>IF((AJ$15=TRUE),Y221,NA())</f>
        <v>0</v>
      </c>
      <c t="str" s="348" r="AF221">
        <f>IF(Profile!L249,Y221,NA())</f>
        <v>#N/A:explicit</v>
      </c>
      <c s="348" r="AG221">
        <f>Profile!T249*E$40</f>
        <v>0</v>
      </c>
      <c t="str" s="348" r="AH221">
        <f>IF((AK$15=TRUE),IF(ISNUMBER(Profile!Y249),IF(ISNUMBER(Profile!Y250),(((X221+((F$63/2)*COS(RADIANS(Profile!Y250))))+(X221+((F$63/2)*COS(RADIANS(Profile!Y249)))))/2),(X221+((F$63/2)*COS(RADIANS(Profile!Y249))))),AH220),0)</f>
        <v>#VALUE!:notNumber:For input string: "---"</v>
      </c>
      <c t="str" s="348" r="AI221">
        <f>IF((AK$15=TRUE),IF(ISNUMBER(Profile!Y249),IF(ISNUMBER(Profile!Y250),(((Y221-((F$63/2)*SIN(RADIANS(Profile!Y250))))+(Y221-((F$63/2)*SIN(RADIANS(Profile!Y249)))))/2),(Y221-((F$63/2)*SIN(RADIANS(Profile!Y249))))),AI220),0)</f>
        <v>#VALUE!:notNumber:For input string: "---"</v>
      </c>
      <c t="str" s="348" r="AJ221">
        <f>IF((AK$15=TRUE),IF(ISNUMBER(Profile!Y249),IF(ISNUMBER(Profile!Y250),(((X221-((F$63/2)*COS(RADIANS(Profile!Y250))))+(X221-((F$63/2)*COS(RADIANS(Profile!Y249)))))/2),(X221-((F$63/2)*COS(RADIANS(Profile!Y249))))),AJ220),0)</f>
        <v>#VALUE!:notNumber:For input string: "---"</v>
      </c>
      <c t="str" s="799" r="AK221">
        <f>IF((AK$15=TRUE),IF(ISNUMBER(Profile!Y249),IF(ISNUMBER(Profile!Y250),(((Y221+((F$63/2)*SIN(RADIANS(Profile!Y250))))+(Y221+((F$63/2)*SIN(RADIANS(Profile!Y249)))))/2),(Y221+((F$63/2)*SIN(RADIANS(Profile!Y249))))),AK220),0)</f>
        <v>#VALUE!:notNumber:For input string: "---"</v>
      </c>
      <c s="51" r="AL221"/>
      <c s="125" r="AM221"/>
    </row>
    <row r="222">
      <c s="125" r="A222"/>
      <c s="125" r="B222"/>
      <c s="125" r="C222"/>
      <c s="125" r="D222"/>
      <c s="125" r="E222"/>
      <c s="125" r="F222"/>
      <c s="125" r="G222"/>
      <c s="125" r="H222"/>
      <c s="125" r="I222"/>
      <c s="125" r="J222"/>
      <c s="125" r="K222"/>
      <c s="125" r="L222"/>
      <c s="125" r="M222"/>
      <c s="125" r="N222"/>
      <c s="125" r="O222"/>
      <c s="125" r="P222"/>
      <c s="125" r="Q222"/>
      <c s="125" r="R222"/>
      <c s="125" r="S222"/>
      <c s="822" r="T222"/>
      <c t="str" s="309" r="U222">
        <f>IF((Profile!L250&gt;0),Profile!L250,"")</f>
        <v/>
      </c>
      <c t="str" s="861" r="V222">
        <f>IF((Profile!O250&gt;0),Profile!O250,"---")</f>
        <v>---</v>
      </c>
      <c t="str" s="861" r="W222">
        <f>IF((Profile!Y250=0),IF((Profile!Y249=0),"---",IF((Profile!Y251=0),"---",Profile!Y250)),Profile!Y250)</f>
        <v>---</v>
      </c>
      <c s="239" r="X222">
        <f>AB222+X221</f>
        <v>0</v>
      </c>
      <c s="796" r="Y222">
        <f>AC222+Y221</f>
        <v>0</v>
      </c>
      <c s="702" r="Z222"/>
      <c s="289" r="AA222">
        <f>IF(Profile!Y250,IF((Profile!O250=0),0,(Profile!O250-MAX(Profile!O$44:O249))),0)</f>
        <v>0</v>
      </c>
      <c s="605" r="AB222">
        <f>SIN(RADIANS(Profile!Y250))*AA222</f>
        <v>0</v>
      </c>
      <c s="605" r="AC222">
        <f>COS(RADIANS(Profile!Y250))*AA222</f>
        <v>0</v>
      </c>
      <c s="348" r="AD222">
        <f>IF((AJ$15=TRUE),X222,NA())</f>
        <v>0</v>
      </c>
      <c s="348" r="AE222">
        <f>IF((AJ$15=TRUE),Y222,NA())</f>
        <v>0</v>
      </c>
      <c t="str" s="348" r="AF222">
        <f>IF(Profile!L250,Y222,NA())</f>
        <v>#N/A:explicit</v>
      </c>
      <c s="348" r="AG222">
        <f>Profile!T250*E$40</f>
        <v>0</v>
      </c>
      <c t="str" s="348" r="AH222">
        <f>IF((AK$15=TRUE),IF(ISNUMBER(Profile!Y250),IF(ISNUMBER(Profile!Y251),(((X222+((F$63/2)*COS(RADIANS(Profile!Y251))))+(X222+((F$63/2)*COS(RADIANS(Profile!Y250)))))/2),(X222+((F$63/2)*COS(RADIANS(Profile!Y250))))),AH221),0)</f>
        <v>#VALUE!:notNumber:For input string: "---"</v>
      </c>
      <c t="str" s="348" r="AI222">
        <f>IF((AK$15=TRUE),IF(ISNUMBER(Profile!Y250),IF(ISNUMBER(Profile!Y251),(((Y222-((F$63/2)*SIN(RADIANS(Profile!Y251))))+(Y222-((F$63/2)*SIN(RADIANS(Profile!Y250)))))/2),(Y222-((F$63/2)*SIN(RADIANS(Profile!Y250))))),AI221),0)</f>
        <v>#VALUE!:notNumber:For input string: "---"</v>
      </c>
      <c t="str" s="348" r="AJ222">
        <f>IF((AK$15=TRUE),IF(ISNUMBER(Profile!Y250),IF(ISNUMBER(Profile!Y251),(((X222-((F$63/2)*COS(RADIANS(Profile!Y251))))+(X222-((F$63/2)*COS(RADIANS(Profile!Y250)))))/2),(X222-((F$63/2)*COS(RADIANS(Profile!Y250))))),AJ221),0)</f>
        <v>#VALUE!:notNumber:For input string: "---"</v>
      </c>
      <c t="str" s="799" r="AK222">
        <f>IF((AK$15=TRUE),IF(ISNUMBER(Profile!Y250),IF(ISNUMBER(Profile!Y251),(((Y222+((F$63/2)*SIN(RADIANS(Profile!Y251))))+(Y222+((F$63/2)*SIN(RADIANS(Profile!Y250)))))/2),(Y222+((F$63/2)*SIN(RADIANS(Profile!Y250))))),AK221),0)</f>
        <v>#VALUE!:notNumber:For input string: "---"</v>
      </c>
      <c s="51" r="AL222"/>
      <c s="125" r="AM222"/>
    </row>
    <row r="223">
      <c s="125" r="A223"/>
      <c s="125" r="B223"/>
      <c s="125" r="C223"/>
      <c s="125" r="D223"/>
      <c s="125" r="E223"/>
      <c s="125" r="F223"/>
      <c s="125" r="G223"/>
      <c s="125" r="H223"/>
      <c s="125" r="I223"/>
      <c s="125" r="J223"/>
      <c s="125" r="K223"/>
      <c s="125" r="L223"/>
      <c s="125" r="M223"/>
      <c s="125" r="N223"/>
      <c s="125" r="O223"/>
      <c s="125" r="P223"/>
      <c s="125" r="Q223"/>
      <c s="125" r="R223"/>
      <c s="125" r="S223"/>
      <c s="822" r="T223"/>
      <c t="str" s="309" r="U223">
        <f>IF((Profile!L251&gt;0),Profile!L251,"")</f>
        <v/>
      </c>
      <c t="str" s="861" r="V223">
        <f>IF((Profile!O251&gt;0),Profile!O251,"---")</f>
        <v>---</v>
      </c>
      <c t="str" s="861" r="W223">
        <f>IF((Profile!Y251=0),IF((Profile!Y250=0),"---",IF((Profile!Y252=0),"---",Profile!Y251)),Profile!Y251)</f>
        <v>---</v>
      </c>
      <c s="239" r="X223">
        <f>AB223+X222</f>
        <v>0</v>
      </c>
      <c s="796" r="Y223">
        <f>AC223+Y222</f>
        <v>0</v>
      </c>
      <c s="702" r="Z223"/>
      <c s="289" r="AA223">
        <f>IF(Profile!Y251,IF((Profile!O251=0),0,(Profile!O251-MAX(Profile!O$44:O250))),0)</f>
        <v>0</v>
      </c>
      <c s="605" r="AB223">
        <f>SIN(RADIANS(Profile!Y251))*AA223</f>
        <v>0</v>
      </c>
      <c s="605" r="AC223">
        <f>COS(RADIANS(Profile!Y251))*AA223</f>
        <v>0</v>
      </c>
      <c s="348" r="AD223">
        <f>IF((AJ$15=TRUE),X223,NA())</f>
        <v>0</v>
      </c>
      <c s="348" r="AE223">
        <f>IF((AJ$15=TRUE),Y223,NA())</f>
        <v>0</v>
      </c>
      <c t="str" s="348" r="AF223">
        <f>IF(Profile!L251,Y223,NA())</f>
        <v>#N/A:explicit</v>
      </c>
      <c s="348" r="AG223">
        <f>Profile!T251*E$40</f>
        <v>0</v>
      </c>
      <c t="str" s="348" r="AH223">
        <f>IF((AK$15=TRUE),IF(ISNUMBER(Profile!Y251),IF(ISNUMBER(Profile!Y252),(((X223+((F$63/2)*COS(RADIANS(Profile!Y252))))+(X223+((F$63/2)*COS(RADIANS(Profile!Y251)))))/2),(X223+((F$63/2)*COS(RADIANS(Profile!Y251))))),AH222),0)</f>
        <v>#VALUE!:notNumber:For input string: "---"</v>
      </c>
      <c t="str" s="348" r="AI223">
        <f>IF((AK$15=TRUE),IF(ISNUMBER(Profile!Y251),IF(ISNUMBER(Profile!Y252),(((Y223-((F$63/2)*SIN(RADIANS(Profile!Y252))))+(Y223-((F$63/2)*SIN(RADIANS(Profile!Y251)))))/2),(Y223-((F$63/2)*SIN(RADIANS(Profile!Y251))))),AI222),0)</f>
        <v>#VALUE!:notNumber:For input string: "---"</v>
      </c>
      <c t="str" s="348" r="AJ223">
        <f>IF((AK$15=TRUE),IF(ISNUMBER(Profile!Y251),IF(ISNUMBER(Profile!Y252),(((X223-((F$63/2)*COS(RADIANS(Profile!Y252))))+(X223-((F$63/2)*COS(RADIANS(Profile!Y251)))))/2),(X223-((F$63/2)*COS(RADIANS(Profile!Y251))))),AJ222),0)</f>
        <v>#VALUE!:notNumber:For input string: "---"</v>
      </c>
      <c t="str" s="799" r="AK223">
        <f>IF((AK$15=TRUE),IF(ISNUMBER(Profile!Y251),IF(ISNUMBER(Profile!Y252),(((Y223+((F$63/2)*SIN(RADIANS(Profile!Y252))))+(Y223+((F$63/2)*SIN(RADIANS(Profile!Y251)))))/2),(Y223+((F$63/2)*SIN(RADIANS(Profile!Y251))))),AK222),0)</f>
        <v>#VALUE!:notNumber:For input string: "---"</v>
      </c>
      <c s="51" r="AL223"/>
      <c s="125" r="AM223"/>
    </row>
    <row r="224">
      <c s="125" r="A224"/>
      <c s="125" r="B224"/>
      <c s="125" r="C224"/>
      <c s="125" r="D224"/>
      <c s="125" r="E224"/>
      <c s="125" r="F224"/>
      <c s="125" r="G224"/>
      <c s="125" r="H224"/>
      <c s="125" r="I224"/>
      <c s="125" r="J224"/>
      <c s="125" r="K224"/>
      <c s="125" r="L224"/>
      <c s="125" r="M224"/>
      <c s="125" r="N224"/>
      <c s="125" r="O224"/>
      <c s="125" r="P224"/>
      <c s="125" r="Q224"/>
      <c s="125" r="R224"/>
      <c s="125" r="S224"/>
      <c s="822" r="T224"/>
      <c t="str" s="309" r="U224">
        <f>IF((Profile!L252&gt;0),Profile!L252,"")</f>
        <v/>
      </c>
      <c t="str" s="861" r="V224">
        <f>IF((Profile!O252&gt;0),Profile!O252,"---")</f>
        <v>---</v>
      </c>
      <c t="str" s="861" r="W224">
        <f>IF((Profile!Y252=0),IF((Profile!Y251=0),"---",IF((Profile!Y253=0),"---",Profile!Y252)),Profile!Y252)</f>
        <v>---</v>
      </c>
      <c s="239" r="X224">
        <f>AB224+X223</f>
        <v>0</v>
      </c>
      <c s="796" r="Y224">
        <f>AC224+Y223</f>
        <v>0</v>
      </c>
      <c s="702" r="Z224"/>
      <c s="289" r="AA224">
        <f>IF(Profile!Y252,IF((Profile!O252=0),0,(Profile!O252-MAX(Profile!O$44:O251))),0)</f>
        <v>0</v>
      </c>
      <c s="605" r="AB224">
        <f>SIN(RADIANS(Profile!Y252))*AA224</f>
        <v>0</v>
      </c>
      <c s="605" r="AC224">
        <f>COS(RADIANS(Profile!Y252))*AA224</f>
        <v>0</v>
      </c>
      <c s="348" r="AD224">
        <f>IF((AJ$15=TRUE),X224,NA())</f>
        <v>0</v>
      </c>
      <c s="348" r="AE224">
        <f>IF((AJ$15=TRUE),Y224,NA())</f>
        <v>0</v>
      </c>
      <c t="str" s="348" r="AF224">
        <f>IF(Profile!L252,Y224,NA())</f>
        <v>#N/A:explicit</v>
      </c>
      <c s="348" r="AG224">
        <f>Profile!T252*E$40</f>
        <v>0</v>
      </c>
      <c t="str" s="348" r="AH224">
        <f>IF((AK$15=TRUE),IF(ISNUMBER(Profile!Y252),IF(ISNUMBER(Profile!Y253),(((X224+((F$63/2)*COS(RADIANS(Profile!Y253))))+(X224+((F$63/2)*COS(RADIANS(Profile!Y252)))))/2),(X224+((F$63/2)*COS(RADIANS(Profile!Y252))))),AH223),0)</f>
        <v>#VALUE!:notNumber:For input string: "---"</v>
      </c>
      <c t="str" s="348" r="AI224">
        <f>IF((AK$15=TRUE),IF(ISNUMBER(Profile!Y252),IF(ISNUMBER(Profile!Y253),(((Y224-((F$63/2)*SIN(RADIANS(Profile!Y253))))+(Y224-((F$63/2)*SIN(RADIANS(Profile!Y252)))))/2),(Y224-((F$63/2)*SIN(RADIANS(Profile!Y252))))),AI223),0)</f>
        <v>#VALUE!:notNumber:For input string: "---"</v>
      </c>
      <c t="str" s="348" r="AJ224">
        <f>IF((AK$15=TRUE),IF(ISNUMBER(Profile!Y252),IF(ISNUMBER(Profile!Y253),(((X224-((F$63/2)*COS(RADIANS(Profile!Y253))))+(X224-((F$63/2)*COS(RADIANS(Profile!Y252)))))/2),(X224-((F$63/2)*COS(RADIANS(Profile!Y252))))),AJ223),0)</f>
        <v>#VALUE!:notNumber:For input string: "---"</v>
      </c>
      <c t="str" s="799" r="AK224">
        <f>IF((AK$15=TRUE),IF(ISNUMBER(Profile!Y252),IF(ISNUMBER(Profile!Y253),(((Y224+((F$63/2)*SIN(RADIANS(Profile!Y253))))+(Y224+((F$63/2)*SIN(RADIANS(Profile!Y252)))))/2),(Y224+((F$63/2)*SIN(RADIANS(Profile!Y252))))),AK223),0)</f>
        <v>#VALUE!:notNumber:For input string: "---"</v>
      </c>
      <c s="51" r="AL224"/>
      <c s="125" r="AM224"/>
    </row>
    <row r="225">
      <c s="125" r="A225"/>
      <c s="125" r="B225"/>
      <c s="125" r="C225"/>
      <c s="125" r="D225"/>
      <c s="125" r="E225"/>
      <c s="125" r="F225"/>
      <c s="125" r="G225"/>
      <c s="125" r="H225"/>
      <c s="125" r="I225"/>
      <c s="125" r="J225"/>
      <c s="125" r="K225"/>
      <c s="125" r="L225"/>
      <c s="125" r="M225"/>
      <c s="125" r="N225"/>
      <c s="125" r="O225"/>
      <c s="125" r="P225"/>
      <c s="125" r="Q225"/>
      <c s="125" r="R225"/>
      <c s="125" r="S225"/>
      <c s="822" r="T225"/>
      <c t="str" s="309" r="U225">
        <f>IF((Profile!L253&gt;0),Profile!L253,"")</f>
        <v/>
      </c>
      <c t="str" s="861" r="V225">
        <f>IF((Profile!O253&gt;0),Profile!O253,"---")</f>
        <v>---</v>
      </c>
      <c t="str" s="861" r="W225">
        <f>IF((Profile!Y253=0),IF((Profile!Y252=0),"---",IF((Profile!Y254=0),"---",Profile!Y253)),Profile!Y253)</f>
        <v>---</v>
      </c>
      <c s="239" r="X225">
        <f>AB225+X224</f>
        <v>0</v>
      </c>
      <c s="796" r="Y225">
        <f>AC225+Y224</f>
        <v>0</v>
      </c>
      <c s="702" r="Z225"/>
      <c s="289" r="AA225">
        <f>IF(Profile!Y253,IF((Profile!O253=0),0,(Profile!O253-MAX(Profile!O$44:O252))),0)</f>
        <v>0</v>
      </c>
      <c s="605" r="AB225">
        <f>SIN(RADIANS(Profile!Y253))*AA225</f>
        <v>0</v>
      </c>
      <c s="605" r="AC225">
        <f>COS(RADIANS(Profile!Y253))*AA225</f>
        <v>0</v>
      </c>
      <c s="348" r="AD225">
        <f>IF((AJ$15=TRUE),X225,NA())</f>
        <v>0</v>
      </c>
      <c s="348" r="AE225">
        <f>IF((AJ$15=TRUE),Y225,NA())</f>
        <v>0</v>
      </c>
      <c t="str" s="348" r="AF225">
        <f>IF(Profile!L253,Y225,NA())</f>
        <v>#N/A:explicit</v>
      </c>
      <c s="348" r="AG225">
        <f>Profile!T253*E$40</f>
        <v>0</v>
      </c>
      <c t="str" s="348" r="AH225">
        <f>IF((AK$15=TRUE),IF(ISNUMBER(Profile!Y253),IF(ISNUMBER(Profile!Y254),(((X225+((F$63/2)*COS(RADIANS(Profile!Y254))))+(X225+((F$63/2)*COS(RADIANS(Profile!Y253)))))/2),(X225+((F$63/2)*COS(RADIANS(Profile!Y253))))),AH224),0)</f>
        <v>#VALUE!:notNumber:For input string: "---"</v>
      </c>
      <c t="str" s="348" r="AI225">
        <f>IF((AK$15=TRUE),IF(ISNUMBER(Profile!Y253),IF(ISNUMBER(Profile!Y254),(((Y225-((F$63/2)*SIN(RADIANS(Profile!Y254))))+(Y225-((F$63/2)*SIN(RADIANS(Profile!Y253)))))/2),(Y225-((F$63/2)*SIN(RADIANS(Profile!Y253))))),AI224),0)</f>
        <v>#VALUE!:notNumber:For input string: "---"</v>
      </c>
      <c t="str" s="348" r="AJ225">
        <f>IF((AK$15=TRUE),IF(ISNUMBER(Profile!Y253),IF(ISNUMBER(Profile!Y254),(((X225-((F$63/2)*COS(RADIANS(Profile!Y254))))+(X225-((F$63/2)*COS(RADIANS(Profile!Y253)))))/2),(X225-((F$63/2)*COS(RADIANS(Profile!Y253))))),AJ224),0)</f>
        <v>#VALUE!:notNumber:For input string: "---"</v>
      </c>
      <c t="str" s="799" r="AK225">
        <f>IF((AK$15=TRUE),IF(ISNUMBER(Profile!Y253),IF(ISNUMBER(Profile!Y254),(((Y225+((F$63/2)*SIN(RADIANS(Profile!Y254))))+(Y225+((F$63/2)*SIN(RADIANS(Profile!Y253)))))/2),(Y225+((F$63/2)*SIN(RADIANS(Profile!Y253))))),AK224),0)</f>
        <v>#VALUE!:notNumber:For input string: "---"</v>
      </c>
      <c s="51" r="AL225"/>
      <c s="125" r="AM225"/>
    </row>
    <row r="226">
      <c s="125" r="A226"/>
      <c s="125" r="B226"/>
      <c s="125" r="C226"/>
      <c s="125" r="D226"/>
      <c s="125" r="E226"/>
      <c s="125" r="F226"/>
      <c s="125" r="G226"/>
      <c s="125" r="H226"/>
      <c s="125" r="I226"/>
      <c s="125" r="J226"/>
      <c s="125" r="K226"/>
      <c s="125" r="L226"/>
      <c s="125" r="M226"/>
      <c s="125" r="N226"/>
      <c s="125" r="O226"/>
      <c s="125" r="P226"/>
      <c s="125" r="Q226"/>
      <c s="125" r="R226"/>
      <c s="125" r="S226"/>
      <c s="822" r="T226"/>
      <c t="str" s="309" r="U226">
        <f>IF((Profile!L254&gt;0),Profile!L254,"")</f>
        <v/>
      </c>
      <c t="str" s="861" r="V226">
        <f>IF((Profile!O254&gt;0),Profile!O254,"---")</f>
        <v>---</v>
      </c>
      <c t="str" s="861" r="W226">
        <f>IF((Profile!Y254=0),IF((Profile!Y253=0),"---",IF((Profile!Y255=0),"---",Profile!Y254)),Profile!Y254)</f>
        <v>---</v>
      </c>
      <c s="239" r="X226">
        <f>AB226+X225</f>
        <v>0</v>
      </c>
      <c s="796" r="Y226">
        <f>AC226+Y225</f>
        <v>0</v>
      </c>
      <c s="702" r="Z226"/>
      <c s="289" r="AA226">
        <f>IF(Profile!Y254,IF((Profile!O254=0),0,(Profile!O254-MAX(Profile!O$44:O253))),0)</f>
        <v>0</v>
      </c>
      <c s="605" r="AB226">
        <f>SIN(RADIANS(Profile!Y254))*AA226</f>
        <v>0</v>
      </c>
      <c s="605" r="AC226">
        <f>COS(RADIANS(Profile!Y254))*AA226</f>
        <v>0</v>
      </c>
      <c s="348" r="AD226">
        <f>IF((AJ$15=TRUE),X226,NA())</f>
        <v>0</v>
      </c>
      <c s="348" r="AE226">
        <f>IF((AJ$15=TRUE),Y226,NA())</f>
        <v>0</v>
      </c>
      <c t="str" s="348" r="AF226">
        <f>IF(Profile!L254,Y226,NA())</f>
        <v>#N/A:explicit</v>
      </c>
      <c s="348" r="AG226">
        <f>Profile!T254*E$40</f>
        <v>0</v>
      </c>
      <c t="str" s="348" r="AH226">
        <f>IF((AK$15=TRUE),IF(ISNUMBER(Profile!Y254),IF(ISNUMBER(Profile!Y255),(((X226+((F$63/2)*COS(RADIANS(Profile!Y255))))+(X226+((F$63/2)*COS(RADIANS(Profile!Y254)))))/2),(X226+((F$63/2)*COS(RADIANS(Profile!Y254))))),AH225),0)</f>
        <v>#VALUE!:notNumber:For input string: "---"</v>
      </c>
      <c t="str" s="348" r="AI226">
        <f>IF((AK$15=TRUE),IF(ISNUMBER(Profile!Y254),IF(ISNUMBER(Profile!Y255),(((Y226-((F$63/2)*SIN(RADIANS(Profile!Y255))))+(Y226-((F$63/2)*SIN(RADIANS(Profile!Y254)))))/2),(Y226-((F$63/2)*SIN(RADIANS(Profile!Y254))))),AI225),0)</f>
        <v>#VALUE!:notNumber:For input string: "---"</v>
      </c>
      <c t="str" s="348" r="AJ226">
        <f>IF((AK$15=TRUE),IF(ISNUMBER(Profile!Y254),IF(ISNUMBER(Profile!Y255),(((X226-((F$63/2)*COS(RADIANS(Profile!Y255))))+(X226-((F$63/2)*COS(RADIANS(Profile!Y254)))))/2),(X226-((F$63/2)*COS(RADIANS(Profile!Y254))))),AJ225),0)</f>
        <v>#VALUE!:notNumber:For input string: "---"</v>
      </c>
      <c t="str" s="799" r="AK226">
        <f>IF((AK$15=TRUE),IF(ISNUMBER(Profile!Y254),IF(ISNUMBER(Profile!Y255),(((Y226+((F$63/2)*SIN(RADIANS(Profile!Y255))))+(Y226+((F$63/2)*SIN(RADIANS(Profile!Y254)))))/2),(Y226+((F$63/2)*SIN(RADIANS(Profile!Y254))))),AK225),0)</f>
        <v>#VALUE!:notNumber:For input string: "---"</v>
      </c>
      <c s="51" r="AL226"/>
      <c s="125" r="AM226"/>
    </row>
    <row r="227">
      <c s="125" r="A227"/>
      <c s="125" r="B227"/>
      <c s="125" r="C227"/>
      <c s="125" r="D227"/>
      <c s="125" r="E227"/>
      <c s="125" r="F227"/>
      <c s="125" r="G227"/>
      <c s="125" r="H227"/>
      <c s="125" r="I227"/>
      <c s="125" r="J227"/>
      <c s="125" r="K227"/>
      <c s="125" r="L227"/>
      <c s="125" r="M227"/>
      <c s="125" r="N227"/>
      <c s="125" r="O227"/>
      <c s="125" r="P227"/>
      <c s="125" r="Q227"/>
      <c s="125" r="R227"/>
      <c s="125" r="S227"/>
      <c s="822" r="T227"/>
      <c t="str" s="309" r="U227">
        <f>IF((Profile!L255&gt;0),Profile!L255,"")</f>
        <v/>
      </c>
      <c t="str" s="861" r="V227">
        <f>IF((Profile!O255&gt;0),Profile!O255,"---")</f>
        <v>---</v>
      </c>
      <c t="str" s="861" r="W227">
        <f>IF((Profile!Y255=0),IF((Profile!Y254=0),"---",IF((Profile!Y256=0),"---",Profile!Y255)),Profile!Y255)</f>
        <v>---</v>
      </c>
      <c s="239" r="X227">
        <f>AB227+X226</f>
        <v>0</v>
      </c>
      <c s="796" r="Y227">
        <f>AC227+Y226</f>
        <v>0</v>
      </c>
      <c s="702" r="Z227"/>
      <c s="289" r="AA227">
        <f>IF(Profile!Y255,IF((Profile!O255=0),0,(Profile!O255-MAX(Profile!O$44:O254))),0)</f>
        <v>0</v>
      </c>
      <c s="605" r="AB227">
        <f>SIN(RADIANS(Profile!Y255))*AA227</f>
        <v>0</v>
      </c>
      <c s="605" r="AC227">
        <f>COS(RADIANS(Profile!Y255))*AA227</f>
        <v>0</v>
      </c>
      <c s="348" r="AD227">
        <f>IF((AJ$15=TRUE),X227,NA())</f>
        <v>0</v>
      </c>
      <c s="348" r="AE227">
        <f>IF((AJ$15=TRUE),Y227,NA())</f>
        <v>0</v>
      </c>
      <c t="str" s="348" r="AF227">
        <f>IF(Profile!L255,Y227,NA())</f>
        <v>#N/A:explicit</v>
      </c>
      <c s="348" r="AG227">
        <f>Profile!T255*E$40</f>
        <v>0</v>
      </c>
      <c t="str" s="348" r="AH227">
        <f>IF((AK$15=TRUE),IF(ISNUMBER(Profile!Y255),IF(ISNUMBER(Profile!Y256),(((X227+((F$63/2)*COS(RADIANS(Profile!Y256))))+(X227+((F$63/2)*COS(RADIANS(Profile!Y255)))))/2),(X227+((F$63/2)*COS(RADIANS(Profile!Y255))))),AH226),0)</f>
        <v>#VALUE!:notNumber:For input string: "---"</v>
      </c>
      <c t="str" s="348" r="AI227">
        <f>IF((AK$15=TRUE),IF(ISNUMBER(Profile!Y255),IF(ISNUMBER(Profile!Y256),(((Y227-((F$63/2)*SIN(RADIANS(Profile!Y256))))+(Y227-((F$63/2)*SIN(RADIANS(Profile!Y255)))))/2),(Y227-((F$63/2)*SIN(RADIANS(Profile!Y255))))),AI226),0)</f>
        <v>#VALUE!:notNumber:For input string: "---"</v>
      </c>
      <c t="str" s="348" r="AJ227">
        <f>IF((AK$15=TRUE),IF(ISNUMBER(Profile!Y255),IF(ISNUMBER(Profile!Y256),(((X227-((F$63/2)*COS(RADIANS(Profile!Y256))))+(X227-((F$63/2)*COS(RADIANS(Profile!Y255)))))/2),(X227-((F$63/2)*COS(RADIANS(Profile!Y255))))),AJ226),0)</f>
        <v>#VALUE!:notNumber:For input string: "---"</v>
      </c>
      <c t="str" s="799" r="AK227">
        <f>IF((AK$15=TRUE),IF(ISNUMBER(Profile!Y255),IF(ISNUMBER(Profile!Y256),(((Y227+((F$63/2)*SIN(RADIANS(Profile!Y256))))+(Y227+((F$63/2)*SIN(RADIANS(Profile!Y255)))))/2),(Y227+((F$63/2)*SIN(RADIANS(Profile!Y255))))),AK226),0)</f>
        <v>#VALUE!:notNumber:For input string: "---"</v>
      </c>
      <c s="51" r="AL227"/>
      <c s="125" r="AM227"/>
    </row>
    <row r="228">
      <c s="125" r="A228"/>
      <c s="125" r="B228"/>
      <c s="125" r="C228"/>
      <c s="125" r="D228"/>
      <c s="125" r="E228"/>
      <c s="125" r="F228"/>
      <c s="125" r="G228"/>
      <c s="125" r="H228"/>
      <c s="125" r="I228"/>
      <c s="125" r="J228"/>
      <c s="125" r="K228"/>
      <c s="125" r="L228"/>
      <c s="125" r="M228"/>
      <c s="125" r="N228"/>
      <c s="125" r="O228"/>
      <c s="125" r="P228"/>
      <c s="125" r="Q228"/>
      <c s="125" r="R228"/>
      <c s="125" r="S228"/>
      <c s="822" r="T228"/>
      <c t="str" s="309" r="U228">
        <f>IF((Profile!L256&gt;0),Profile!L256,"")</f>
        <v/>
      </c>
      <c t="str" s="861" r="V228">
        <f>IF((Profile!O256&gt;0),Profile!O256,"---")</f>
        <v>---</v>
      </c>
      <c t="str" s="861" r="W228">
        <f>IF((Profile!Y256=0),IF((Profile!Y255=0),"---",IF((Profile!Y257=0),"---",Profile!Y256)),Profile!Y256)</f>
        <v>---</v>
      </c>
      <c s="239" r="X228">
        <f>AB228+X227</f>
        <v>0</v>
      </c>
      <c s="796" r="Y228">
        <f>AC228+Y227</f>
        <v>0</v>
      </c>
      <c s="702" r="Z228"/>
      <c s="289" r="AA228">
        <f>IF(Profile!Y256,IF((Profile!O256=0),0,(Profile!O256-MAX(Profile!O$44:O255))),0)</f>
        <v>0</v>
      </c>
      <c s="605" r="AB228">
        <f>SIN(RADIANS(Profile!Y256))*AA228</f>
        <v>0</v>
      </c>
      <c s="605" r="AC228">
        <f>COS(RADIANS(Profile!Y256))*AA228</f>
        <v>0</v>
      </c>
      <c s="348" r="AD228">
        <f>IF((AJ$15=TRUE),X228,NA())</f>
        <v>0</v>
      </c>
      <c s="348" r="AE228">
        <f>IF((AJ$15=TRUE),Y228,NA())</f>
        <v>0</v>
      </c>
      <c t="str" s="348" r="AF228">
        <f>IF(Profile!L256,Y228,NA())</f>
        <v>#N/A:explicit</v>
      </c>
      <c s="348" r="AG228">
        <f>Profile!T256*E$40</f>
        <v>0</v>
      </c>
      <c t="str" s="348" r="AH228">
        <f>IF((AK$15=TRUE),IF(ISNUMBER(Profile!Y256),IF(ISNUMBER(Profile!Y257),(((X228+((F$63/2)*COS(RADIANS(Profile!Y257))))+(X228+((F$63/2)*COS(RADIANS(Profile!Y256)))))/2),(X228+((F$63/2)*COS(RADIANS(Profile!Y256))))),AH227),0)</f>
        <v>#VALUE!:notNumber:For input string: "---"</v>
      </c>
      <c t="str" s="348" r="AI228">
        <f>IF((AK$15=TRUE),IF(ISNUMBER(Profile!Y256),IF(ISNUMBER(Profile!Y257),(((Y228-((F$63/2)*SIN(RADIANS(Profile!Y257))))+(Y228-((F$63/2)*SIN(RADIANS(Profile!Y256)))))/2),(Y228-((F$63/2)*SIN(RADIANS(Profile!Y256))))),AI227),0)</f>
        <v>#VALUE!:notNumber:For input string: "---"</v>
      </c>
      <c t="str" s="348" r="AJ228">
        <f>IF((AK$15=TRUE),IF(ISNUMBER(Profile!Y256),IF(ISNUMBER(Profile!Y257),(((X228-((F$63/2)*COS(RADIANS(Profile!Y257))))+(X228-((F$63/2)*COS(RADIANS(Profile!Y256)))))/2),(X228-((F$63/2)*COS(RADIANS(Profile!Y256))))),AJ227),0)</f>
        <v>#VALUE!:notNumber:For input string: "---"</v>
      </c>
      <c t="str" s="799" r="AK228">
        <f>IF((AK$15=TRUE),IF(ISNUMBER(Profile!Y256),IF(ISNUMBER(Profile!Y257),(((Y228+((F$63/2)*SIN(RADIANS(Profile!Y257))))+(Y228+((F$63/2)*SIN(RADIANS(Profile!Y256)))))/2),(Y228+((F$63/2)*SIN(RADIANS(Profile!Y256))))),AK227),0)</f>
        <v>#VALUE!:notNumber:For input string: "---"</v>
      </c>
      <c s="51" r="AL228"/>
      <c s="125" r="AM228"/>
    </row>
    <row r="229">
      <c s="125" r="A229"/>
      <c s="125" r="B229"/>
      <c s="125" r="C229"/>
      <c s="125" r="D229"/>
      <c s="125" r="E229"/>
      <c s="125" r="F229"/>
      <c s="125" r="G229"/>
      <c s="125" r="H229"/>
      <c s="125" r="I229"/>
      <c s="125" r="J229"/>
      <c s="125" r="K229"/>
      <c s="125" r="L229"/>
      <c s="125" r="M229"/>
      <c s="125" r="N229"/>
      <c s="125" r="O229"/>
      <c s="125" r="P229"/>
      <c s="125" r="Q229"/>
      <c s="125" r="R229"/>
      <c s="125" r="S229"/>
      <c s="822" r="T229"/>
      <c t="str" s="309" r="U229">
        <f>IF((Profile!L257&gt;0),Profile!L257,"")</f>
        <v/>
      </c>
      <c t="str" s="861" r="V229">
        <f>IF((Profile!O257&gt;0),Profile!O257,"---")</f>
        <v>---</v>
      </c>
      <c t="str" s="861" r="W229">
        <f>IF((Profile!Y257=0),IF((Profile!Y256=0),"---",IF((Profile!Y258=0),"---",Profile!Y257)),Profile!Y257)</f>
        <v>---</v>
      </c>
      <c s="239" r="X229">
        <f>AB229+X228</f>
        <v>0</v>
      </c>
      <c s="796" r="Y229">
        <f>AC229+Y228</f>
        <v>0</v>
      </c>
      <c s="702" r="Z229"/>
      <c s="289" r="AA229">
        <f>IF(Profile!Y257,IF((Profile!O257=0),0,(Profile!O257-MAX(Profile!O$44:O256))),0)</f>
        <v>0</v>
      </c>
      <c s="605" r="AB229">
        <f>SIN(RADIANS(Profile!Y257))*AA229</f>
        <v>0</v>
      </c>
      <c s="605" r="AC229">
        <f>COS(RADIANS(Profile!Y257))*AA229</f>
        <v>0</v>
      </c>
      <c s="348" r="AD229">
        <f>IF((AJ$15=TRUE),X229,NA())</f>
        <v>0</v>
      </c>
      <c s="348" r="AE229">
        <f>IF((AJ$15=TRUE),Y229,NA())</f>
        <v>0</v>
      </c>
      <c t="str" s="348" r="AF229">
        <f>IF(Profile!L257,Y229,NA())</f>
        <v>#N/A:explicit</v>
      </c>
      <c s="348" r="AG229">
        <f>Profile!T257*E$40</f>
        <v>0</v>
      </c>
      <c t="str" s="348" r="AH229">
        <f>IF((AK$15=TRUE),IF(ISNUMBER(Profile!Y257),IF(ISNUMBER(Profile!Y258),(((X229+((F$63/2)*COS(RADIANS(Profile!Y258))))+(X229+((F$63/2)*COS(RADIANS(Profile!Y257)))))/2),(X229+((F$63/2)*COS(RADIANS(Profile!Y257))))),AH228),0)</f>
        <v>#VALUE!:notNumber:For input string: "---"</v>
      </c>
      <c t="str" s="348" r="AI229">
        <f>IF((AK$15=TRUE),IF(ISNUMBER(Profile!Y257),IF(ISNUMBER(Profile!Y258),(((Y229-((F$63/2)*SIN(RADIANS(Profile!Y258))))+(Y229-((F$63/2)*SIN(RADIANS(Profile!Y257)))))/2),(Y229-((F$63/2)*SIN(RADIANS(Profile!Y257))))),AI228),0)</f>
        <v>#VALUE!:notNumber:For input string: "---"</v>
      </c>
      <c t="str" s="348" r="AJ229">
        <f>IF((AK$15=TRUE),IF(ISNUMBER(Profile!Y257),IF(ISNUMBER(Profile!Y258),(((X229-((F$63/2)*COS(RADIANS(Profile!Y258))))+(X229-((F$63/2)*COS(RADIANS(Profile!Y257)))))/2),(X229-((F$63/2)*COS(RADIANS(Profile!Y257))))),AJ228),0)</f>
        <v>#VALUE!:notNumber:For input string: "---"</v>
      </c>
      <c t="str" s="799" r="AK229">
        <f>IF((AK$15=TRUE),IF(ISNUMBER(Profile!Y257),IF(ISNUMBER(Profile!Y258),(((Y229+((F$63/2)*SIN(RADIANS(Profile!Y258))))+(Y229+((F$63/2)*SIN(RADIANS(Profile!Y257)))))/2),(Y229+((F$63/2)*SIN(RADIANS(Profile!Y257))))),AK228),0)</f>
        <v>#VALUE!:notNumber:For input string: "---"</v>
      </c>
      <c s="51" r="AL229"/>
      <c s="125" r="AM229"/>
    </row>
    <row r="230">
      <c s="125" r="A230"/>
      <c s="125" r="B230"/>
      <c s="125" r="C230"/>
      <c s="125" r="D230"/>
      <c s="125" r="E230"/>
      <c s="125" r="F230"/>
      <c s="125" r="G230"/>
      <c s="125" r="H230"/>
      <c s="125" r="I230"/>
      <c s="125" r="J230"/>
      <c s="125" r="K230"/>
      <c s="125" r="L230"/>
      <c s="125" r="M230"/>
      <c s="125" r="N230"/>
      <c s="125" r="O230"/>
      <c s="125" r="P230"/>
      <c s="125" r="Q230"/>
      <c s="125" r="R230"/>
      <c s="125" r="S230"/>
      <c s="822" r="T230"/>
      <c t="str" s="309" r="U230">
        <f>IF((Profile!L258&gt;0),Profile!L258,"")</f>
        <v/>
      </c>
      <c t="str" s="861" r="V230">
        <f>IF((Profile!O258&gt;0),Profile!O258,"---")</f>
        <v>---</v>
      </c>
      <c t="str" s="861" r="W230">
        <f>IF((Profile!Y258=0),IF((Profile!Y257=0),"---",IF((Profile!Y259=0),"---",Profile!Y258)),Profile!Y258)</f>
        <v>---</v>
      </c>
      <c s="239" r="X230">
        <f>AB230+X229</f>
        <v>0</v>
      </c>
      <c s="796" r="Y230">
        <f>AC230+Y229</f>
        <v>0</v>
      </c>
      <c s="702" r="Z230"/>
      <c s="289" r="AA230">
        <f>IF(Profile!Y258,IF((Profile!O258=0),0,(Profile!O258-MAX(Profile!O$44:O257))),0)</f>
        <v>0</v>
      </c>
      <c s="605" r="AB230">
        <f>SIN(RADIANS(Profile!Y258))*AA230</f>
        <v>0</v>
      </c>
      <c s="605" r="AC230">
        <f>COS(RADIANS(Profile!Y258))*AA230</f>
        <v>0</v>
      </c>
      <c s="348" r="AD230">
        <f>IF((AJ$15=TRUE),X230,NA())</f>
        <v>0</v>
      </c>
      <c s="348" r="AE230">
        <f>IF((AJ$15=TRUE),Y230,NA())</f>
        <v>0</v>
      </c>
      <c t="str" s="348" r="AF230">
        <f>IF(Profile!L258,Y230,NA())</f>
        <v>#N/A:explicit</v>
      </c>
      <c s="348" r="AG230">
        <f>Profile!T258*E$40</f>
        <v>0</v>
      </c>
      <c t="str" s="348" r="AH230">
        <f>IF((AK$15=TRUE),IF(ISNUMBER(Profile!Y258),IF(ISNUMBER(Profile!Y259),(((X230+((F$63/2)*COS(RADIANS(Profile!Y259))))+(X230+((F$63/2)*COS(RADIANS(Profile!Y258)))))/2),(X230+((F$63/2)*COS(RADIANS(Profile!Y258))))),AH229),0)</f>
        <v>#VALUE!:notNumber:For input string: "---"</v>
      </c>
      <c t="str" s="348" r="AI230">
        <f>IF((AK$15=TRUE),IF(ISNUMBER(Profile!Y258),IF(ISNUMBER(Profile!Y259),(((Y230-((F$63/2)*SIN(RADIANS(Profile!Y259))))+(Y230-((F$63/2)*SIN(RADIANS(Profile!Y258)))))/2),(Y230-((F$63/2)*SIN(RADIANS(Profile!Y258))))),AI229),0)</f>
        <v>#VALUE!:notNumber:For input string: "---"</v>
      </c>
      <c t="str" s="348" r="AJ230">
        <f>IF((AK$15=TRUE),IF(ISNUMBER(Profile!Y258),IF(ISNUMBER(Profile!Y259),(((X230-((F$63/2)*COS(RADIANS(Profile!Y259))))+(X230-((F$63/2)*COS(RADIANS(Profile!Y258)))))/2),(X230-((F$63/2)*COS(RADIANS(Profile!Y258))))),AJ229),0)</f>
        <v>#VALUE!:notNumber:For input string: "---"</v>
      </c>
      <c t="str" s="799" r="AK230">
        <f>IF((AK$15=TRUE),IF(ISNUMBER(Profile!Y258),IF(ISNUMBER(Profile!Y259),(((Y230+((F$63/2)*SIN(RADIANS(Profile!Y259))))+(Y230+((F$63/2)*SIN(RADIANS(Profile!Y258)))))/2),(Y230+((F$63/2)*SIN(RADIANS(Profile!Y258))))),AK229),0)</f>
        <v>#VALUE!:notNumber:For input string: "---"</v>
      </c>
      <c s="51" r="AL230"/>
      <c s="125" r="AM230"/>
    </row>
    <row r="231">
      <c s="125" r="A231"/>
      <c s="125" r="B231"/>
      <c s="125" r="C231"/>
      <c s="125" r="D231"/>
      <c s="125" r="E231"/>
      <c s="125" r="F231"/>
      <c s="125" r="G231"/>
      <c s="125" r="H231"/>
      <c s="125" r="I231"/>
      <c s="125" r="J231"/>
      <c s="125" r="K231"/>
      <c s="125" r="L231"/>
      <c s="125" r="M231"/>
      <c s="125" r="N231"/>
      <c s="125" r="O231"/>
      <c s="125" r="P231"/>
      <c s="125" r="Q231"/>
      <c s="125" r="R231"/>
      <c s="125" r="S231"/>
      <c s="822" r="T231"/>
      <c t="str" s="309" r="U231">
        <f>IF((Profile!L259&gt;0),Profile!L259,"")</f>
        <v/>
      </c>
      <c t="str" s="861" r="V231">
        <f>IF((Profile!O259&gt;0),Profile!O259,"---")</f>
        <v>---</v>
      </c>
      <c t="str" s="861" r="W231">
        <f>IF((Profile!Y259=0),IF((Profile!Y258=0),"---",IF((Profile!Y260=0),"---",Profile!Y259)),Profile!Y259)</f>
        <v>---</v>
      </c>
      <c s="239" r="X231">
        <f>AB231+X230</f>
        <v>0</v>
      </c>
      <c s="796" r="Y231">
        <f>AC231+Y230</f>
        <v>0</v>
      </c>
      <c s="702" r="Z231"/>
      <c s="289" r="AA231">
        <f>IF(Profile!Y259,IF((Profile!O259=0),0,(Profile!O259-MAX(Profile!O$44:O258))),0)</f>
        <v>0</v>
      </c>
      <c s="605" r="AB231">
        <f>SIN(RADIANS(Profile!Y259))*AA231</f>
        <v>0</v>
      </c>
      <c s="605" r="AC231">
        <f>COS(RADIANS(Profile!Y259))*AA231</f>
        <v>0</v>
      </c>
      <c s="348" r="AD231">
        <f>IF((AJ$15=TRUE),X231,NA())</f>
        <v>0</v>
      </c>
      <c s="348" r="AE231">
        <f>IF((AJ$15=TRUE),Y231,NA())</f>
        <v>0</v>
      </c>
      <c t="str" s="348" r="AF231">
        <f>IF(Profile!L259,Y231,NA())</f>
        <v>#N/A:explicit</v>
      </c>
      <c s="348" r="AG231">
        <f>Profile!T259*E$40</f>
        <v>0</v>
      </c>
      <c t="str" s="348" r="AH231">
        <f>IF((AK$15=TRUE),IF(ISNUMBER(Profile!Y259),IF(ISNUMBER(Profile!Y260),(((X231+((F$63/2)*COS(RADIANS(Profile!Y260))))+(X231+((F$63/2)*COS(RADIANS(Profile!Y259)))))/2),(X231+((F$63/2)*COS(RADIANS(Profile!Y259))))),AH230),0)</f>
        <v>#VALUE!:notNumber:For input string: "---"</v>
      </c>
      <c t="str" s="348" r="AI231">
        <f>IF((AK$15=TRUE),IF(ISNUMBER(Profile!Y259),IF(ISNUMBER(Profile!Y260),(((Y231-((F$63/2)*SIN(RADIANS(Profile!Y260))))+(Y231-((F$63/2)*SIN(RADIANS(Profile!Y259)))))/2),(Y231-((F$63/2)*SIN(RADIANS(Profile!Y259))))),AI230),0)</f>
        <v>#VALUE!:notNumber:For input string: "---"</v>
      </c>
      <c t="str" s="348" r="AJ231">
        <f>IF((AK$15=TRUE),IF(ISNUMBER(Profile!Y259),IF(ISNUMBER(Profile!Y260),(((X231-((F$63/2)*COS(RADIANS(Profile!Y260))))+(X231-((F$63/2)*COS(RADIANS(Profile!Y259)))))/2),(X231-((F$63/2)*COS(RADIANS(Profile!Y259))))),AJ230),0)</f>
        <v>#VALUE!:notNumber:For input string: "---"</v>
      </c>
      <c t="str" s="799" r="AK231">
        <f>IF((AK$15=TRUE),IF(ISNUMBER(Profile!Y259),IF(ISNUMBER(Profile!Y260),(((Y231+((F$63/2)*SIN(RADIANS(Profile!Y260))))+(Y231+((F$63/2)*SIN(RADIANS(Profile!Y259)))))/2),(Y231+((F$63/2)*SIN(RADIANS(Profile!Y259))))),AK230),0)</f>
        <v>#VALUE!:notNumber:For input string: "---"</v>
      </c>
      <c s="51" r="AL231"/>
      <c s="125" r="AM231"/>
    </row>
    <row r="232">
      <c s="125" r="A232"/>
      <c s="125" r="B232"/>
      <c s="125" r="C232"/>
      <c s="125" r="D232"/>
      <c s="125" r="E232"/>
      <c s="125" r="F232"/>
      <c s="125" r="G232"/>
      <c s="125" r="H232"/>
      <c s="125" r="I232"/>
      <c s="125" r="J232"/>
      <c s="125" r="K232"/>
      <c s="125" r="L232"/>
      <c s="125" r="M232"/>
      <c s="125" r="N232"/>
      <c s="125" r="O232"/>
      <c s="125" r="P232"/>
      <c s="125" r="Q232"/>
      <c s="125" r="R232"/>
      <c s="125" r="S232"/>
      <c s="822" r="T232"/>
      <c t="str" s="309" r="U232">
        <f>IF((Profile!L260&gt;0),Profile!L260,"")</f>
        <v/>
      </c>
      <c t="str" s="861" r="V232">
        <f>IF((Profile!O260&gt;0),Profile!O260,"---")</f>
        <v>---</v>
      </c>
      <c t="str" s="861" r="W232">
        <f>IF((Profile!Y260=0),IF((Profile!Y259=0),"---",IF((Profile!Y261=0),"---",Profile!Y260)),Profile!Y260)</f>
        <v>---</v>
      </c>
      <c s="239" r="X232">
        <f>AB232+X231</f>
        <v>0</v>
      </c>
      <c s="796" r="Y232">
        <f>AC232+Y231</f>
        <v>0</v>
      </c>
      <c s="702" r="Z232"/>
      <c s="289" r="AA232">
        <f>IF(Profile!Y260,IF((Profile!O260=0),0,(Profile!O260-MAX(Profile!O$44:O259))),0)</f>
        <v>0</v>
      </c>
      <c s="605" r="AB232">
        <f>SIN(RADIANS(Profile!Y260))*AA232</f>
        <v>0</v>
      </c>
      <c s="605" r="AC232">
        <f>COS(RADIANS(Profile!Y260))*AA232</f>
        <v>0</v>
      </c>
      <c s="348" r="AD232">
        <f>IF((AJ$15=TRUE),X232,NA())</f>
        <v>0</v>
      </c>
      <c s="348" r="AE232">
        <f>IF((AJ$15=TRUE),Y232,NA())</f>
        <v>0</v>
      </c>
      <c t="str" s="348" r="AF232">
        <f>IF(Profile!L260,Y232,NA())</f>
        <v>#N/A:explicit</v>
      </c>
      <c s="348" r="AG232">
        <f>Profile!T260*E$40</f>
        <v>0</v>
      </c>
      <c t="str" s="348" r="AH232">
        <f>IF((AK$15=TRUE),IF(ISNUMBER(Profile!Y260),IF(ISNUMBER(Profile!Y261),(((X232+((F$63/2)*COS(RADIANS(Profile!Y261))))+(X232+((F$63/2)*COS(RADIANS(Profile!Y260)))))/2),(X232+((F$63/2)*COS(RADIANS(Profile!Y260))))),AH231),0)</f>
        <v>#VALUE!:notNumber:For input string: "---"</v>
      </c>
      <c t="str" s="348" r="AI232">
        <f>IF((AK$15=TRUE),IF(ISNUMBER(Profile!Y260),IF(ISNUMBER(Profile!Y261),(((Y232-((F$63/2)*SIN(RADIANS(Profile!Y261))))+(Y232-((F$63/2)*SIN(RADIANS(Profile!Y260)))))/2),(Y232-((F$63/2)*SIN(RADIANS(Profile!Y260))))),AI231),0)</f>
        <v>#VALUE!:notNumber:For input string: "---"</v>
      </c>
      <c t="str" s="348" r="AJ232">
        <f>IF((AK$15=TRUE),IF(ISNUMBER(Profile!Y260),IF(ISNUMBER(Profile!Y261),(((X232-((F$63/2)*COS(RADIANS(Profile!Y261))))+(X232-((F$63/2)*COS(RADIANS(Profile!Y260)))))/2),(X232-((F$63/2)*COS(RADIANS(Profile!Y260))))),AJ231),0)</f>
        <v>#VALUE!:notNumber:For input string: "---"</v>
      </c>
      <c t="str" s="799" r="AK232">
        <f>IF((AK$15=TRUE),IF(ISNUMBER(Profile!Y260),IF(ISNUMBER(Profile!Y261),(((Y232+((F$63/2)*SIN(RADIANS(Profile!Y261))))+(Y232+((F$63/2)*SIN(RADIANS(Profile!Y260)))))/2),(Y232+((F$63/2)*SIN(RADIANS(Profile!Y260))))),AK231),0)</f>
        <v>#VALUE!:notNumber:For input string: "---"</v>
      </c>
      <c s="51" r="AL232"/>
      <c s="125" r="AM232"/>
    </row>
    <row r="233">
      <c s="125" r="A233"/>
      <c s="125" r="B233"/>
      <c s="125" r="C233"/>
      <c s="125" r="D233"/>
      <c s="125" r="E233"/>
      <c s="125" r="F233"/>
      <c s="125" r="G233"/>
      <c s="125" r="H233"/>
      <c s="125" r="I233"/>
      <c s="125" r="J233"/>
      <c s="125" r="K233"/>
      <c s="125" r="L233"/>
      <c s="125" r="M233"/>
      <c s="125" r="N233"/>
      <c s="125" r="O233"/>
      <c s="125" r="P233"/>
      <c s="125" r="Q233"/>
      <c s="125" r="R233"/>
      <c s="125" r="S233"/>
      <c s="822" r="T233"/>
      <c t="str" s="309" r="U233">
        <f>IF((Profile!L261&gt;0),Profile!L261,"")</f>
        <v/>
      </c>
      <c t="str" s="861" r="V233">
        <f>IF((Profile!O261&gt;0),Profile!O261,"---")</f>
        <v>---</v>
      </c>
      <c t="str" s="861" r="W233">
        <f>IF((Profile!Y261=0),IF((Profile!Y260=0),"---",IF((Profile!Y262=0),"---",Profile!Y261)),Profile!Y261)</f>
        <v>---</v>
      </c>
      <c s="239" r="X233">
        <f>AB233+X232</f>
        <v>0</v>
      </c>
      <c s="796" r="Y233">
        <f>AC233+Y232</f>
        <v>0</v>
      </c>
      <c s="702" r="Z233"/>
      <c s="289" r="AA233">
        <f>IF(Profile!Y261,IF((Profile!O261=0),0,(Profile!O261-MAX(Profile!O$44:O260))),0)</f>
        <v>0</v>
      </c>
      <c s="605" r="AB233">
        <f>SIN(RADIANS(Profile!Y261))*AA233</f>
        <v>0</v>
      </c>
      <c s="605" r="AC233">
        <f>COS(RADIANS(Profile!Y261))*AA233</f>
        <v>0</v>
      </c>
      <c s="348" r="AD233">
        <f>IF((AJ$15=TRUE),X233,NA())</f>
        <v>0</v>
      </c>
      <c s="348" r="AE233">
        <f>IF((AJ$15=TRUE),Y233,NA())</f>
        <v>0</v>
      </c>
      <c t="str" s="348" r="AF233">
        <f>IF(Profile!L261,Y233,NA())</f>
        <v>#N/A:explicit</v>
      </c>
      <c s="348" r="AG233">
        <f>Profile!T261*E$40</f>
        <v>0</v>
      </c>
      <c t="str" s="348" r="AH233">
        <f>IF((AK$15=TRUE),IF(ISNUMBER(Profile!Y261),IF(ISNUMBER(Profile!Y262),(((X233+((F$63/2)*COS(RADIANS(Profile!Y262))))+(X233+((F$63/2)*COS(RADIANS(Profile!Y261)))))/2),(X233+((F$63/2)*COS(RADIANS(Profile!Y261))))),AH232),0)</f>
        <v>#VALUE!:notNumber:For input string: "---"</v>
      </c>
      <c t="str" s="348" r="AI233">
        <f>IF((AK$15=TRUE),IF(ISNUMBER(Profile!Y261),IF(ISNUMBER(Profile!Y262),(((Y233-((F$63/2)*SIN(RADIANS(Profile!Y262))))+(Y233-((F$63/2)*SIN(RADIANS(Profile!Y261)))))/2),(Y233-((F$63/2)*SIN(RADIANS(Profile!Y261))))),AI232),0)</f>
        <v>#VALUE!:notNumber:For input string: "---"</v>
      </c>
      <c t="str" s="348" r="AJ233">
        <f>IF((AK$15=TRUE),IF(ISNUMBER(Profile!Y261),IF(ISNUMBER(Profile!Y262),(((X233-((F$63/2)*COS(RADIANS(Profile!Y262))))+(X233-((F$63/2)*COS(RADIANS(Profile!Y261)))))/2),(X233-((F$63/2)*COS(RADIANS(Profile!Y261))))),AJ232),0)</f>
        <v>#VALUE!:notNumber:For input string: "---"</v>
      </c>
      <c t="str" s="799" r="AK233">
        <f>IF((AK$15=TRUE),IF(ISNUMBER(Profile!Y261),IF(ISNUMBER(Profile!Y262),(((Y233+((F$63/2)*SIN(RADIANS(Profile!Y262))))+(Y233+((F$63/2)*SIN(RADIANS(Profile!Y261)))))/2),(Y233+((F$63/2)*SIN(RADIANS(Profile!Y261))))),AK232),0)</f>
        <v>#VALUE!:notNumber:For input string: "---"</v>
      </c>
      <c s="51" r="AL233"/>
      <c s="125" r="AM233"/>
    </row>
    <row r="234">
      <c s="125" r="A234"/>
      <c s="125" r="B234"/>
      <c s="125" r="C234"/>
      <c s="125" r="D234"/>
      <c s="125" r="E234"/>
      <c s="125" r="F234"/>
      <c s="125" r="G234"/>
      <c s="125" r="H234"/>
      <c s="125" r="I234"/>
      <c s="125" r="J234"/>
      <c s="125" r="K234"/>
      <c s="125" r="L234"/>
      <c s="125" r="M234"/>
      <c s="125" r="N234"/>
      <c s="125" r="O234"/>
      <c s="125" r="P234"/>
      <c s="125" r="Q234"/>
      <c s="125" r="R234"/>
      <c s="125" r="S234"/>
      <c s="822" r="T234"/>
      <c t="str" s="309" r="U234">
        <f>IF((Profile!L262&gt;0),Profile!L262,"")</f>
        <v/>
      </c>
      <c t="str" s="861" r="V234">
        <f>IF((Profile!O262&gt;0),Profile!O262,"---")</f>
        <v>---</v>
      </c>
      <c t="str" s="861" r="W234">
        <f>IF((Profile!Y262=0),IF((Profile!Y261=0),"---",IF((Profile!Y263=0),"---",Profile!Y262)),Profile!Y262)</f>
        <v>---</v>
      </c>
      <c s="239" r="X234">
        <f>AB234+X233</f>
        <v>0</v>
      </c>
      <c s="796" r="Y234">
        <f>AC234+Y233</f>
        <v>0</v>
      </c>
      <c s="702" r="Z234"/>
      <c s="289" r="AA234">
        <f>IF(Profile!Y262,IF((Profile!O262=0),0,(Profile!O262-MAX(Profile!O$44:O261))),0)</f>
        <v>0</v>
      </c>
      <c s="605" r="AB234">
        <f>SIN(RADIANS(Profile!Y262))*AA234</f>
        <v>0</v>
      </c>
      <c s="605" r="AC234">
        <f>COS(RADIANS(Profile!Y262))*AA234</f>
        <v>0</v>
      </c>
      <c s="348" r="AD234">
        <f>IF((AJ$15=TRUE),X234,NA())</f>
        <v>0</v>
      </c>
      <c s="348" r="AE234">
        <f>IF((AJ$15=TRUE),Y234,NA())</f>
        <v>0</v>
      </c>
      <c t="str" s="348" r="AF234">
        <f>IF(Profile!L262,Y234,NA())</f>
        <v>#N/A:explicit</v>
      </c>
      <c s="348" r="AG234">
        <f>Profile!T262*E$40</f>
        <v>0</v>
      </c>
      <c t="str" s="348" r="AH234">
        <f>IF((AK$15=TRUE),IF(ISNUMBER(Profile!Y262),IF(ISNUMBER(Profile!Y263),(((X234+((F$63/2)*COS(RADIANS(Profile!Y263))))+(X234+((F$63/2)*COS(RADIANS(Profile!Y262)))))/2),(X234+((F$63/2)*COS(RADIANS(Profile!Y262))))),AH233),0)</f>
        <v>#VALUE!:notNumber:For input string: "---"</v>
      </c>
      <c t="str" s="348" r="AI234">
        <f>IF((AK$15=TRUE),IF(ISNUMBER(Profile!Y262),IF(ISNUMBER(Profile!Y263),(((Y234-((F$63/2)*SIN(RADIANS(Profile!Y263))))+(Y234-((F$63/2)*SIN(RADIANS(Profile!Y262)))))/2),(Y234-((F$63/2)*SIN(RADIANS(Profile!Y262))))),AI233),0)</f>
        <v>#VALUE!:notNumber:For input string: "---"</v>
      </c>
      <c t="str" s="348" r="AJ234">
        <f>IF((AK$15=TRUE),IF(ISNUMBER(Profile!Y262),IF(ISNUMBER(Profile!Y263),(((X234-((F$63/2)*COS(RADIANS(Profile!Y263))))+(X234-((F$63/2)*COS(RADIANS(Profile!Y262)))))/2),(X234-((F$63/2)*COS(RADIANS(Profile!Y262))))),AJ233),0)</f>
        <v>#VALUE!:notNumber:For input string: "---"</v>
      </c>
      <c t="str" s="799" r="AK234">
        <f>IF((AK$15=TRUE),IF(ISNUMBER(Profile!Y262),IF(ISNUMBER(Profile!Y263),(((Y234+((F$63/2)*SIN(RADIANS(Profile!Y263))))+(Y234+((F$63/2)*SIN(RADIANS(Profile!Y262)))))/2),(Y234+((F$63/2)*SIN(RADIANS(Profile!Y262))))),AK233),0)</f>
        <v>#VALUE!:notNumber:For input string: "---"</v>
      </c>
      <c s="51" r="AL234"/>
      <c s="125" r="AM234"/>
    </row>
    <row r="235">
      <c s="125" r="A235"/>
      <c s="125" r="B235"/>
      <c s="125" r="C235"/>
      <c s="125" r="D235"/>
      <c s="125" r="E235"/>
      <c s="125" r="F235"/>
      <c s="125" r="G235"/>
      <c s="125" r="H235"/>
      <c s="125" r="I235"/>
      <c s="125" r="J235"/>
      <c s="125" r="K235"/>
      <c s="125" r="L235"/>
      <c s="125" r="M235"/>
      <c s="125" r="N235"/>
      <c s="125" r="O235"/>
      <c s="125" r="P235"/>
      <c s="125" r="Q235"/>
      <c s="125" r="R235"/>
      <c s="125" r="S235"/>
      <c s="822" r="T235"/>
      <c t="str" s="309" r="U235">
        <f>IF((Profile!L263&gt;0),Profile!L263,"")</f>
        <v/>
      </c>
      <c t="str" s="861" r="V235">
        <f>IF((Profile!O263&gt;0),Profile!O263,"---")</f>
        <v>---</v>
      </c>
      <c t="str" s="861" r="W235">
        <f>IF((Profile!Y263=0),IF((Profile!Y262=0),"---",IF((Profile!Y264=0),"---",Profile!Y263)),Profile!Y263)</f>
        <v>---</v>
      </c>
      <c s="239" r="X235">
        <f>AB235+X234</f>
        <v>0</v>
      </c>
      <c s="796" r="Y235">
        <f>AC235+Y234</f>
        <v>0</v>
      </c>
      <c s="702" r="Z235"/>
      <c s="289" r="AA235">
        <f>IF(Profile!Y263,IF((Profile!O263=0),0,(Profile!O263-MAX(Profile!O$44:O262))),0)</f>
        <v>0</v>
      </c>
      <c s="605" r="AB235">
        <f>SIN(RADIANS(Profile!Y263))*AA235</f>
        <v>0</v>
      </c>
      <c s="605" r="AC235">
        <f>COS(RADIANS(Profile!Y263))*AA235</f>
        <v>0</v>
      </c>
      <c s="348" r="AD235">
        <f>IF((AJ$15=TRUE),X235,NA())</f>
        <v>0</v>
      </c>
      <c s="348" r="AE235">
        <f>IF((AJ$15=TRUE),Y235,NA())</f>
        <v>0</v>
      </c>
      <c t="str" s="348" r="AF235">
        <f>IF(Profile!L263,Y235,NA())</f>
        <v>#N/A:explicit</v>
      </c>
      <c s="348" r="AG235">
        <f>Profile!T263*E$40</f>
        <v>0</v>
      </c>
      <c t="str" s="348" r="AH235">
        <f>IF((AK$15=TRUE),IF(ISNUMBER(Profile!Y263),IF(ISNUMBER(Profile!Y264),(((X235+((F$63/2)*COS(RADIANS(Profile!Y264))))+(X235+((F$63/2)*COS(RADIANS(Profile!Y263)))))/2),(X235+((F$63/2)*COS(RADIANS(Profile!Y263))))),AH234),0)</f>
        <v>#VALUE!:notNumber:For input string: "---"</v>
      </c>
      <c t="str" s="348" r="AI235">
        <f>IF((AK$15=TRUE),IF(ISNUMBER(Profile!Y263),IF(ISNUMBER(Profile!Y264),(((Y235-((F$63/2)*SIN(RADIANS(Profile!Y264))))+(Y235-((F$63/2)*SIN(RADIANS(Profile!Y263)))))/2),(Y235-((F$63/2)*SIN(RADIANS(Profile!Y263))))),AI234),0)</f>
        <v>#VALUE!:notNumber:For input string: "---"</v>
      </c>
      <c t="str" s="348" r="AJ235">
        <f>IF((AK$15=TRUE),IF(ISNUMBER(Profile!Y263),IF(ISNUMBER(Profile!Y264),(((X235-((F$63/2)*COS(RADIANS(Profile!Y264))))+(X235-((F$63/2)*COS(RADIANS(Profile!Y263)))))/2),(X235-((F$63/2)*COS(RADIANS(Profile!Y263))))),AJ234),0)</f>
        <v>#VALUE!:notNumber:For input string: "---"</v>
      </c>
      <c t="str" s="799" r="AK235">
        <f>IF((AK$15=TRUE),IF(ISNUMBER(Profile!Y263),IF(ISNUMBER(Profile!Y264),(((Y235+((F$63/2)*SIN(RADIANS(Profile!Y264))))+(Y235+((F$63/2)*SIN(RADIANS(Profile!Y263)))))/2),(Y235+((F$63/2)*SIN(RADIANS(Profile!Y263))))),AK234),0)</f>
        <v>#VALUE!:notNumber:For input string: "---"</v>
      </c>
      <c s="51" r="AL235"/>
      <c s="125" r="AM235"/>
    </row>
    <row r="236">
      <c s="125" r="A236"/>
      <c s="125" r="B236"/>
      <c s="125" r="C236"/>
      <c s="125" r="D236"/>
      <c s="125" r="E236"/>
      <c s="125" r="F236"/>
      <c s="125" r="G236"/>
      <c s="125" r="H236"/>
      <c s="125" r="I236"/>
      <c s="125" r="J236"/>
      <c s="125" r="K236"/>
      <c s="125" r="L236"/>
      <c s="125" r="M236"/>
      <c s="125" r="N236"/>
      <c s="125" r="O236"/>
      <c s="125" r="P236"/>
      <c s="125" r="Q236"/>
      <c s="125" r="R236"/>
      <c s="125" r="S236"/>
      <c s="822" r="T236"/>
      <c t="str" s="309" r="U236">
        <f>IF((Profile!L264&gt;0),Profile!L264,"")</f>
        <v/>
      </c>
      <c t="str" s="861" r="V236">
        <f>IF((Profile!O264&gt;0),Profile!O264,"---")</f>
        <v>---</v>
      </c>
      <c t="str" s="861" r="W236">
        <f>IF((Profile!Y264=0),IF((Profile!Y263=0),"---",IF((Profile!Y265=0),"---",Profile!Y264)),Profile!Y264)</f>
        <v>---</v>
      </c>
      <c s="239" r="X236">
        <f>AB236+X235</f>
        <v>0</v>
      </c>
      <c s="796" r="Y236">
        <f>AC236+Y235</f>
        <v>0</v>
      </c>
      <c s="702" r="Z236"/>
      <c s="289" r="AA236">
        <f>IF(Profile!Y264,IF((Profile!O264=0),0,(Profile!O264-MAX(Profile!O$44:O263))),0)</f>
        <v>0</v>
      </c>
      <c s="605" r="AB236">
        <f>SIN(RADIANS(Profile!Y264))*AA236</f>
        <v>0</v>
      </c>
      <c s="605" r="AC236">
        <f>COS(RADIANS(Profile!Y264))*AA236</f>
        <v>0</v>
      </c>
      <c s="348" r="AD236">
        <f>IF((AJ$15=TRUE),X236,NA())</f>
        <v>0</v>
      </c>
      <c s="348" r="AE236">
        <f>IF((AJ$15=TRUE),Y236,NA())</f>
        <v>0</v>
      </c>
      <c t="str" s="348" r="AF236">
        <f>IF(Profile!L264,Y236,NA())</f>
        <v>#N/A:explicit</v>
      </c>
      <c s="348" r="AG236">
        <f>Profile!T264*E$40</f>
        <v>0</v>
      </c>
      <c t="str" s="348" r="AH236">
        <f>IF((AK$15=TRUE),IF(ISNUMBER(Profile!Y264),IF(ISNUMBER(Profile!Y265),(((X236+((F$63/2)*COS(RADIANS(Profile!Y265))))+(X236+((F$63/2)*COS(RADIANS(Profile!Y264)))))/2),(X236+((F$63/2)*COS(RADIANS(Profile!Y264))))),AH235),0)</f>
        <v>#VALUE!:notNumber:For input string: "---"</v>
      </c>
      <c t="str" s="348" r="AI236">
        <f>IF((AK$15=TRUE),IF(ISNUMBER(Profile!Y264),IF(ISNUMBER(Profile!Y265),(((Y236-((F$63/2)*SIN(RADIANS(Profile!Y265))))+(Y236-((F$63/2)*SIN(RADIANS(Profile!Y264)))))/2),(Y236-((F$63/2)*SIN(RADIANS(Profile!Y264))))),AI235),0)</f>
        <v>#VALUE!:notNumber:For input string: "---"</v>
      </c>
      <c t="str" s="348" r="AJ236">
        <f>IF((AK$15=TRUE),IF(ISNUMBER(Profile!Y264),IF(ISNUMBER(Profile!Y265),(((X236-((F$63/2)*COS(RADIANS(Profile!Y265))))+(X236-((F$63/2)*COS(RADIANS(Profile!Y264)))))/2),(X236-((F$63/2)*COS(RADIANS(Profile!Y264))))),AJ235),0)</f>
        <v>#VALUE!:notNumber:For input string: "---"</v>
      </c>
      <c t="str" s="799" r="AK236">
        <f>IF((AK$15=TRUE),IF(ISNUMBER(Profile!Y264),IF(ISNUMBER(Profile!Y265),(((Y236+((F$63/2)*SIN(RADIANS(Profile!Y265))))+(Y236+((F$63/2)*SIN(RADIANS(Profile!Y264)))))/2),(Y236+((F$63/2)*SIN(RADIANS(Profile!Y264))))),AK235),0)</f>
        <v>#VALUE!:notNumber:For input string: "---"</v>
      </c>
      <c s="51" r="AL236"/>
      <c s="125" r="AM236"/>
    </row>
    <row r="237">
      <c s="125" r="A237"/>
      <c s="125" r="B237"/>
      <c s="125" r="C237"/>
      <c s="125" r="D237"/>
      <c s="125" r="E237"/>
      <c s="125" r="F237"/>
      <c s="125" r="G237"/>
      <c s="125" r="H237"/>
      <c s="125" r="I237"/>
      <c s="125" r="J237"/>
      <c s="125" r="K237"/>
      <c s="125" r="L237"/>
      <c s="125" r="M237"/>
      <c s="125" r="N237"/>
      <c s="125" r="O237"/>
      <c s="125" r="P237"/>
      <c s="125" r="Q237"/>
      <c s="125" r="R237"/>
      <c s="125" r="S237"/>
      <c s="822" r="T237"/>
      <c t="str" s="309" r="U237">
        <f>IF((Profile!L265&gt;0),Profile!L265,"")</f>
        <v/>
      </c>
      <c t="str" s="861" r="V237">
        <f>IF((Profile!O265&gt;0),Profile!O265,"---")</f>
        <v>---</v>
      </c>
      <c t="str" s="861" r="W237">
        <f>IF((Profile!Y265=0),IF((Profile!Y264=0),"---",IF((Profile!Y266=0),"---",Profile!Y265)),Profile!Y265)</f>
        <v>---</v>
      </c>
      <c s="239" r="X237">
        <f>AB237+X236</f>
        <v>0</v>
      </c>
      <c s="796" r="Y237">
        <f>AC237+Y236</f>
        <v>0</v>
      </c>
      <c s="702" r="Z237"/>
      <c s="289" r="AA237">
        <f>IF(Profile!Y265,IF((Profile!O265=0),0,(Profile!O265-MAX(Profile!O$44:O264))),0)</f>
        <v>0</v>
      </c>
      <c s="605" r="AB237">
        <f>SIN(RADIANS(Profile!Y265))*AA237</f>
        <v>0</v>
      </c>
      <c s="605" r="AC237">
        <f>COS(RADIANS(Profile!Y265))*AA237</f>
        <v>0</v>
      </c>
      <c s="348" r="AD237">
        <f>IF((AJ$15=TRUE),X237,NA())</f>
        <v>0</v>
      </c>
      <c s="348" r="AE237">
        <f>IF((AJ$15=TRUE),Y237,NA())</f>
        <v>0</v>
      </c>
      <c t="str" s="348" r="AF237">
        <f>IF(Profile!L265,Y237,NA())</f>
        <v>#N/A:explicit</v>
      </c>
      <c s="348" r="AG237">
        <f>Profile!T265*E$40</f>
        <v>0</v>
      </c>
      <c t="str" s="348" r="AH237">
        <f>IF((AK$15=TRUE),IF(ISNUMBER(Profile!Y265),IF(ISNUMBER(Profile!Y266),(((X237+((F$63/2)*COS(RADIANS(Profile!Y266))))+(X237+((F$63/2)*COS(RADIANS(Profile!Y265)))))/2),(X237+((F$63/2)*COS(RADIANS(Profile!Y265))))),AH236),0)</f>
        <v>#VALUE!:notNumber:For input string: "---"</v>
      </c>
      <c t="str" s="348" r="AI237">
        <f>IF((AK$15=TRUE),IF(ISNUMBER(Profile!Y265),IF(ISNUMBER(Profile!Y266),(((Y237-((F$63/2)*SIN(RADIANS(Profile!Y266))))+(Y237-((F$63/2)*SIN(RADIANS(Profile!Y265)))))/2),(Y237-((F$63/2)*SIN(RADIANS(Profile!Y265))))),AI236),0)</f>
        <v>#VALUE!:notNumber:For input string: "---"</v>
      </c>
      <c t="str" s="348" r="AJ237">
        <f>IF((AK$15=TRUE),IF(ISNUMBER(Profile!Y265),IF(ISNUMBER(Profile!Y266),(((X237-((F$63/2)*COS(RADIANS(Profile!Y266))))+(X237-((F$63/2)*COS(RADIANS(Profile!Y265)))))/2),(X237-((F$63/2)*COS(RADIANS(Profile!Y265))))),AJ236),0)</f>
        <v>#VALUE!:notNumber:For input string: "---"</v>
      </c>
      <c t="str" s="799" r="AK237">
        <f>IF((AK$15=TRUE),IF(ISNUMBER(Profile!Y265),IF(ISNUMBER(Profile!Y266),(((Y237+((F$63/2)*SIN(RADIANS(Profile!Y266))))+(Y237+((F$63/2)*SIN(RADIANS(Profile!Y265)))))/2),(Y237+((F$63/2)*SIN(RADIANS(Profile!Y265))))),AK236),0)</f>
        <v>#VALUE!:notNumber:For input string: "---"</v>
      </c>
      <c s="51" r="AL237"/>
      <c s="125" r="AM237"/>
    </row>
    <row r="238">
      <c s="125" r="A238"/>
      <c s="125" r="B238"/>
      <c s="125" r="C238"/>
      <c s="125" r="D238"/>
      <c s="125" r="E238"/>
      <c s="125" r="F238"/>
      <c s="125" r="G238"/>
      <c s="125" r="H238"/>
      <c s="125" r="I238"/>
      <c s="125" r="J238"/>
      <c s="125" r="K238"/>
      <c s="125" r="L238"/>
      <c s="125" r="M238"/>
      <c s="125" r="N238"/>
      <c s="125" r="O238"/>
      <c s="125" r="P238"/>
      <c s="125" r="Q238"/>
      <c s="125" r="R238"/>
      <c s="125" r="S238"/>
      <c s="822" r="T238"/>
      <c t="str" s="309" r="U238">
        <f>IF((Profile!L266&gt;0),Profile!L266,"")</f>
        <v/>
      </c>
      <c t="str" s="861" r="V238">
        <f>IF((Profile!O266&gt;0),Profile!O266,"---")</f>
        <v>---</v>
      </c>
      <c t="str" s="861" r="W238">
        <f>IF((Profile!Y266=0),IF((Profile!Y265=0),"---",IF((Profile!Y267=0),"---",Profile!Y266)),Profile!Y266)</f>
        <v>---</v>
      </c>
      <c s="239" r="X238">
        <f>AB238+X237</f>
        <v>0</v>
      </c>
      <c s="796" r="Y238">
        <f>AC238+Y237</f>
        <v>0</v>
      </c>
      <c s="702" r="Z238"/>
      <c s="289" r="AA238">
        <f>IF(Profile!Y266,IF((Profile!O266=0),0,(Profile!O266-MAX(Profile!O$44:O265))),0)</f>
        <v>0</v>
      </c>
      <c s="605" r="AB238">
        <f>SIN(RADIANS(Profile!Y266))*AA238</f>
        <v>0</v>
      </c>
      <c s="605" r="AC238">
        <f>COS(RADIANS(Profile!Y266))*AA238</f>
        <v>0</v>
      </c>
      <c s="348" r="AD238">
        <f>IF((AJ$15=TRUE),X238,NA())</f>
        <v>0</v>
      </c>
      <c s="348" r="AE238">
        <f>IF((AJ$15=TRUE),Y238,NA())</f>
        <v>0</v>
      </c>
      <c t="str" s="348" r="AF238">
        <f>IF(Profile!L266,Y238,NA())</f>
        <v>#N/A:explicit</v>
      </c>
      <c s="348" r="AG238">
        <f>Profile!T266*E$40</f>
        <v>0</v>
      </c>
      <c t="str" s="348" r="AH238">
        <f>IF((AK$15=TRUE),IF(ISNUMBER(Profile!Y266),IF(ISNUMBER(Profile!Y267),(((X238+((F$63/2)*COS(RADIANS(Profile!Y267))))+(X238+((F$63/2)*COS(RADIANS(Profile!Y266)))))/2),(X238+((F$63/2)*COS(RADIANS(Profile!Y266))))),AH237),0)</f>
        <v>#VALUE!:notNumber:For input string: "---"</v>
      </c>
      <c t="str" s="348" r="AI238">
        <f>IF((AK$15=TRUE),IF(ISNUMBER(Profile!Y266),IF(ISNUMBER(Profile!Y267),(((Y238-((F$63/2)*SIN(RADIANS(Profile!Y267))))+(Y238-((F$63/2)*SIN(RADIANS(Profile!Y266)))))/2),(Y238-((F$63/2)*SIN(RADIANS(Profile!Y266))))),AI237),0)</f>
        <v>#VALUE!:notNumber:For input string: "---"</v>
      </c>
      <c t="str" s="348" r="AJ238">
        <f>IF((AK$15=TRUE),IF(ISNUMBER(Profile!Y266),IF(ISNUMBER(Profile!Y267),(((X238-((F$63/2)*COS(RADIANS(Profile!Y267))))+(X238-((F$63/2)*COS(RADIANS(Profile!Y266)))))/2),(X238-((F$63/2)*COS(RADIANS(Profile!Y266))))),AJ237),0)</f>
        <v>#VALUE!:notNumber:For input string: "---"</v>
      </c>
      <c t="str" s="799" r="AK238">
        <f>IF((AK$15=TRUE),IF(ISNUMBER(Profile!Y266),IF(ISNUMBER(Profile!Y267),(((Y238+((F$63/2)*SIN(RADIANS(Profile!Y267))))+(Y238+((F$63/2)*SIN(RADIANS(Profile!Y266)))))/2),(Y238+((F$63/2)*SIN(RADIANS(Profile!Y266))))),AK237),0)</f>
        <v>#VALUE!:notNumber:For input string: "---"</v>
      </c>
      <c s="51" r="AL238"/>
      <c s="125" r="AM238"/>
    </row>
    <row r="239">
      <c s="125" r="A239"/>
      <c s="125" r="B239"/>
      <c s="125" r="C239"/>
      <c s="125" r="D239"/>
      <c s="125" r="E239"/>
      <c s="125" r="F239"/>
      <c s="125" r="G239"/>
      <c s="125" r="H239"/>
      <c s="125" r="I239"/>
      <c s="125" r="J239"/>
      <c s="125" r="K239"/>
      <c s="125" r="L239"/>
      <c s="125" r="M239"/>
      <c s="125" r="N239"/>
      <c s="125" r="O239"/>
      <c s="125" r="P239"/>
      <c s="125" r="Q239"/>
      <c s="125" r="R239"/>
      <c s="125" r="S239"/>
      <c s="822" r="T239"/>
      <c t="str" s="309" r="U239">
        <f>IF((Profile!L267&gt;0),Profile!L267,"")</f>
        <v/>
      </c>
      <c t="str" s="861" r="V239">
        <f>IF((Profile!O267&gt;0),Profile!O267,"---")</f>
        <v>---</v>
      </c>
      <c t="str" s="861" r="W239">
        <f>IF((Profile!Y267=0),IF((Profile!Y266=0),"---",IF((Profile!Y268=0),"---",Profile!Y267)),Profile!Y267)</f>
        <v>---</v>
      </c>
      <c s="239" r="X239">
        <f>AB239+X238</f>
        <v>0</v>
      </c>
      <c s="796" r="Y239">
        <f>AC239+Y238</f>
        <v>0</v>
      </c>
      <c s="702" r="Z239"/>
      <c s="289" r="AA239">
        <f>IF(Profile!Y267,IF((Profile!O267=0),0,(Profile!O267-MAX(Profile!O$44:O266))),0)</f>
        <v>0</v>
      </c>
      <c s="605" r="AB239">
        <f>SIN(RADIANS(Profile!Y267))*AA239</f>
        <v>0</v>
      </c>
      <c s="605" r="AC239">
        <f>COS(RADIANS(Profile!Y267))*AA239</f>
        <v>0</v>
      </c>
      <c s="348" r="AD239">
        <f>IF((AJ$15=TRUE),X239,NA())</f>
        <v>0</v>
      </c>
      <c s="348" r="AE239">
        <f>IF((AJ$15=TRUE),Y239,NA())</f>
        <v>0</v>
      </c>
      <c t="str" s="348" r="AF239">
        <f>IF(Profile!L267,Y239,NA())</f>
        <v>#N/A:explicit</v>
      </c>
      <c s="348" r="AG239">
        <f>Profile!T267*E$40</f>
        <v>0</v>
      </c>
      <c t="str" s="348" r="AH239">
        <f>IF((AK$15=TRUE),IF(ISNUMBER(Profile!Y267),IF(ISNUMBER(Profile!Y268),(((X239+((F$63/2)*COS(RADIANS(Profile!Y268))))+(X239+((F$63/2)*COS(RADIANS(Profile!Y267)))))/2),(X239+((F$63/2)*COS(RADIANS(Profile!Y267))))),AH238),0)</f>
        <v>#VALUE!:notNumber:For input string: "---"</v>
      </c>
      <c t="str" s="348" r="AI239">
        <f>IF((AK$15=TRUE),IF(ISNUMBER(Profile!Y267),IF(ISNUMBER(Profile!Y268),(((Y239-((F$63/2)*SIN(RADIANS(Profile!Y268))))+(Y239-((F$63/2)*SIN(RADIANS(Profile!Y267)))))/2),(Y239-((F$63/2)*SIN(RADIANS(Profile!Y267))))),AI238),0)</f>
        <v>#VALUE!:notNumber:For input string: "---"</v>
      </c>
      <c t="str" s="348" r="AJ239">
        <f>IF((AK$15=TRUE),IF(ISNUMBER(Profile!Y267),IF(ISNUMBER(Profile!Y268),(((X239-((F$63/2)*COS(RADIANS(Profile!Y268))))+(X239-((F$63/2)*COS(RADIANS(Profile!Y267)))))/2),(X239-((F$63/2)*COS(RADIANS(Profile!Y267))))),AJ238),0)</f>
        <v>#VALUE!:notNumber:For input string: "---"</v>
      </c>
      <c t="str" s="799" r="AK239">
        <f>IF((AK$15=TRUE),IF(ISNUMBER(Profile!Y267),IF(ISNUMBER(Profile!Y268),(((Y239+((F$63/2)*SIN(RADIANS(Profile!Y268))))+(Y239+((F$63/2)*SIN(RADIANS(Profile!Y267)))))/2),(Y239+((F$63/2)*SIN(RADIANS(Profile!Y267))))),AK238),0)</f>
        <v>#VALUE!:notNumber:For input string: "---"</v>
      </c>
      <c s="51" r="AL239"/>
      <c s="125" r="AM239"/>
    </row>
    <row r="240">
      <c s="125" r="A240"/>
      <c s="125" r="B240"/>
      <c s="125" r="C240"/>
      <c s="125" r="D240"/>
      <c s="125" r="E240"/>
      <c s="125" r="F240"/>
      <c s="125" r="G240"/>
      <c s="125" r="H240"/>
      <c s="125" r="I240"/>
      <c s="125" r="J240"/>
      <c s="125" r="K240"/>
      <c s="125" r="L240"/>
      <c s="125" r="M240"/>
      <c s="125" r="N240"/>
      <c s="125" r="O240"/>
      <c s="125" r="P240"/>
      <c s="125" r="Q240"/>
      <c s="125" r="R240"/>
      <c s="125" r="S240"/>
      <c s="822" r="T240"/>
      <c t="str" s="309" r="U240">
        <f>IF((Profile!L268&gt;0),Profile!L268,"")</f>
        <v/>
      </c>
      <c t="str" s="861" r="V240">
        <f>IF((Profile!O268&gt;0),Profile!O268,"---")</f>
        <v>---</v>
      </c>
      <c t="str" s="861" r="W240">
        <f>IF((Profile!Y268=0),IF((Profile!Y267=0),"---",IF((Profile!Y269=0),"---",Profile!Y268)),Profile!Y268)</f>
        <v>---</v>
      </c>
      <c s="239" r="X240">
        <f>AB240+X239</f>
        <v>0</v>
      </c>
      <c s="796" r="Y240">
        <f>AC240+Y239</f>
        <v>0</v>
      </c>
      <c s="702" r="Z240"/>
      <c s="289" r="AA240">
        <f>IF(Profile!Y268,IF((Profile!O268=0),0,(Profile!O268-MAX(Profile!O$44:O267))),0)</f>
        <v>0</v>
      </c>
      <c s="605" r="AB240">
        <f>SIN(RADIANS(Profile!Y268))*AA240</f>
        <v>0</v>
      </c>
      <c s="605" r="AC240">
        <f>COS(RADIANS(Profile!Y268))*AA240</f>
        <v>0</v>
      </c>
      <c s="348" r="AD240">
        <f>IF((AJ$15=TRUE),X240,NA())</f>
        <v>0</v>
      </c>
      <c s="348" r="AE240">
        <f>IF((AJ$15=TRUE),Y240,NA())</f>
        <v>0</v>
      </c>
      <c t="str" s="348" r="AF240">
        <f>IF(Profile!L268,Y240,NA())</f>
        <v>#N/A:explicit</v>
      </c>
      <c s="348" r="AG240">
        <f>Profile!T268*E$40</f>
        <v>0</v>
      </c>
      <c t="str" s="348" r="AH240">
        <f>IF((AK$15=TRUE),IF(ISNUMBER(Profile!Y268),IF(ISNUMBER(Profile!Y269),(((X240+((F$63/2)*COS(RADIANS(Profile!Y269))))+(X240+((F$63/2)*COS(RADIANS(Profile!Y268)))))/2),(X240+((F$63/2)*COS(RADIANS(Profile!Y268))))),AH239),0)</f>
        <v>#VALUE!:notNumber:For input string: "---"</v>
      </c>
      <c t="str" s="348" r="AI240">
        <f>IF((AK$15=TRUE),IF(ISNUMBER(Profile!Y268),IF(ISNUMBER(Profile!Y269),(((Y240-((F$63/2)*SIN(RADIANS(Profile!Y269))))+(Y240-((F$63/2)*SIN(RADIANS(Profile!Y268)))))/2),(Y240-((F$63/2)*SIN(RADIANS(Profile!Y268))))),AI239),0)</f>
        <v>#VALUE!:notNumber:For input string: "---"</v>
      </c>
      <c t="str" s="348" r="AJ240">
        <f>IF((AK$15=TRUE),IF(ISNUMBER(Profile!Y268),IF(ISNUMBER(Profile!Y269),(((X240-((F$63/2)*COS(RADIANS(Profile!Y269))))+(X240-((F$63/2)*COS(RADIANS(Profile!Y268)))))/2),(X240-((F$63/2)*COS(RADIANS(Profile!Y268))))),AJ239),0)</f>
        <v>#VALUE!:notNumber:For input string: "---"</v>
      </c>
      <c t="str" s="799" r="AK240">
        <f>IF((AK$15=TRUE),IF(ISNUMBER(Profile!Y268),IF(ISNUMBER(Profile!Y269),(((Y240+((F$63/2)*SIN(RADIANS(Profile!Y269))))+(Y240+((F$63/2)*SIN(RADIANS(Profile!Y268)))))/2),(Y240+((F$63/2)*SIN(RADIANS(Profile!Y268))))),AK239),0)</f>
        <v>#VALUE!:notNumber:For input string: "---"</v>
      </c>
      <c s="51" r="AL240"/>
      <c s="125" r="AM240"/>
    </row>
    <row r="241">
      <c s="125" r="A241"/>
      <c s="125" r="B241"/>
      <c s="125" r="C241"/>
      <c s="125" r="D241"/>
      <c s="125" r="E241"/>
      <c s="125" r="F241"/>
      <c s="125" r="G241"/>
      <c s="125" r="H241"/>
      <c s="125" r="I241"/>
      <c s="125" r="J241"/>
      <c s="125" r="K241"/>
      <c s="125" r="L241"/>
      <c s="125" r="M241"/>
      <c s="125" r="N241"/>
      <c s="125" r="O241"/>
      <c s="125" r="P241"/>
      <c s="125" r="Q241"/>
      <c s="125" r="R241"/>
      <c s="125" r="S241"/>
      <c s="822" r="T241"/>
      <c t="str" s="309" r="U241">
        <f>IF((Profile!L269&gt;0),Profile!L269,"")</f>
        <v/>
      </c>
      <c t="str" s="861" r="V241">
        <f>IF((Profile!O269&gt;0),Profile!O269,"---")</f>
        <v>---</v>
      </c>
      <c t="str" s="861" r="W241">
        <f>IF((Profile!Y269=0),IF((Profile!Y268=0),"---",IF((Profile!Y270=0),"---",Profile!Y269)),Profile!Y269)</f>
        <v>---</v>
      </c>
      <c s="239" r="X241">
        <f>AB241+X240</f>
        <v>0</v>
      </c>
      <c s="796" r="Y241">
        <f>AC241+Y240</f>
        <v>0</v>
      </c>
      <c s="702" r="Z241"/>
      <c s="289" r="AA241">
        <f>IF(Profile!Y269,IF((Profile!O269=0),0,(Profile!O269-MAX(Profile!O$44:O268))),0)</f>
        <v>0</v>
      </c>
      <c s="605" r="AB241">
        <f>SIN(RADIANS(Profile!Y269))*AA241</f>
        <v>0</v>
      </c>
      <c s="605" r="AC241">
        <f>COS(RADIANS(Profile!Y269))*AA241</f>
        <v>0</v>
      </c>
      <c s="348" r="AD241">
        <f>IF((AJ$15=TRUE),X241,NA())</f>
        <v>0</v>
      </c>
      <c s="348" r="AE241">
        <f>IF((AJ$15=TRUE),Y241,NA())</f>
        <v>0</v>
      </c>
      <c t="str" s="348" r="AF241">
        <f>IF(Profile!L269,Y241,NA())</f>
        <v>#N/A:explicit</v>
      </c>
      <c s="348" r="AG241">
        <f>Profile!T269*E$40</f>
        <v>0</v>
      </c>
      <c t="str" s="348" r="AH241">
        <f>IF((AK$15=TRUE),IF(ISNUMBER(Profile!Y269),IF(ISNUMBER(Profile!Y270),(((X241+((F$63/2)*COS(RADIANS(Profile!Y270))))+(X241+((F$63/2)*COS(RADIANS(Profile!Y269)))))/2),(X241+((F$63/2)*COS(RADIANS(Profile!Y269))))),AH240),0)</f>
        <v>#VALUE!:notNumber:For input string: "---"</v>
      </c>
      <c t="str" s="348" r="AI241">
        <f>IF((AK$15=TRUE),IF(ISNUMBER(Profile!Y269),IF(ISNUMBER(Profile!Y270),(((Y241-((F$63/2)*SIN(RADIANS(Profile!Y270))))+(Y241-((F$63/2)*SIN(RADIANS(Profile!Y269)))))/2),(Y241-((F$63/2)*SIN(RADIANS(Profile!Y269))))),AI240),0)</f>
        <v>#VALUE!:notNumber:For input string: "---"</v>
      </c>
      <c t="str" s="348" r="AJ241">
        <f>IF((AK$15=TRUE),IF(ISNUMBER(Profile!Y269),IF(ISNUMBER(Profile!Y270),(((X241-((F$63/2)*COS(RADIANS(Profile!Y270))))+(X241-((F$63/2)*COS(RADIANS(Profile!Y269)))))/2),(X241-((F$63/2)*COS(RADIANS(Profile!Y269))))),AJ240),0)</f>
        <v>#VALUE!:notNumber:For input string: "---"</v>
      </c>
      <c t="str" s="799" r="AK241">
        <f>IF((AK$15=TRUE),IF(ISNUMBER(Profile!Y269),IF(ISNUMBER(Profile!Y270),(((Y241+((F$63/2)*SIN(RADIANS(Profile!Y270))))+(Y241+((F$63/2)*SIN(RADIANS(Profile!Y269)))))/2),(Y241+((F$63/2)*SIN(RADIANS(Profile!Y269))))),AK240),0)</f>
        <v>#VALUE!:notNumber:For input string: "---"</v>
      </c>
      <c s="51" r="AL241"/>
      <c s="125" r="AM241"/>
    </row>
    <row r="242">
      <c s="125" r="A242"/>
      <c s="125" r="B242"/>
      <c s="125" r="C242"/>
      <c s="125" r="D242"/>
      <c s="125" r="E242"/>
      <c s="125" r="F242"/>
      <c s="125" r="G242"/>
      <c s="125" r="H242"/>
      <c s="125" r="I242"/>
      <c s="125" r="J242"/>
      <c s="125" r="K242"/>
      <c s="125" r="L242"/>
      <c s="125" r="M242"/>
      <c s="125" r="N242"/>
      <c s="125" r="O242"/>
      <c s="125" r="P242"/>
      <c s="125" r="Q242"/>
      <c s="125" r="R242"/>
      <c s="125" r="S242"/>
      <c s="822" r="T242"/>
      <c t="str" s="309" r="U242">
        <f>IF((Profile!L270&gt;0),Profile!L270,"")</f>
        <v/>
      </c>
      <c t="str" s="861" r="V242">
        <f>IF((Profile!O270&gt;0),Profile!O270,"---")</f>
        <v>---</v>
      </c>
      <c t="str" s="861" r="W242">
        <f>IF((Profile!Y270=0),IF((Profile!Y269=0),"---",IF((Profile!Y271=0),"---",Profile!Y270)),Profile!Y270)</f>
        <v>---</v>
      </c>
      <c s="239" r="X242">
        <f>AB242+X241</f>
        <v>0</v>
      </c>
      <c s="796" r="Y242">
        <f>AC242+Y241</f>
        <v>0</v>
      </c>
      <c s="702" r="Z242"/>
      <c s="289" r="AA242">
        <f>IF(Profile!Y270,IF((Profile!O270=0),0,(Profile!O270-MAX(Profile!O$44:O269))),0)</f>
        <v>0</v>
      </c>
      <c s="605" r="AB242">
        <f>SIN(RADIANS(Profile!Y270))*AA242</f>
        <v>0</v>
      </c>
      <c s="605" r="AC242">
        <f>COS(RADIANS(Profile!Y270))*AA242</f>
        <v>0</v>
      </c>
      <c s="348" r="AD242">
        <f>IF((AJ$15=TRUE),X242,NA())</f>
        <v>0</v>
      </c>
      <c s="348" r="AE242">
        <f>IF((AJ$15=TRUE),Y242,NA())</f>
        <v>0</v>
      </c>
      <c t="str" s="348" r="AF242">
        <f>IF(Profile!L270,Y242,NA())</f>
        <v>#N/A:explicit</v>
      </c>
      <c s="348" r="AG242">
        <f>Profile!T270*E$40</f>
        <v>0</v>
      </c>
      <c t="str" s="348" r="AH242">
        <f>IF((AK$15=TRUE),IF(ISNUMBER(Profile!Y270),IF(ISNUMBER(Profile!Y271),(((X242+((F$63/2)*COS(RADIANS(Profile!Y271))))+(X242+((F$63/2)*COS(RADIANS(Profile!Y270)))))/2),(X242+((F$63/2)*COS(RADIANS(Profile!Y270))))),AH241),0)</f>
        <v>#VALUE!:notNumber:For input string: "---"</v>
      </c>
      <c t="str" s="348" r="AI242">
        <f>IF((AK$15=TRUE),IF(ISNUMBER(Profile!Y270),IF(ISNUMBER(Profile!Y271),(((Y242-((F$63/2)*SIN(RADIANS(Profile!Y271))))+(Y242-((F$63/2)*SIN(RADIANS(Profile!Y270)))))/2),(Y242-((F$63/2)*SIN(RADIANS(Profile!Y270))))),AI241),0)</f>
        <v>#VALUE!:notNumber:For input string: "---"</v>
      </c>
      <c t="str" s="348" r="AJ242">
        <f>IF((AK$15=TRUE),IF(ISNUMBER(Profile!Y270),IF(ISNUMBER(Profile!Y271),(((X242-((F$63/2)*COS(RADIANS(Profile!Y271))))+(X242-((F$63/2)*COS(RADIANS(Profile!Y270)))))/2),(X242-((F$63/2)*COS(RADIANS(Profile!Y270))))),AJ241),0)</f>
        <v>#VALUE!:notNumber:For input string: "---"</v>
      </c>
      <c t="str" s="799" r="AK242">
        <f>IF((AK$15=TRUE),IF(ISNUMBER(Profile!Y270),IF(ISNUMBER(Profile!Y271),(((Y242+((F$63/2)*SIN(RADIANS(Profile!Y271))))+(Y242+((F$63/2)*SIN(RADIANS(Profile!Y270)))))/2),(Y242+((F$63/2)*SIN(RADIANS(Profile!Y270))))),AK241),0)</f>
        <v>#VALUE!:notNumber:For input string: "---"</v>
      </c>
      <c s="51" r="AL242"/>
      <c s="125" r="AM242"/>
    </row>
    <row r="243">
      <c s="125" r="A243"/>
      <c s="125" r="B243"/>
      <c s="125" r="C243"/>
      <c s="125" r="D243"/>
      <c s="125" r="E243"/>
      <c s="125" r="F243"/>
      <c s="125" r="G243"/>
      <c s="125" r="H243"/>
      <c s="125" r="I243"/>
      <c s="125" r="J243"/>
      <c s="125" r="K243"/>
      <c s="125" r="L243"/>
      <c s="125" r="M243"/>
      <c s="125" r="N243"/>
      <c s="125" r="O243"/>
      <c s="125" r="P243"/>
      <c s="125" r="Q243"/>
      <c s="125" r="R243"/>
      <c s="125" r="S243"/>
      <c s="822" r="T243"/>
      <c t="str" s="309" r="U243">
        <f>IF((Profile!L271&gt;0),Profile!L271,"")</f>
        <v/>
      </c>
      <c t="str" s="861" r="V243">
        <f>IF((Profile!O271&gt;0),Profile!O271,"---")</f>
        <v>---</v>
      </c>
      <c t="str" s="861" r="W243">
        <f>IF((Profile!Y271=0),IF((Profile!Y270=0),"---",IF((Profile!Y272=0),"---",Profile!Y271)),Profile!Y271)</f>
        <v>---</v>
      </c>
      <c s="239" r="X243">
        <f>AB243+X242</f>
        <v>0</v>
      </c>
      <c s="796" r="Y243">
        <f>AC243+Y242</f>
        <v>0</v>
      </c>
      <c s="702" r="Z243"/>
      <c s="289" r="AA243">
        <f>IF(Profile!Y271,IF((Profile!O271=0),0,(Profile!O271-MAX(Profile!O$44:O270))),0)</f>
        <v>0</v>
      </c>
      <c s="605" r="AB243">
        <f>SIN(RADIANS(Profile!Y271))*AA243</f>
        <v>0</v>
      </c>
      <c s="605" r="AC243">
        <f>COS(RADIANS(Profile!Y271))*AA243</f>
        <v>0</v>
      </c>
      <c s="348" r="AD243">
        <f>IF((AJ$15=TRUE),X243,NA())</f>
        <v>0</v>
      </c>
      <c s="348" r="AE243">
        <f>IF((AJ$15=TRUE),Y243,NA())</f>
        <v>0</v>
      </c>
      <c t="str" s="348" r="AF243">
        <f>IF(Profile!L271,Y243,NA())</f>
        <v>#N/A:explicit</v>
      </c>
      <c s="348" r="AG243">
        <f>Profile!T271*E$40</f>
        <v>0</v>
      </c>
      <c t="str" s="348" r="AH243">
        <f>IF((AK$15=TRUE),IF(ISNUMBER(Profile!Y271),IF(ISNUMBER(Profile!Y272),(((X243+((F$63/2)*COS(RADIANS(Profile!Y272))))+(X243+((F$63/2)*COS(RADIANS(Profile!Y271)))))/2),(X243+((F$63/2)*COS(RADIANS(Profile!Y271))))),AH242),0)</f>
        <v>#VALUE!:notNumber:For input string: "---"</v>
      </c>
      <c t="str" s="348" r="AI243">
        <f>IF((AK$15=TRUE),IF(ISNUMBER(Profile!Y271),IF(ISNUMBER(Profile!Y272),(((Y243-((F$63/2)*SIN(RADIANS(Profile!Y272))))+(Y243-((F$63/2)*SIN(RADIANS(Profile!Y271)))))/2),(Y243-((F$63/2)*SIN(RADIANS(Profile!Y271))))),AI242),0)</f>
        <v>#VALUE!:notNumber:For input string: "---"</v>
      </c>
      <c t="str" s="348" r="AJ243">
        <f>IF((AK$15=TRUE),IF(ISNUMBER(Profile!Y271),IF(ISNUMBER(Profile!Y272),(((X243-((F$63/2)*COS(RADIANS(Profile!Y272))))+(X243-((F$63/2)*COS(RADIANS(Profile!Y271)))))/2),(X243-((F$63/2)*COS(RADIANS(Profile!Y271))))),AJ242),0)</f>
        <v>#VALUE!:notNumber:For input string: "---"</v>
      </c>
      <c t="str" s="799" r="AK243">
        <f>IF((AK$15=TRUE),IF(ISNUMBER(Profile!Y271),IF(ISNUMBER(Profile!Y272),(((Y243+((F$63/2)*SIN(RADIANS(Profile!Y272))))+(Y243+((F$63/2)*SIN(RADIANS(Profile!Y271)))))/2),(Y243+((F$63/2)*SIN(RADIANS(Profile!Y271))))),AK242),0)</f>
        <v>#VALUE!:notNumber:For input string: "---"</v>
      </c>
      <c s="51" r="AL243"/>
      <c s="125" r="AM243"/>
    </row>
    <row r="244">
      <c s="125" r="A244"/>
      <c s="125" r="B244"/>
      <c s="125" r="C244"/>
      <c s="125" r="D244"/>
      <c s="125" r="E244"/>
      <c s="125" r="F244"/>
      <c s="125" r="G244"/>
      <c s="125" r="H244"/>
      <c s="125" r="I244"/>
      <c s="125" r="J244"/>
      <c s="125" r="K244"/>
      <c s="125" r="L244"/>
      <c s="125" r="M244"/>
      <c s="125" r="N244"/>
      <c s="125" r="O244"/>
      <c s="125" r="P244"/>
      <c s="125" r="Q244"/>
      <c s="125" r="R244"/>
      <c s="125" r="S244"/>
      <c s="822" r="T244"/>
      <c t="str" s="309" r="U244">
        <f>IF((Profile!L272&gt;0),Profile!L272,"")</f>
        <v/>
      </c>
      <c t="str" s="861" r="V244">
        <f>IF((Profile!O272&gt;0),Profile!O272,"---")</f>
        <v>---</v>
      </c>
      <c t="str" s="861" r="W244">
        <f>IF((Profile!Y272=0),IF((Profile!Y271=0),"---",IF((Profile!Y273=0),"---",Profile!Y272)),Profile!Y272)</f>
        <v>---</v>
      </c>
      <c s="239" r="X244">
        <f>AB244+X243</f>
        <v>0</v>
      </c>
      <c s="796" r="Y244">
        <f>AC244+Y243</f>
        <v>0</v>
      </c>
      <c s="702" r="Z244"/>
      <c s="289" r="AA244">
        <f>IF(Profile!Y272,IF((Profile!O272=0),0,(Profile!O272-MAX(Profile!O$44:O271))),0)</f>
        <v>0</v>
      </c>
      <c s="605" r="AB244">
        <f>SIN(RADIANS(Profile!Y272))*AA244</f>
        <v>0</v>
      </c>
      <c s="605" r="AC244">
        <f>COS(RADIANS(Profile!Y272))*AA244</f>
        <v>0</v>
      </c>
      <c s="348" r="AD244">
        <f>IF((AJ$15=TRUE),X244,NA())</f>
        <v>0</v>
      </c>
      <c s="348" r="AE244">
        <f>IF((AJ$15=TRUE),Y244,NA())</f>
        <v>0</v>
      </c>
      <c t="str" s="348" r="AF244">
        <f>IF(Profile!L272,Y244,NA())</f>
        <v>#N/A:explicit</v>
      </c>
      <c s="348" r="AG244">
        <f>Profile!T272*E$40</f>
        <v>0</v>
      </c>
      <c t="str" s="348" r="AH244">
        <f>IF((AK$15=TRUE),IF(ISNUMBER(Profile!Y272),IF(ISNUMBER(Profile!Y273),(((X244+((F$63/2)*COS(RADIANS(Profile!Y273))))+(X244+((F$63/2)*COS(RADIANS(Profile!Y272)))))/2),(X244+((F$63/2)*COS(RADIANS(Profile!Y272))))),AH243),0)</f>
        <v>#VALUE!:notNumber:For input string: "---"</v>
      </c>
      <c t="str" s="348" r="AI244">
        <f>IF((AK$15=TRUE),IF(ISNUMBER(Profile!Y272),IF(ISNUMBER(Profile!Y273),(((Y244-((F$63/2)*SIN(RADIANS(Profile!Y273))))+(Y244-((F$63/2)*SIN(RADIANS(Profile!Y272)))))/2),(Y244-((F$63/2)*SIN(RADIANS(Profile!Y272))))),AI243),0)</f>
        <v>#VALUE!:notNumber:For input string: "---"</v>
      </c>
      <c t="str" s="348" r="AJ244">
        <f>IF((AK$15=TRUE),IF(ISNUMBER(Profile!Y272),IF(ISNUMBER(Profile!Y273),(((X244-((F$63/2)*COS(RADIANS(Profile!Y273))))+(X244-((F$63/2)*COS(RADIANS(Profile!Y272)))))/2),(X244-((F$63/2)*COS(RADIANS(Profile!Y272))))),AJ243),0)</f>
        <v>#VALUE!:notNumber:For input string: "---"</v>
      </c>
      <c t="str" s="799" r="AK244">
        <f>IF((AK$15=TRUE),IF(ISNUMBER(Profile!Y272),IF(ISNUMBER(Profile!Y273),(((Y244+((F$63/2)*SIN(RADIANS(Profile!Y273))))+(Y244+((F$63/2)*SIN(RADIANS(Profile!Y272)))))/2),(Y244+((F$63/2)*SIN(RADIANS(Profile!Y272))))),AK243),0)</f>
        <v>#VALUE!:notNumber:For input string: "---"</v>
      </c>
      <c s="51" r="AL244"/>
      <c s="125" r="AM244"/>
    </row>
    <row r="245">
      <c s="125" r="A245"/>
      <c s="125" r="B245"/>
      <c s="125" r="C245"/>
      <c s="125" r="D245"/>
      <c s="125" r="E245"/>
      <c s="125" r="F245"/>
      <c s="125" r="G245"/>
      <c s="125" r="H245"/>
      <c s="125" r="I245"/>
      <c s="125" r="J245"/>
      <c s="125" r="K245"/>
      <c s="125" r="L245"/>
      <c s="125" r="M245"/>
      <c s="125" r="N245"/>
      <c s="125" r="O245"/>
      <c s="125" r="P245"/>
      <c s="125" r="Q245"/>
      <c s="125" r="R245"/>
      <c s="125" r="S245"/>
      <c s="822" r="T245"/>
      <c t="str" s="309" r="U245">
        <f>IF((Profile!L273&gt;0),Profile!L273,"")</f>
        <v/>
      </c>
      <c t="str" s="861" r="V245">
        <f>IF((Profile!O273&gt;0),Profile!O273,"---")</f>
        <v>---</v>
      </c>
      <c t="str" s="861" r="W245">
        <f>IF((Profile!Y273=0),IF((Profile!Y272=0),"---",IF((Profile!Y274=0),"---",Profile!Y273)),Profile!Y273)</f>
        <v>---</v>
      </c>
      <c s="239" r="X245">
        <f>AB245+X244</f>
        <v>0</v>
      </c>
      <c s="796" r="Y245">
        <f>AC245+Y244</f>
        <v>0</v>
      </c>
      <c s="702" r="Z245"/>
      <c s="289" r="AA245">
        <f>IF(Profile!Y273,IF((Profile!O273=0),0,(Profile!O273-MAX(Profile!O$44:O272))),0)</f>
        <v>0</v>
      </c>
      <c s="605" r="AB245">
        <f>SIN(RADIANS(Profile!Y273))*AA245</f>
        <v>0</v>
      </c>
      <c s="605" r="AC245">
        <f>COS(RADIANS(Profile!Y273))*AA245</f>
        <v>0</v>
      </c>
      <c s="348" r="AD245">
        <f>IF((AJ$15=TRUE),X245,NA())</f>
        <v>0</v>
      </c>
      <c s="348" r="AE245">
        <f>IF((AJ$15=TRUE),Y245,NA())</f>
        <v>0</v>
      </c>
      <c t="str" s="348" r="AF245">
        <f>IF(Profile!L273,Y245,NA())</f>
        <v>#N/A:explicit</v>
      </c>
      <c s="348" r="AG245">
        <f>Profile!T273*E$40</f>
        <v>0</v>
      </c>
      <c t="str" s="348" r="AH245">
        <f>IF((AK$15=TRUE),IF(ISNUMBER(Profile!Y273),IF(ISNUMBER(Profile!Y274),(((X245+((F$63/2)*COS(RADIANS(Profile!Y274))))+(X245+((F$63/2)*COS(RADIANS(Profile!Y273)))))/2),(X245+((F$63/2)*COS(RADIANS(Profile!Y273))))),AH244),0)</f>
        <v>#VALUE!:notNumber:For input string: "---"</v>
      </c>
      <c t="str" s="348" r="AI245">
        <f>IF((AK$15=TRUE),IF(ISNUMBER(Profile!Y273),IF(ISNUMBER(Profile!Y274),(((Y245-((F$63/2)*SIN(RADIANS(Profile!Y274))))+(Y245-((F$63/2)*SIN(RADIANS(Profile!Y273)))))/2),(Y245-((F$63/2)*SIN(RADIANS(Profile!Y273))))),AI244),0)</f>
        <v>#VALUE!:notNumber:For input string: "---"</v>
      </c>
      <c t="str" s="348" r="AJ245">
        <f>IF((AK$15=TRUE),IF(ISNUMBER(Profile!Y273),IF(ISNUMBER(Profile!Y274),(((X245-((F$63/2)*COS(RADIANS(Profile!Y274))))+(X245-((F$63/2)*COS(RADIANS(Profile!Y273)))))/2),(X245-((F$63/2)*COS(RADIANS(Profile!Y273))))),AJ244),0)</f>
        <v>#VALUE!:notNumber:For input string: "---"</v>
      </c>
      <c t="str" s="799" r="AK245">
        <f>IF((AK$15=TRUE),IF(ISNUMBER(Profile!Y273),IF(ISNUMBER(Profile!Y274),(((Y245+((F$63/2)*SIN(RADIANS(Profile!Y274))))+(Y245+((F$63/2)*SIN(RADIANS(Profile!Y273)))))/2),(Y245+((F$63/2)*SIN(RADIANS(Profile!Y273))))),AK244),0)</f>
        <v>#VALUE!:notNumber:For input string: "---"</v>
      </c>
      <c s="51" r="AL245"/>
      <c s="125" r="AM245"/>
    </row>
    <row r="246">
      <c s="125" r="A246"/>
      <c s="125" r="B246"/>
      <c s="125" r="C246"/>
      <c s="125" r="D246"/>
      <c s="125" r="E246"/>
      <c s="125" r="F246"/>
      <c s="125" r="G246"/>
      <c s="125" r="H246"/>
      <c s="125" r="I246"/>
      <c s="125" r="J246"/>
      <c s="125" r="K246"/>
      <c s="125" r="L246"/>
      <c s="125" r="M246"/>
      <c s="125" r="N246"/>
      <c s="125" r="O246"/>
      <c s="125" r="P246"/>
      <c s="125" r="Q246"/>
      <c s="125" r="R246"/>
      <c s="125" r="S246"/>
      <c s="822" r="T246"/>
      <c t="str" s="309" r="U246">
        <f>IF((Profile!L274&gt;0),Profile!L274,"")</f>
        <v/>
      </c>
      <c t="str" s="861" r="V246">
        <f>IF((Profile!O274&gt;0),Profile!O274,"---")</f>
        <v>---</v>
      </c>
      <c t="str" s="861" r="W246">
        <f>IF((Profile!Y274=0),IF((Profile!Y273=0),"---",IF((Profile!Y275=0),"---",Profile!Y274)),Profile!Y274)</f>
        <v>---</v>
      </c>
      <c s="239" r="X246">
        <f>AB246+X245</f>
        <v>0</v>
      </c>
      <c s="796" r="Y246">
        <f>AC246+Y245</f>
        <v>0</v>
      </c>
      <c s="702" r="Z246"/>
      <c s="289" r="AA246">
        <f>IF(Profile!Y274,IF((Profile!O274=0),0,(Profile!O274-MAX(Profile!O$44:O273))),0)</f>
        <v>0</v>
      </c>
      <c s="605" r="AB246">
        <f>SIN(RADIANS(Profile!Y274))*AA246</f>
        <v>0</v>
      </c>
      <c s="605" r="AC246">
        <f>COS(RADIANS(Profile!Y274))*AA246</f>
        <v>0</v>
      </c>
      <c s="348" r="AD246">
        <f>IF((AJ$15=TRUE),X246,NA())</f>
        <v>0</v>
      </c>
      <c s="348" r="AE246">
        <f>IF((AJ$15=TRUE),Y246,NA())</f>
        <v>0</v>
      </c>
      <c t="str" s="348" r="AF246">
        <f>IF(Profile!L274,Y246,NA())</f>
        <v>#N/A:explicit</v>
      </c>
      <c s="348" r="AG246">
        <f>Profile!T274*E$40</f>
        <v>0</v>
      </c>
      <c t="str" s="348" r="AH246">
        <f>IF((AK$15=TRUE),IF(ISNUMBER(Profile!Y274),IF(ISNUMBER(Profile!Y275),(((X246+((F$63/2)*COS(RADIANS(Profile!Y275))))+(X246+((F$63/2)*COS(RADIANS(Profile!Y274)))))/2),(X246+((F$63/2)*COS(RADIANS(Profile!Y274))))),AH245),0)</f>
        <v>#VALUE!:notNumber:For input string: "---"</v>
      </c>
      <c t="str" s="348" r="AI246">
        <f>IF((AK$15=TRUE),IF(ISNUMBER(Profile!Y274),IF(ISNUMBER(Profile!Y275),(((Y246-((F$63/2)*SIN(RADIANS(Profile!Y275))))+(Y246-((F$63/2)*SIN(RADIANS(Profile!Y274)))))/2),(Y246-((F$63/2)*SIN(RADIANS(Profile!Y274))))),AI245),0)</f>
        <v>#VALUE!:notNumber:For input string: "---"</v>
      </c>
      <c t="str" s="348" r="AJ246">
        <f>IF((AK$15=TRUE),IF(ISNUMBER(Profile!Y274),IF(ISNUMBER(Profile!Y275),(((X246-((F$63/2)*COS(RADIANS(Profile!Y275))))+(X246-((F$63/2)*COS(RADIANS(Profile!Y274)))))/2),(X246-((F$63/2)*COS(RADIANS(Profile!Y274))))),AJ245),0)</f>
        <v>#VALUE!:notNumber:For input string: "---"</v>
      </c>
      <c t="str" s="799" r="AK246">
        <f>IF((AK$15=TRUE),IF(ISNUMBER(Profile!Y274),IF(ISNUMBER(Profile!Y275),(((Y246+((F$63/2)*SIN(RADIANS(Profile!Y275))))+(Y246+((F$63/2)*SIN(RADIANS(Profile!Y274)))))/2),(Y246+((F$63/2)*SIN(RADIANS(Profile!Y274))))),AK245),0)</f>
        <v>#VALUE!:notNumber:For input string: "---"</v>
      </c>
      <c s="51" r="AL246"/>
      <c s="125" r="AM246"/>
    </row>
    <row r="247">
      <c s="125" r="A247"/>
      <c s="125" r="B247"/>
      <c s="125" r="C247"/>
      <c s="125" r="D247"/>
      <c s="125" r="E247"/>
      <c s="125" r="F247"/>
      <c s="125" r="G247"/>
      <c s="125" r="H247"/>
      <c s="125" r="I247"/>
      <c s="125" r="J247"/>
      <c s="125" r="K247"/>
      <c s="125" r="L247"/>
      <c s="125" r="M247"/>
      <c s="125" r="N247"/>
      <c s="125" r="O247"/>
      <c s="125" r="P247"/>
      <c s="125" r="Q247"/>
      <c s="125" r="R247"/>
      <c s="125" r="S247"/>
      <c s="822" r="T247"/>
      <c t="str" s="309" r="U247">
        <f>IF((Profile!L275&gt;0),Profile!L275,"")</f>
        <v/>
      </c>
      <c t="str" s="861" r="V247">
        <f>IF((Profile!O275&gt;0),Profile!O275,"---")</f>
        <v>---</v>
      </c>
      <c t="str" s="861" r="W247">
        <f>IF((Profile!Y275=0),IF((Profile!Y274=0),"---",IF((Profile!Y276=0),"---",Profile!Y275)),Profile!Y275)</f>
        <v>---</v>
      </c>
      <c s="239" r="X247">
        <f>AB247+X246</f>
        <v>0</v>
      </c>
      <c s="796" r="Y247">
        <f>AC247+Y246</f>
        <v>0</v>
      </c>
      <c s="702" r="Z247"/>
      <c s="289" r="AA247">
        <f>IF(Profile!Y275,IF((Profile!O275=0),0,(Profile!O275-MAX(Profile!O$44:O274))),0)</f>
        <v>0</v>
      </c>
      <c s="605" r="AB247">
        <f>SIN(RADIANS(Profile!Y275))*AA247</f>
        <v>0</v>
      </c>
      <c s="605" r="AC247">
        <f>COS(RADIANS(Profile!Y275))*AA247</f>
        <v>0</v>
      </c>
      <c s="348" r="AD247">
        <f>IF((AJ$15=TRUE),X247,NA())</f>
        <v>0</v>
      </c>
      <c s="348" r="AE247">
        <f>IF((AJ$15=TRUE),Y247,NA())</f>
        <v>0</v>
      </c>
      <c t="str" s="348" r="AF247">
        <f>IF(Profile!L275,Y247,NA())</f>
        <v>#N/A:explicit</v>
      </c>
      <c s="348" r="AG247">
        <f>Profile!T275*E$40</f>
        <v>0</v>
      </c>
      <c t="str" s="348" r="AH247">
        <f>IF((AK$15=TRUE),IF(ISNUMBER(Profile!Y275),IF(ISNUMBER(Profile!Y276),(((X247+((F$63/2)*COS(RADIANS(Profile!Y276))))+(X247+((F$63/2)*COS(RADIANS(Profile!Y275)))))/2),(X247+((F$63/2)*COS(RADIANS(Profile!Y275))))),AH246),0)</f>
        <v>#VALUE!:notNumber:For input string: "---"</v>
      </c>
      <c t="str" s="348" r="AI247">
        <f>IF((AK$15=TRUE),IF(ISNUMBER(Profile!Y275),IF(ISNUMBER(Profile!Y276),(((Y247-((F$63/2)*SIN(RADIANS(Profile!Y276))))+(Y247-((F$63/2)*SIN(RADIANS(Profile!Y275)))))/2),(Y247-((F$63/2)*SIN(RADIANS(Profile!Y275))))),AI246),0)</f>
        <v>#VALUE!:notNumber:For input string: "---"</v>
      </c>
      <c t="str" s="348" r="AJ247">
        <f>IF((AK$15=TRUE),IF(ISNUMBER(Profile!Y275),IF(ISNUMBER(Profile!Y276),(((X247-((F$63/2)*COS(RADIANS(Profile!Y276))))+(X247-((F$63/2)*COS(RADIANS(Profile!Y275)))))/2),(X247-((F$63/2)*COS(RADIANS(Profile!Y275))))),AJ246),0)</f>
        <v>#VALUE!:notNumber:For input string: "---"</v>
      </c>
      <c t="str" s="799" r="AK247">
        <f>IF((AK$15=TRUE),IF(ISNUMBER(Profile!Y275),IF(ISNUMBER(Profile!Y276),(((Y247+((F$63/2)*SIN(RADIANS(Profile!Y276))))+(Y247+((F$63/2)*SIN(RADIANS(Profile!Y275)))))/2),(Y247+((F$63/2)*SIN(RADIANS(Profile!Y275))))),AK246),0)</f>
        <v>#VALUE!:notNumber:For input string: "---"</v>
      </c>
      <c s="51" r="AL247"/>
      <c s="125" r="AM247"/>
    </row>
    <row r="248">
      <c s="125" r="A248"/>
      <c s="125" r="B248"/>
      <c s="125" r="C248"/>
      <c s="125" r="D248"/>
      <c s="125" r="E248"/>
      <c s="125" r="F248"/>
      <c s="125" r="G248"/>
      <c s="125" r="H248"/>
      <c s="125" r="I248"/>
      <c s="125" r="J248"/>
      <c s="125" r="K248"/>
      <c s="125" r="L248"/>
      <c s="125" r="M248"/>
      <c s="125" r="N248"/>
      <c s="125" r="O248"/>
      <c s="125" r="P248"/>
      <c s="125" r="Q248"/>
      <c s="125" r="R248"/>
      <c s="125" r="S248"/>
      <c s="822" r="T248"/>
      <c t="str" s="309" r="U248">
        <f>IF((Profile!L276&gt;0),Profile!L276,"")</f>
        <v/>
      </c>
      <c t="str" s="861" r="V248">
        <f>IF((Profile!O276&gt;0),Profile!O276,"---")</f>
        <v>---</v>
      </c>
      <c t="str" s="861" r="W248">
        <f>IF((Profile!Y276=0),IF((Profile!Y275=0),"---",IF((Profile!Y277=0),"---",Profile!Y276)),Profile!Y276)</f>
        <v>---</v>
      </c>
      <c s="239" r="X248">
        <f>AB248+X247</f>
        <v>0</v>
      </c>
      <c s="796" r="Y248">
        <f>AC248+Y247</f>
        <v>0</v>
      </c>
      <c s="702" r="Z248"/>
      <c s="289" r="AA248">
        <f>IF(Profile!Y276,IF((Profile!O276=0),0,(Profile!O276-MAX(Profile!O$44:O275))),0)</f>
        <v>0</v>
      </c>
      <c s="605" r="AB248">
        <f>SIN(RADIANS(Profile!Y276))*AA248</f>
        <v>0</v>
      </c>
      <c s="605" r="AC248">
        <f>COS(RADIANS(Profile!Y276))*AA248</f>
        <v>0</v>
      </c>
      <c s="348" r="AD248">
        <f>IF((AJ$15=TRUE),X248,NA())</f>
        <v>0</v>
      </c>
      <c s="348" r="AE248">
        <f>IF((AJ$15=TRUE),Y248,NA())</f>
        <v>0</v>
      </c>
      <c t="str" s="348" r="AF248">
        <f>IF(Profile!L276,Y248,NA())</f>
        <v>#N/A:explicit</v>
      </c>
      <c s="348" r="AG248">
        <f>Profile!T276*E$40</f>
        <v>0</v>
      </c>
      <c t="str" s="348" r="AH248">
        <f>IF((AK$15=TRUE),IF(ISNUMBER(Profile!Y276),IF(ISNUMBER(Profile!Y277),(((X248+((F$63/2)*COS(RADIANS(Profile!Y277))))+(X248+((F$63/2)*COS(RADIANS(Profile!Y276)))))/2),(X248+((F$63/2)*COS(RADIANS(Profile!Y276))))),AH247),0)</f>
        <v>#VALUE!:notNumber:For input string: "---"</v>
      </c>
      <c t="str" s="348" r="AI248">
        <f>IF((AK$15=TRUE),IF(ISNUMBER(Profile!Y276),IF(ISNUMBER(Profile!Y277),(((Y248-((F$63/2)*SIN(RADIANS(Profile!Y277))))+(Y248-((F$63/2)*SIN(RADIANS(Profile!Y276)))))/2),(Y248-((F$63/2)*SIN(RADIANS(Profile!Y276))))),AI247),0)</f>
        <v>#VALUE!:notNumber:For input string: "---"</v>
      </c>
      <c t="str" s="348" r="AJ248">
        <f>IF((AK$15=TRUE),IF(ISNUMBER(Profile!Y276),IF(ISNUMBER(Profile!Y277),(((X248-((F$63/2)*COS(RADIANS(Profile!Y277))))+(X248-((F$63/2)*COS(RADIANS(Profile!Y276)))))/2),(X248-((F$63/2)*COS(RADIANS(Profile!Y276))))),AJ247),0)</f>
        <v>#VALUE!:notNumber:For input string: "---"</v>
      </c>
      <c t="str" s="799" r="AK248">
        <f>IF((AK$15=TRUE),IF(ISNUMBER(Profile!Y276),IF(ISNUMBER(Profile!Y277),(((Y248+((F$63/2)*SIN(RADIANS(Profile!Y277))))+(Y248+((F$63/2)*SIN(RADIANS(Profile!Y276)))))/2),(Y248+((F$63/2)*SIN(RADIANS(Profile!Y276))))),AK247),0)</f>
        <v>#VALUE!:notNumber:For input string: "---"</v>
      </c>
      <c s="51" r="AL248"/>
      <c s="125" r="AM248"/>
    </row>
    <row r="249">
      <c s="125" r="A249"/>
      <c s="125" r="B249"/>
      <c s="125" r="C249"/>
      <c s="125" r="D249"/>
      <c s="125" r="E249"/>
      <c s="125" r="F249"/>
      <c s="125" r="G249"/>
      <c s="125" r="H249"/>
      <c s="125" r="I249"/>
      <c s="125" r="J249"/>
      <c s="125" r="K249"/>
      <c s="125" r="L249"/>
      <c s="125" r="M249"/>
      <c s="125" r="N249"/>
      <c s="125" r="O249"/>
      <c s="125" r="P249"/>
      <c s="125" r="Q249"/>
      <c s="125" r="R249"/>
      <c s="125" r="S249"/>
      <c s="822" r="T249"/>
      <c t="str" s="309" r="U249">
        <f>IF((Profile!L277&gt;0),Profile!L277,"")</f>
        <v/>
      </c>
      <c t="str" s="861" r="V249">
        <f>IF((Profile!O277&gt;0),Profile!O277,"---")</f>
        <v>---</v>
      </c>
      <c t="str" s="861" r="W249">
        <f>IF((Profile!Y277=0),IF((Profile!Y276=0),"---",IF((Profile!Y278=0),"---",Profile!Y277)),Profile!Y277)</f>
        <v>---</v>
      </c>
      <c s="239" r="X249">
        <f>AB249+X248</f>
        <v>0</v>
      </c>
      <c s="796" r="Y249">
        <f>AC249+Y248</f>
        <v>0</v>
      </c>
      <c s="702" r="Z249"/>
      <c s="289" r="AA249">
        <f>IF(Profile!Y277,IF((Profile!O277=0),0,(Profile!O277-MAX(Profile!O$44:O276))),0)</f>
        <v>0</v>
      </c>
      <c s="605" r="AB249">
        <f>SIN(RADIANS(Profile!Y277))*AA249</f>
        <v>0</v>
      </c>
      <c s="605" r="AC249">
        <f>COS(RADIANS(Profile!Y277))*AA249</f>
        <v>0</v>
      </c>
      <c s="348" r="AD249">
        <f>IF((AJ$15=TRUE),X249,NA())</f>
        <v>0</v>
      </c>
      <c s="348" r="AE249">
        <f>IF((AJ$15=TRUE),Y249,NA())</f>
        <v>0</v>
      </c>
      <c t="str" s="348" r="AF249">
        <f>IF(Profile!L277,Y249,NA())</f>
        <v>#N/A:explicit</v>
      </c>
      <c s="348" r="AG249">
        <f>Profile!T277*E$40</f>
        <v>0</v>
      </c>
      <c t="str" s="348" r="AH249">
        <f>IF((AK$15=TRUE),IF(ISNUMBER(Profile!Y277),IF(ISNUMBER(Profile!Y278),(((X249+((F$63/2)*COS(RADIANS(Profile!Y278))))+(X249+((F$63/2)*COS(RADIANS(Profile!Y277)))))/2),(X249+((F$63/2)*COS(RADIANS(Profile!Y277))))),AH248),0)</f>
        <v>#VALUE!:notNumber:For input string: "---"</v>
      </c>
      <c t="str" s="348" r="AI249">
        <f>IF((AK$15=TRUE),IF(ISNUMBER(Profile!Y277),IF(ISNUMBER(Profile!Y278),(((Y249-((F$63/2)*SIN(RADIANS(Profile!Y278))))+(Y249-((F$63/2)*SIN(RADIANS(Profile!Y277)))))/2),(Y249-((F$63/2)*SIN(RADIANS(Profile!Y277))))),AI248),0)</f>
        <v>#VALUE!:notNumber:For input string: "---"</v>
      </c>
      <c t="str" s="348" r="AJ249">
        <f>IF((AK$15=TRUE),IF(ISNUMBER(Profile!Y277),IF(ISNUMBER(Profile!Y278),(((X249-((F$63/2)*COS(RADIANS(Profile!Y278))))+(X249-((F$63/2)*COS(RADIANS(Profile!Y277)))))/2),(X249-((F$63/2)*COS(RADIANS(Profile!Y277))))),AJ248),0)</f>
        <v>#VALUE!:notNumber:For input string: "---"</v>
      </c>
      <c t="str" s="799" r="AK249">
        <f>IF((AK$15=TRUE),IF(ISNUMBER(Profile!Y277),IF(ISNUMBER(Profile!Y278),(((Y249+((F$63/2)*SIN(RADIANS(Profile!Y278))))+(Y249+((F$63/2)*SIN(RADIANS(Profile!Y277)))))/2),(Y249+((F$63/2)*SIN(RADIANS(Profile!Y277))))),AK248),0)</f>
        <v>#VALUE!:notNumber:For input string: "---"</v>
      </c>
      <c s="51" r="AL249"/>
      <c s="125" r="AM249"/>
    </row>
    <row r="250">
      <c s="125" r="A250"/>
      <c s="125" r="B250"/>
      <c s="125" r="C250"/>
      <c s="125" r="D250"/>
      <c s="125" r="E250"/>
      <c s="125" r="F250"/>
      <c s="125" r="G250"/>
      <c s="125" r="H250"/>
      <c s="125" r="I250"/>
      <c s="125" r="J250"/>
      <c s="125" r="K250"/>
      <c s="125" r="L250"/>
      <c s="125" r="M250"/>
      <c s="125" r="N250"/>
      <c s="125" r="O250"/>
      <c s="125" r="P250"/>
      <c s="125" r="Q250"/>
      <c s="125" r="R250"/>
      <c s="125" r="S250"/>
      <c s="822" r="T250"/>
      <c t="str" s="309" r="U250">
        <f>IF((Profile!L278&gt;0),Profile!L278,"")</f>
        <v/>
      </c>
      <c t="str" s="861" r="V250">
        <f>IF((Profile!O278&gt;0),Profile!O278,"---")</f>
        <v>---</v>
      </c>
      <c t="str" s="861" r="W250">
        <f>IF((Profile!Y278=0),IF((Profile!Y277=0),"---",IF((Profile!Y279=0),"---",Profile!Y278)),Profile!Y278)</f>
        <v>---</v>
      </c>
      <c s="239" r="X250">
        <f>AB250+X249</f>
        <v>0</v>
      </c>
      <c s="796" r="Y250">
        <f>AC250+Y249</f>
        <v>0</v>
      </c>
      <c s="702" r="Z250"/>
      <c s="289" r="AA250">
        <f>IF(Profile!Y278,IF((Profile!O278=0),0,(Profile!O278-MAX(Profile!O$44:O277))),0)</f>
        <v>0</v>
      </c>
      <c s="605" r="AB250">
        <f>SIN(RADIANS(Profile!Y278))*AA250</f>
        <v>0</v>
      </c>
      <c s="605" r="AC250">
        <f>COS(RADIANS(Profile!Y278))*AA250</f>
        <v>0</v>
      </c>
      <c s="348" r="AD250">
        <f>IF((AJ$15=TRUE),X250,NA())</f>
        <v>0</v>
      </c>
      <c s="348" r="AE250">
        <f>IF((AJ$15=TRUE),Y250,NA())</f>
        <v>0</v>
      </c>
      <c t="str" s="348" r="AF250">
        <f>IF(Profile!L278,Y250,NA())</f>
        <v>#N/A:explicit</v>
      </c>
      <c s="348" r="AG250">
        <f>Profile!T278*E$40</f>
        <v>0</v>
      </c>
      <c t="str" s="348" r="AH250">
        <f>IF((AK$15=TRUE),IF(ISNUMBER(Profile!Y278),IF(ISNUMBER(Profile!Y279),(((X250+((F$63/2)*COS(RADIANS(Profile!Y279))))+(X250+((F$63/2)*COS(RADIANS(Profile!Y278)))))/2),(X250+((F$63/2)*COS(RADIANS(Profile!Y278))))),AH249),0)</f>
        <v>#VALUE!:notNumber:For input string: "---"</v>
      </c>
      <c t="str" s="348" r="AI250">
        <f>IF((AK$15=TRUE),IF(ISNUMBER(Profile!Y278),IF(ISNUMBER(Profile!Y279),(((Y250-((F$63/2)*SIN(RADIANS(Profile!Y279))))+(Y250-((F$63/2)*SIN(RADIANS(Profile!Y278)))))/2),(Y250-((F$63/2)*SIN(RADIANS(Profile!Y278))))),AI249),0)</f>
        <v>#VALUE!:notNumber:For input string: "---"</v>
      </c>
      <c t="str" s="348" r="AJ250">
        <f>IF((AK$15=TRUE),IF(ISNUMBER(Profile!Y278),IF(ISNUMBER(Profile!Y279),(((X250-((F$63/2)*COS(RADIANS(Profile!Y279))))+(X250-((F$63/2)*COS(RADIANS(Profile!Y278)))))/2),(X250-((F$63/2)*COS(RADIANS(Profile!Y278))))),AJ249),0)</f>
        <v>#VALUE!:notNumber:For input string: "---"</v>
      </c>
      <c t="str" s="799" r="AK250">
        <f>IF((AK$15=TRUE),IF(ISNUMBER(Profile!Y278),IF(ISNUMBER(Profile!Y279),(((Y250+((F$63/2)*SIN(RADIANS(Profile!Y279))))+(Y250+((F$63/2)*SIN(RADIANS(Profile!Y278)))))/2),(Y250+((F$63/2)*SIN(RADIANS(Profile!Y278))))),AK249),0)</f>
        <v>#VALUE!:notNumber:For input string: "---"</v>
      </c>
      <c s="51" r="AL250"/>
      <c s="125" r="AM250"/>
    </row>
    <row r="251">
      <c s="125" r="A251"/>
      <c s="125" r="B251"/>
      <c s="125" r="C251"/>
      <c s="125" r="D251"/>
      <c s="125" r="E251"/>
      <c s="125" r="F251"/>
      <c s="125" r="G251"/>
      <c s="125" r="H251"/>
      <c s="125" r="I251"/>
      <c s="125" r="J251"/>
      <c s="125" r="K251"/>
      <c s="125" r="L251"/>
      <c s="125" r="M251"/>
      <c s="125" r="N251"/>
      <c s="125" r="O251"/>
      <c s="125" r="P251"/>
      <c s="125" r="Q251"/>
      <c s="125" r="R251"/>
      <c s="125" r="S251"/>
      <c s="822" r="T251"/>
      <c t="str" s="309" r="U251">
        <f>IF((Profile!L279&gt;0),Profile!L279,"")</f>
        <v/>
      </c>
      <c t="str" s="861" r="V251">
        <f>IF((Profile!O279&gt;0),Profile!O279,"---")</f>
        <v>---</v>
      </c>
      <c t="str" s="861" r="W251">
        <f>IF((Profile!Y279=0),IF((Profile!Y278=0),"---",IF((Profile!Y280=0),"---",Profile!Y279)),Profile!Y279)</f>
        <v>---</v>
      </c>
      <c s="239" r="X251">
        <f>AB251+X250</f>
        <v>0</v>
      </c>
      <c s="796" r="Y251">
        <f>AC251+Y250</f>
        <v>0</v>
      </c>
      <c s="702" r="Z251"/>
      <c s="289" r="AA251">
        <f>IF(Profile!Y279,IF((Profile!O279=0),0,(Profile!O279-MAX(Profile!O$44:O278))),0)</f>
        <v>0</v>
      </c>
      <c s="605" r="AB251">
        <f>SIN(RADIANS(Profile!Y279))*AA251</f>
        <v>0</v>
      </c>
      <c s="605" r="AC251">
        <f>COS(RADIANS(Profile!Y279))*AA251</f>
        <v>0</v>
      </c>
      <c s="348" r="AD251">
        <f>IF((AJ$15=TRUE),X251,NA())</f>
        <v>0</v>
      </c>
      <c s="348" r="AE251">
        <f>IF((AJ$15=TRUE),Y251,NA())</f>
        <v>0</v>
      </c>
      <c t="str" s="348" r="AF251">
        <f>IF(Profile!L279,Y251,NA())</f>
        <v>#N/A:explicit</v>
      </c>
      <c s="348" r="AG251">
        <f>Profile!T279*E$40</f>
        <v>0</v>
      </c>
      <c t="str" s="348" r="AH251">
        <f>IF((AK$15=TRUE),IF(ISNUMBER(Profile!Y279),IF(ISNUMBER(Profile!Y280),(((X251+((F$63/2)*COS(RADIANS(Profile!Y280))))+(X251+((F$63/2)*COS(RADIANS(Profile!Y279)))))/2),(X251+((F$63/2)*COS(RADIANS(Profile!Y279))))),AH250),0)</f>
        <v>#VALUE!:notNumber:For input string: "---"</v>
      </c>
      <c t="str" s="348" r="AI251">
        <f>IF((AK$15=TRUE),IF(ISNUMBER(Profile!Y279),IF(ISNUMBER(Profile!Y280),(((Y251-((F$63/2)*SIN(RADIANS(Profile!Y280))))+(Y251-((F$63/2)*SIN(RADIANS(Profile!Y279)))))/2),(Y251-((F$63/2)*SIN(RADIANS(Profile!Y279))))),AI250),0)</f>
        <v>#VALUE!:notNumber:For input string: "---"</v>
      </c>
      <c t="str" s="348" r="AJ251">
        <f>IF((AK$15=TRUE),IF(ISNUMBER(Profile!Y279),IF(ISNUMBER(Profile!Y280),(((X251-((F$63/2)*COS(RADIANS(Profile!Y280))))+(X251-((F$63/2)*COS(RADIANS(Profile!Y279)))))/2),(X251-((F$63/2)*COS(RADIANS(Profile!Y279))))),AJ250),0)</f>
        <v>#VALUE!:notNumber:For input string: "---"</v>
      </c>
      <c t="str" s="799" r="AK251">
        <f>IF((AK$15=TRUE),IF(ISNUMBER(Profile!Y279),IF(ISNUMBER(Profile!Y280),(((Y251+((F$63/2)*SIN(RADIANS(Profile!Y280))))+(Y251+((F$63/2)*SIN(RADIANS(Profile!Y279)))))/2),(Y251+((F$63/2)*SIN(RADIANS(Profile!Y279))))),AK250),0)</f>
        <v>#VALUE!:notNumber:For input string: "---"</v>
      </c>
      <c s="51" r="AL251"/>
      <c s="125" r="AM251"/>
    </row>
    <row r="252">
      <c s="125" r="A252"/>
      <c s="125" r="B252"/>
      <c s="125" r="C252"/>
      <c s="125" r="D252"/>
      <c s="125" r="E252"/>
      <c s="125" r="F252"/>
      <c s="125" r="G252"/>
      <c s="125" r="H252"/>
      <c s="125" r="I252"/>
      <c s="125" r="J252"/>
      <c s="125" r="K252"/>
      <c s="125" r="L252"/>
      <c s="125" r="M252"/>
      <c s="125" r="N252"/>
      <c s="125" r="O252"/>
      <c s="125" r="P252"/>
      <c s="125" r="Q252"/>
      <c s="125" r="R252"/>
      <c s="125" r="S252"/>
      <c s="822" r="T252"/>
      <c t="str" s="309" r="U252">
        <f>IF((Profile!L280&gt;0),Profile!L280,"")</f>
        <v/>
      </c>
      <c t="str" s="861" r="V252">
        <f>IF((Profile!O280&gt;0),Profile!O280,"---")</f>
        <v>---</v>
      </c>
      <c t="str" s="861" r="W252">
        <f>IF((Profile!Y280=0),IF((Profile!Y279=0),"---",IF((Profile!Y281=0),"---",Profile!Y280)),Profile!Y280)</f>
        <v>---</v>
      </c>
      <c s="239" r="X252">
        <f>AB252+X251</f>
        <v>0</v>
      </c>
      <c s="796" r="Y252">
        <f>AC252+Y251</f>
        <v>0</v>
      </c>
      <c s="702" r="Z252"/>
      <c s="289" r="AA252">
        <f>IF(Profile!Y280,IF((Profile!O280=0),0,(Profile!O280-MAX(Profile!O$44:O279))),0)</f>
        <v>0</v>
      </c>
      <c s="605" r="AB252">
        <f>SIN(RADIANS(Profile!Y280))*AA252</f>
        <v>0</v>
      </c>
      <c s="605" r="AC252">
        <f>COS(RADIANS(Profile!Y280))*AA252</f>
        <v>0</v>
      </c>
      <c s="348" r="AD252">
        <f>IF((AJ$15=TRUE),X252,NA())</f>
        <v>0</v>
      </c>
      <c s="348" r="AE252">
        <f>IF((AJ$15=TRUE),Y252,NA())</f>
        <v>0</v>
      </c>
      <c t="str" s="348" r="AF252">
        <f>IF(Profile!L280,Y252,NA())</f>
        <v>#N/A:explicit</v>
      </c>
      <c s="348" r="AG252">
        <f>Profile!T280*E$40</f>
        <v>0</v>
      </c>
      <c t="str" s="348" r="AH252">
        <f>IF((AK$15=TRUE),IF(ISNUMBER(Profile!Y280),IF(ISNUMBER(Profile!Y281),(((X252+((F$63/2)*COS(RADIANS(Profile!Y281))))+(X252+((F$63/2)*COS(RADIANS(Profile!Y280)))))/2),(X252+((F$63/2)*COS(RADIANS(Profile!Y280))))),AH251),0)</f>
        <v>#VALUE!:notNumber:For input string: "---"</v>
      </c>
      <c t="str" s="348" r="AI252">
        <f>IF((AK$15=TRUE),IF(ISNUMBER(Profile!Y280),IF(ISNUMBER(Profile!Y281),(((Y252-((F$63/2)*SIN(RADIANS(Profile!Y281))))+(Y252-((F$63/2)*SIN(RADIANS(Profile!Y280)))))/2),(Y252-((F$63/2)*SIN(RADIANS(Profile!Y280))))),AI251),0)</f>
        <v>#VALUE!:notNumber:For input string: "---"</v>
      </c>
      <c t="str" s="348" r="AJ252">
        <f>IF((AK$15=TRUE),IF(ISNUMBER(Profile!Y280),IF(ISNUMBER(Profile!Y281),(((X252-((F$63/2)*COS(RADIANS(Profile!Y281))))+(X252-((F$63/2)*COS(RADIANS(Profile!Y280)))))/2),(X252-((F$63/2)*COS(RADIANS(Profile!Y280))))),AJ251),0)</f>
        <v>#VALUE!:notNumber:For input string: "---"</v>
      </c>
      <c t="str" s="799" r="AK252">
        <f>IF((AK$15=TRUE),IF(ISNUMBER(Profile!Y280),IF(ISNUMBER(Profile!Y281),(((Y252+((F$63/2)*SIN(RADIANS(Profile!Y281))))+(Y252+((F$63/2)*SIN(RADIANS(Profile!Y280)))))/2),(Y252+((F$63/2)*SIN(RADIANS(Profile!Y280))))),AK251),0)</f>
        <v>#VALUE!:notNumber:For input string: "---"</v>
      </c>
      <c s="51" r="AL252"/>
      <c s="125" r="AM252"/>
    </row>
    <row r="253">
      <c s="125" r="A253"/>
      <c s="125" r="B253"/>
      <c s="125" r="C253"/>
      <c s="125" r="D253"/>
      <c s="125" r="E253"/>
      <c s="125" r="F253"/>
      <c s="125" r="G253"/>
      <c s="125" r="H253"/>
      <c s="125" r="I253"/>
      <c s="125" r="J253"/>
      <c s="125" r="K253"/>
      <c s="125" r="L253"/>
      <c s="125" r="M253"/>
      <c s="125" r="N253"/>
      <c s="125" r="O253"/>
      <c s="125" r="P253"/>
      <c s="125" r="Q253"/>
      <c s="125" r="R253"/>
      <c s="125" r="S253"/>
      <c s="822" r="T253"/>
      <c t="str" s="309" r="U253">
        <f>IF((Profile!L281&gt;0),Profile!L281,"")</f>
        <v/>
      </c>
      <c t="str" s="861" r="V253">
        <f>IF((Profile!O281&gt;0),Profile!O281,"---")</f>
        <v>---</v>
      </c>
      <c t="str" s="861" r="W253">
        <f>IF((Profile!Y281=0),IF((Profile!Y280=0),"---",IF((Profile!Y282=0),"---",Profile!Y281)),Profile!Y281)</f>
        <v>---</v>
      </c>
      <c s="239" r="X253">
        <f>AB253+X252</f>
        <v>0</v>
      </c>
      <c s="796" r="Y253">
        <f>AC253+Y252</f>
        <v>0</v>
      </c>
      <c s="702" r="Z253"/>
      <c s="289" r="AA253">
        <f>IF(Profile!Y281,IF((Profile!O281=0),0,(Profile!O281-MAX(Profile!O$44:O280))),0)</f>
        <v>0</v>
      </c>
      <c s="605" r="AB253">
        <f>SIN(RADIANS(Profile!Y281))*AA253</f>
        <v>0</v>
      </c>
      <c s="605" r="AC253">
        <f>COS(RADIANS(Profile!Y281))*AA253</f>
        <v>0</v>
      </c>
      <c s="348" r="AD253">
        <f>IF((AJ$15=TRUE),X253,NA())</f>
        <v>0</v>
      </c>
      <c s="348" r="AE253">
        <f>IF((AJ$15=TRUE),Y253,NA())</f>
        <v>0</v>
      </c>
      <c t="str" s="348" r="AF253">
        <f>IF(Profile!L281,Y253,NA())</f>
        <v>#N/A:explicit</v>
      </c>
      <c s="348" r="AG253">
        <f>Profile!T281*E$40</f>
        <v>0</v>
      </c>
      <c t="str" s="348" r="AH253">
        <f>IF((AK$15=TRUE),IF(ISNUMBER(Profile!Y281),IF(ISNUMBER(Profile!Y282),(((X253+((F$63/2)*COS(RADIANS(Profile!Y282))))+(X253+((F$63/2)*COS(RADIANS(Profile!Y281)))))/2),(X253+((F$63/2)*COS(RADIANS(Profile!Y281))))),AH252),0)</f>
        <v>#VALUE!:notNumber:For input string: "---"</v>
      </c>
      <c t="str" s="348" r="AI253">
        <f>IF((AK$15=TRUE),IF(ISNUMBER(Profile!Y281),IF(ISNUMBER(Profile!Y282),(((Y253-((F$63/2)*SIN(RADIANS(Profile!Y282))))+(Y253-((F$63/2)*SIN(RADIANS(Profile!Y281)))))/2),(Y253-((F$63/2)*SIN(RADIANS(Profile!Y281))))),AI252),0)</f>
        <v>#VALUE!:notNumber:For input string: "---"</v>
      </c>
      <c t="str" s="348" r="AJ253">
        <f>IF((AK$15=TRUE),IF(ISNUMBER(Profile!Y281),IF(ISNUMBER(Profile!Y282),(((X253-((F$63/2)*COS(RADIANS(Profile!Y282))))+(X253-((F$63/2)*COS(RADIANS(Profile!Y281)))))/2),(X253-((F$63/2)*COS(RADIANS(Profile!Y281))))),AJ252),0)</f>
        <v>#VALUE!:notNumber:For input string: "---"</v>
      </c>
      <c t="str" s="799" r="AK253">
        <f>IF((AK$15=TRUE),IF(ISNUMBER(Profile!Y281),IF(ISNUMBER(Profile!Y282),(((Y253+((F$63/2)*SIN(RADIANS(Profile!Y282))))+(Y253+((F$63/2)*SIN(RADIANS(Profile!Y281)))))/2),(Y253+((F$63/2)*SIN(RADIANS(Profile!Y281))))),AK252),0)</f>
        <v>#VALUE!:notNumber:For input string: "---"</v>
      </c>
      <c s="51" r="AL253"/>
      <c s="125" r="AM253"/>
    </row>
    <row r="254">
      <c s="125" r="A254"/>
      <c s="125" r="B254"/>
      <c s="125" r="C254"/>
      <c s="125" r="D254"/>
      <c s="125" r="E254"/>
      <c s="125" r="F254"/>
      <c s="125" r="G254"/>
      <c s="125" r="H254"/>
      <c s="125" r="I254"/>
      <c s="125" r="J254"/>
      <c s="125" r="K254"/>
      <c s="125" r="L254"/>
      <c s="125" r="M254"/>
      <c s="125" r="N254"/>
      <c s="125" r="O254"/>
      <c s="125" r="P254"/>
      <c s="125" r="Q254"/>
      <c s="125" r="R254"/>
      <c s="125" r="S254"/>
      <c s="822" r="T254"/>
      <c t="str" s="309" r="U254">
        <f>IF((Profile!L282&gt;0),Profile!L282,"")</f>
        <v/>
      </c>
      <c t="str" s="861" r="V254">
        <f>IF((Profile!O282&gt;0),Profile!O282,"---")</f>
        <v>---</v>
      </c>
      <c t="str" s="861" r="W254">
        <f>IF((Profile!Y282=0),IF((Profile!Y281=0),"---",IF((Profile!Y283=0),"---",Profile!Y282)),Profile!Y282)</f>
        <v>---</v>
      </c>
      <c s="239" r="X254">
        <f>AB254+X253</f>
        <v>0</v>
      </c>
      <c s="796" r="Y254">
        <f>AC254+Y253</f>
        <v>0</v>
      </c>
      <c s="702" r="Z254"/>
      <c s="289" r="AA254">
        <f>IF(Profile!Y282,IF((Profile!O282=0),0,(Profile!O282-MAX(Profile!O$44:O281))),0)</f>
        <v>0</v>
      </c>
      <c s="605" r="AB254">
        <f>SIN(RADIANS(Profile!Y282))*AA254</f>
        <v>0</v>
      </c>
      <c s="605" r="AC254">
        <f>COS(RADIANS(Profile!Y282))*AA254</f>
        <v>0</v>
      </c>
      <c s="348" r="AD254">
        <f>IF((AJ$15=TRUE),X254,NA())</f>
        <v>0</v>
      </c>
      <c s="348" r="AE254">
        <f>IF((AJ$15=TRUE),Y254,NA())</f>
        <v>0</v>
      </c>
      <c t="str" s="348" r="AF254">
        <f>IF(Profile!L282,Y254,NA())</f>
        <v>#N/A:explicit</v>
      </c>
      <c s="348" r="AG254">
        <f>Profile!T282*E$40</f>
        <v>0</v>
      </c>
      <c t="str" s="348" r="AH254">
        <f>IF((AK$15=TRUE),IF(ISNUMBER(Profile!Y282),IF(ISNUMBER(Profile!Y283),(((X254+((F$63/2)*COS(RADIANS(Profile!Y283))))+(X254+((F$63/2)*COS(RADIANS(Profile!Y282)))))/2),(X254+((F$63/2)*COS(RADIANS(Profile!Y282))))),AH253),0)</f>
        <v>#VALUE!:notNumber:For input string: "---"</v>
      </c>
      <c t="str" s="348" r="AI254">
        <f>IF((AK$15=TRUE),IF(ISNUMBER(Profile!Y282),IF(ISNUMBER(Profile!Y283),(((Y254-((F$63/2)*SIN(RADIANS(Profile!Y283))))+(Y254-((F$63/2)*SIN(RADIANS(Profile!Y282)))))/2),(Y254-((F$63/2)*SIN(RADIANS(Profile!Y282))))),AI253),0)</f>
        <v>#VALUE!:notNumber:For input string: "---"</v>
      </c>
      <c t="str" s="348" r="AJ254">
        <f>IF((AK$15=TRUE),IF(ISNUMBER(Profile!Y282),IF(ISNUMBER(Profile!Y283),(((X254-((F$63/2)*COS(RADIANS(Profile!Y283))))+(X254-((F$63/2)*COS(RADIANS(Profile!Y282)))))/2),(X254-((F$63/2)*COS(RADIANS(Profile!Y282))))),AJ253),0)</f>
        <v>#VALUE!:notNumber:For input string: "---"</v>
      </c>
      <c t="str" s="799" r="AK254">
        <f>IF((AK$15=TRUE),IF(ISNUMBER(Profile!Y282),IF(ISNUMBER(Profile!Y283),(((Y254+((F$63/2)*SIN(RADIANS(Profile!Y283))))+(Y254+((F$63/2)*SIN(RADIANS(Profile!Y282)))))/2),(Y254+((F$63/2)*SIN(RADIANS(Profile!Y282))))),AK253),0)</f>
        <v>#VALUE!:notNumber:For input string: "---"</v>
      </c>
      <c s="51" r="AL254"/>
      <c s="125" r="AM254"/>
    </row>
    <row r="255">
      <c s="125" r="A255"/>
      <c s="125" r="B255"/>
      <c s="125" r="C255"/>
      <c s="125" r="D255"/>
      <c s="125" r="E255"/>
      <c s="125" r="F255"/>
      <c s="125" r="G255"/>
      <c s="125" r="H255"/>
      <c s="125" r="I255"/>
      <c s="125" r="J255"/>
      <c s="125" r="K255"/>
      <c s="125" r="L255"/>
      <c s="125" r="M255"/>
      <c s="125" r="N255"/>
      <c s="125" r="O255"/>
      <c s="125" r="P255"/>
      <c s="125" r="Q255"/>
      <c s="125" r="R255"/>
      <c s="125" r="S255"/>
      <c s="822" r="T255"/>
      <c t="str" s="309" r="U255">
        <f>IF((Profile!L283&gt;0),Profile!L283,"")</f>
        <v/>
      </c>
      <c t="str" s="861" r="V255">
        <f>IF((Profile!O283&gt;0),Profile!O283,"---")</f>
        <v>---</v>
      </c>
      <c t="str" s="861" r="W255">
        <f>IF((Profile!Y283=0),IF((Profile!Y282=0),"---",IF((Profile!Y284=0),"---",Profile!Y283)),Profile!Y283)</f>
        <v>---</v>
      </c>
      <c s="239" r="X255">
        <f>AB255+X254</f>
        <v>0</v>
      </c>
      <c s="796" r="Y255">
        <f>AC255+Y254</f>
        <v>0</v>
      </c>
      <c s="702" r="Z255"/>
      <c s="289" r="AA255">
        <f>IF(Profile!Y283,IF((Profile!O283=0),0,(Profile!O283-MAX(Profile!O$44:O282))),0)</f>
        <v>0</v>
      </c>
      <c s="605" r="AB255">
        <f>SIN(RADIANS(Profile!Y283))*AA255</f>
        <v>0</v>
      </c>
      <c s="605" r="AC255">
        <f>COS(RADIANS(Profile!Y283))*AA255</f>
        <v>0</v>
      </c>
      <c s="348" r="AD255">
        <f>IF((AJ$15=TRUE),X255,NA())</f>
        <v>0</v>
      </c>
      <c s="348" r="AE255">
        <f>IF((AJ$15=TRUE),Y255,NA())</f>
        <v>0</v>
      </c>
      <c t="str" s="348" r="AF255">
        <f>IF(Profile!L283,Y255,NA())</f>
        <v>#N/A:explicit</v>
      </c>
      <c s="348" r="AG255">
        <f>Profile!T283*E$40</f>
        <v>0</v>
      </c>
      <c t="str" s="348" r="AH255">
        <f>IF((AK$15=TRUE),IF(ISNUMBER(Profile!Y283),IF(ISNUMBER(Profile!Y284),(((X255+((F$63/2)*COS(RADIANS(Profile!Y284))))+(X255+((F$63/2)*COS(RADIANS(Profile!Y283)))))/2),(X255+((F$63/2)*COS(RADIANS(Profile!Y283))))),AH254),0)</f>
        <v>#VALUE!:notNumber:For input string: "---"</v>
      </c>
      <c t="str" s="348" r="AI255">
        <f>IF((AK$15=TRUE),IF(ISNUMBER(Profile!Y283),IF(ISNUMBER(Profile!Y284),(((Y255-((F$63/2)*SIN(RADIANS(Profile!Y284))))+(Y255-((F$63/2)*SIN(RADIANS(Profile!Y283)))))/2),(Y255-((F$63/2)*SIN(RADIANS(Profile!Y283))))),AI254),0)</f>
        <v>#VALUE!:notNumber:For input string: "---"</v>
      </c>
      <c t="str" s="348" r="AJ255">
        <f>IF((AK$15=TRUE),IF(ISNUMBER(Profile!Y283),IF(ISNUMBER(Profile!Y284),(((X255-((F$63/2)*COS(RADIANS(Profile!Y284))))+(X255-((F$63/2)*COS(RADIANS(Profile!Y283)))))/2),(X255-((F$63/2)*COS(RADIANS(Profile!Y283))))),AJ254),0)</f>
        <v>#VALUE!:notNumber:For input string: "---"</v>
      </c>
      <c t="str" s="799" r="AK255">
        <f>IF((AK$15=TRUE),IF(ISNUMBER(Profile!Y283),IF(ISNUMBER(Profile!Y284),(((Y255+((F$63/2)*SIN(RADIANS(Profile!Y284))))+(Y255+((F$63/2)*SIN(RADIANS(Profile!Y283)))))/2),(Y255+((F$63/2)*SIN(RADIANS(Profile!Y283))))),AK254),0)</f>
        <v>#VALUE!:notNumber:For input string: "---"</v>
      </c>
      <c s="51" r="AL255"/>
      <c s="125" r="AM255"/>
    </row>
    <row r="256">
      <c s="125" r="A256"/>
      <c s="125" r="B256"/>
      <c s="125" r="C256"/>
      <c s="125" r="D256"/>
      <c s="125" r="E256"/>
      <c s="125" r="F256"/>
      <c s="125" r="G256"/>
      <c s="125" r="H256"/>
      <c s="125" r="I256"/>
      <c s="125" r="J256"/>
      <c s="125" r="K256"/>
      <c s="125" r="L256"/>
      <c s="125" r="M256"/>
      <c s="125" r="N256"/>
      <c s="125" r="O256"/>
      <c s="125" r="P256"/>
      <c s="125" r="Q256"/>
      <c s="125" r="R256"/>
      <c s="125" r="S256"/>
      <c s="822" r="T256"/>
      <c t="str" s="309" r="U256">
        <f>IF((Profile!L284&gt;0),Profile!L284,"")</f>
        <v/>
      </c>
      <c t="str" s="861" r="V256">
        <f>IF((Profile!O284&gt;0),Profile!O284,"---")</f>
        <v>---</v>
      </c>
      <c t="str" s="861" r="W256">
        <f>IF((Profile!Y284=0),IF((Profile!Y283=0),"---",IF((Profile!Y285=0),"---",Profile!Y284)),Profile!Y284)</f>
        <v>---</v>
      </c>
      <c s="239" r="X256">
        <f>AB256+X255</f>
        <v>0</v>
      </c>
      <c s="796" r="Y256">
        <f>AC256+Y255</f>
        <v>0</v>
      </c>
      <c s="702" r="Z256"/>
      <c s="289" r="AA256">
        <f>IF(Profile!Y284,IF((Profile!O284=0),0,(Profile!O284-MAX(Profile!O$44:O283))),0)</f>
        <v>0</v>
      </c>
      <c s="605" r="AB256">
        <f>SIN(RADIANS(Profile!Y284))*AA256</f>
        <v>0</v>
      </c>
      <c s="605" r="AC256">
        <f>COS(RADIANS(Profile!Y284))*AA256</f>
        <v>0</v>
      </c>
      <c s="348" r="AD256">
        <f>IF((AJ$15=TRUE),X256,NA())</f>
        <v>0</v>
      </c>
      <c s="348" r="AE256">
        <f>IF((AJ$15=TRUE),Y256,NA())</f>
        <v>0</v>
      </c>
      <c t="str" s="348" r="AF256">
        <f>IF(Profile!L284,Y256,NA())</f>
        <v>#N/A:explicit</v>
      </c>
      <c s="348" r="AG256">
        <f>Profile!T284*E$40</f>
        <v>0</v>
      </c>
      <c t="str" s="348" r="AH256">
        <f>IF((AK$15=TRUE),IF(ISNUMBER(Profile!Y284),IF(ISNUMBER(Profile!Y285),(((X256+((F$63/2)*COS(RADIANS(Profile!Y285))))+(X256+((F$63/2)*COS(RADIANS(Profile!Y284)))))/2),(X256+((F$63/2)*COS(RADIANS(Profile!Y284))))),AH255),0)</f>
        <v>#VALUE!:notNumber:For input string: "---"</v>
      </c>
      <c t="str" s="348" r="AI256">
        <f>IF((AK$15=TRUE),IF(ISNUMBER(Profile!Y284),IF(ISNUMBER(Profile!Y285),(((Y256-((F$63/2)*SIN(RADIANS(Profile!Y285))))+(Y256-((F$63/2)*SIN(RADIANS(Profile!Y284)))))/2),(Y256-((F$63/2)*SIN(RADIANS(Profile!Y284))))),AI255),0)</f>
        <v>#VALUE!:notNumber:For input string: "---"</v>
      </c>
      <c t="str" s="348" r="AJ256">
        <f>IF((AK$15=TRUE),IF(ISNUMBER(Profile!Y284),IF(ISNUMBER(Profile!Y285),(((X256-((F$63/2)*COS(RADIANS(Profile!Y285))))+(X256-((F$63/2)*COS(RADIANS(Profile!Y284)))))/2),(X256-((F$63/2)*COS(RADIANS(Profile!Y284))))),AJ255),0)</f>
        <v>#VALUE!:notNumber:For input string: "---"</v>
      </c>
      <c t="str" s="799" r="AK256">
        <f>IF((AK$15=TRUE),IF(ISNUMBER(Profile!Y284),IF(ISNUMBER(Profile!Y285),(((Y256+((F$63/2)*SIN(RADIANS(Profile!Y285))))+(Y256+((F$63/2)*SIN(RADIANS(Profile!Y284)))))/2),(Y256+((F$63/2)*SIN(RADIANS(Profile!Y284))))),AK255),0)</f>
        <v>#VALUE!:notNumber:For input string: "---"</v>
      </c>
      <c s="51" r="AL256"/>
      <c s="125" r="AM256"/>
    </row>
    <row r="257">
      <c s="125" r="A257"/>
      <c s="125" r="B257"/>
      <c s="125" r="C257"/>
      <c s="125" r="D257"/>
      <c s="125" r="E257"/>
      <c s="125" r="F257"/>
      <c s="125" r="G257"/>
      <c s="125" r="H257"/>
      <c s="125" r="I257"/>
      <c s="125" r="J257"/>
      <c s="125" r="K257"/>
      <c s="125" r="L257"/>
      <c s="125" r="M257"/>
      <c s="125" r="N257"/>
      <c s="125" r="O257"/>
      <c s="125" r="P257"/>
      <c s="125" r="Q257"/>
      <c s="125" r="R257"/>
      <c s="125" r="S257"/>
      <c s="822" r="T257"/>
      <c t="str" s="309" r="U257">
        <f>IF((Profile!L285&gt;0),Profile!L285,"")</f>
        <v/>
      </c>
      <c t="str" s="861" r="V257">
        <f>IF((Profile!O285&gt;0),Profile!O285,"---")</f>
        <v>---</v>
      </c>
      <c t="str" s="861" r="W257">
        <f>IF((Profile!Y285=0),IF((Profile!Y284=0),"---",IF((Profile!Y286=0),"---",Profile!Y285)),Profile!Y285)</f>
        <v>---</v>
      </c>
      <c s="239" r="X257">
        <f>AB257+X256</f>
        <v>0</v>
      </c>
      <c s="796" r="Y257">
        <f>AC257+Y256</f>
        <v>0</v>
      </c>
      <c s="702" r="Z257"/>
      <c s="289" r="AA257">
        <f>IF(Profile!Y285,IF((Profile!O285=0),0,(Profile!O285-MAX(Profile!O$44:O284))),0)</f>
        <v>0</v>
      </c>
      <c s="605" r="AB257">
        <f>SIN(RADIANS(Profile!Y285))*AA257</f>
        <v>0</v>
      </c>
      <c s="605" r="AC257">
        <f>COS(RADIANS(Profile!Y285))*AA257</f>
        <v>0</v>
      </c>
      <c s="348" r="AD257">
        <f>IF((AJ$15=TRUE),X257,NA())</f>
        <v>0</v>
      </c>
      <c s="348" r="AE257">
        <f>IF((AJ$15=TRUE),Y257,NA())</f>
        <v>0</v>
      </c>
      <c t="str" s="348" r="AF257">
        <f>IF(Profile!L285,Y257,NA())</f>
        <v>#N/A:explicit</v>
      </c>
      <c s="348" r="AG257">
        <f>Profile!T285*E$40</f>
        <v>0</v>
      </c>
      <c t="str" s="348" r="AH257">
        <f>IF((AK$15=TRUE),IF(ISNUMBER(Profile!Y285),IF(ISNUMBER(Profile!Y286),(((X257+((F$63/2)*COS(RADIANS(Profile!Y286))))+(X257+((F$63/2)*COS(RADIANS(Profile!Y285)))))/2),(X257+((F$63/2)*COS(RADIANS(Profile!Y285))))),AH256),0)</f>
        <v>#VALUE!:notNumber:For input string: "---"</v>
      </c>
      <c t="str" s="348" r="AI257">
        <f>IF((AK$15=TRUE),IF(ISNUMBER(Profile!Y285),IF(ISNUMBER(Profile!Y286),(((Y257-((F$63/2)*SIN(RADIANS(Profile!Y286))))+(Y257-((F$63/2)*SIN(RADIANS(Profile!Y285)))))/2),(Y257-((F$63/2)*SIN(RADIANS(Profile!Y285))))),AI256),0)</f>
        <v>#VALUE!:notNumber:For input string: "---"</v>
      </c>
      <c t="str" s="348" r="AJ257">
        <f>IF((AK$15=TRUE),IF(ISNUMBER(Profile!Y285),IF(ISNUMBER(Profile!Y286),(((X257-((F$63/2)*COS(RADIANS(Profile!Y286))))+(X257-((F$63/2)*COS(RADIANS(Profile!Y285)))))/2),(X257-((F$63/2)*COS(RADIANS(Profile!Y285))))),AJ256),0)</f>
        <v>#VALUE!:notNumber:For input string: "---"</v>
      </c>
      <c t="str" s="799" r="AK257">
        <f>IF((AK$15=TRUE),IF(ISNUMBER(Profile!Y285),IF(ISNUMBER(Profile!Y286),(((Y257+((F$63/2)*SIN(RADIANS(Profile!Y286))))+(Y257+((F$63/2)*SIN(RADIANS(Profile!Y285)))))/2),(Y257+((F$63/2)*SIN(RADIANS(Profile!Y285))))),AK256),0)</f>
        <v>#VALUE!:notNumber:For input string: "---"</v>
      </c>
      <c s="51" r="AL257"/>
      <c s="125" r="AM257"/>
    </row>
    <row r="258">
      <c s="125" r="A258"/>
      <c s="125" r="B258"/>
      <c s="125" r="C258"/>
      <c s="125" r="D258"/>
      <c s="125" r="E258"/>
      <c s="125" r="F258"/>
      <c s="125" r="G258"/>
      <c s="125" r="H258"/>
      <c s="125" r="I258"/>
      <c s="125" r="J258"/>
      <c s="125" r="K258"/>
      <c s="125" r="L258"/>
      <c s="125" r="M258"/>
      <c s="125" r="N258"/>
      <c s="125" r="O258"/>
      <c s="125" r="P258"/>
      <c s="125" r="Q258"/>
      <c s="125" r="R258"/>
      <c s="125" r="S258"/>
      <c s="822" r="T258"/>
      <c t="str" s="309" r="U258">
        <f>IF((Profile!L286&gt;0),Profile!L286,"")</f>
        <v/>
      </c>
      <c t="str" s="861" r="V258">
        <f>IF((Profile!O286&gt;0),Profile!O286,"---")</f>
        <v>---</v>
      </c>
      <c t="str" s="861" r="W258">
        <f>IF((Profile!Y286=0),IF((Profile!Y285=0),"---",IF((Profile!Y287=0),"---",Profile!Y286)),Profile!Y286)</f>
        <v>---</v>
      </c>
      <c s="239" r="X258">
        <f>AB258+X257</f>
        <v>0</v>
      </c>
      <c s="796" r="Y258">
        <f>AC258+Y257</f>
        <v>0</v>
      </c>
      <c s="702" r="Z258"/>
      <c s="289" r="AA258">
        <f>IF(Profile!Y286,IF((Profile!O286=0),0,(Profile!O286-MAX(Profile!O$44:O285))),0)</f>
        <v>0</v>
      </c>
      <c s="605" r="AB258">
        <f>SIN(RADIANS(Profile!Y286))*AA258</f>
        <v>0</v>
      </c>
      <c s="605" r="AC258">
        <f>COS(RADIANS(Profile!Y286))*AA258</f>
        <v>0</v>
      </c>
      <c s="348" r="AD258">
        <f>IF((AJ$15=TRUE),X258,NA())</f>
        <v>0</v>
      </c>
      <c s="348" r="AE258">
        <f>IF((AJ$15=TRUE),Y258,NA())</f>
        <v>0</v>
      </c>
      <c t="str" s="348" r="AF258">
        <f>IF(Profile!L286,Y258,NA())</f>
        <v>#N/A:explicit</v>
      </c>
      <c s="348" r="AG258">
        <f>Profile!T286*E$40</f>
        <v>0</v>
      </c>
      <c t="str" s="348" r="AH258">
        <f>IF((AK$15=TRUE),IF(ISNUMBER(Profile!Y286),IF(ISNUMBER(Profile!Y287),(((X258+((F$63/2)*COS(RADIANS(Profile!Y287))))+(X258+((F$63/2)*COS(RADIANS(Profile!Y286)))))/2),(X258+((F$63/2)*COS(RADIANS(Profile!Y286))))),AH257),0)</f>
        <v>#VALUE!:notNumber:For input string: "---"</v>
      </c>
      <c t="str" s="348" r="AI258">
        <f>IF((AK$15=TRUE),IF(ISNUMBER(Profile!Y286),IF(ISNUMBER(Profile!Y287),(((Y258-((F$63/2)*SIN(RADIANS(Profile!Y287))))+(Y258-((F$63/2)*SIN(RADIANS(Profile!Y286)))))/2),(Y258-((F$63/2)*SIN(RADIANS(Profile!Y286))))),AI257),0)</f>
        <v>#VALUE!:notNumber:For input string: "---"</v>
      </c>
      <c t="str" s="348" r="AJ258">
        <f>IF((AK$15=TRUE),IF(ISNUMBER(Profile!Y286),IF(ISNUMBER(Profile!Y287),(((X258-((F$63/2)*COS(RADIANS(Profile!Y287))))+(X258-((F$63/2)*COS(RADIANS(Profile!Y286)))))/2),(X258-((F$63/2)*COS(RADIANS(Profile!Y286))))),AJ257),0)</f>
        <v>#VALUE!:notNumber:For input string: "---"</v>
      </c>
      <c t="str" s="799" r="AK258">
        <f>IF((AK$15=TRUE),IF(ISNUMBER(Profile!Y286),IF(ISNUMBER(Profile!Y287),(((Y258+((F$63/2)*SIN(RADIANS(Profile!Y287))))+(Y258+((F$63/2)*SIN(RADIANS(Profile!Y286)))))/2),(Y258+((F$63/2)*SIN(RADIANS(Profile!Y286))))),AK257),0)</f>
        <v>#VALUE!:notNumber:For input string: "---"</v>
      </c>
      <c s="51" r="AL258"/>
      <c s="125" r="AM258"/>
    </row>
    <row r="259">
      <c s="125" r="A259"/>
      <c s="125" r="B259"/>
      <c s="125" r="C259"/>
      <c s="125" r="D259"/>
      <c s="125" r="E259"/>
      <c s="125" r="F259"/>
      <c s="125" r="G259"/>
      <c s="125" r="H259"/>
      <c s="125" r="I259"/>
      <c s="125" r="J259"/>
      <c s="125" r="K259"/>
      <c s="125" r="L259"/>
      <c s="125" r="M259"/>
      <c s="125" r="N259"/>
      <c s="125" r="O259"/>
      <c s="125" r="P259"/>
      <c s="125" r="Q259"/>
      <c s="125" r="R259"/>
      <c s="125" r="S259"/>
      <c s="822" r="T259"/>
      <c t="str" s="309" r="U259">
        <f>IF((Profile!L287&gt;0),Profile!L287,"")</f>
        <v/>
      </c>
      <c t="str" s="861" r="V259">
        <f>IF((Profile!O287&gt;0),Profile!O287,"---")</f>
        <v>---</v>
      </c>
      <c t="str" s="861" r="W259">
        <f>IF((Profile!Y287=0),IF((Profile!Y286=0),"---",IF((Profile!Y288=0),"---",Profile!Y287)),Profile!Y287)</f>
        <v>---</v>
      </c>
      <c s="239" r="X259">
        <f>AB259+X258</f>
        <v>0</v>
      </c>
      <c s="796" r="Y259">
        <f>AC259+Y258</f>
        <v>0</v>
      </c>
      <c s="702" r="Z259"/>
      <c s="289" r="AA259">
        <f>IF(Profile!Y287,IF((Profile!O287=0),0,(Profile!O287-MAX(Profile!O$44:O286))),0)</f>
        <v>0</v>
      </c>
      <c s="605" r="AB259">
        <f>SIN(RADIANS(Profile!Y287))*AA259</f>
        <v>0</v>
      </c>
      <c s="605" r="AC259">
        <f>COS(RADIANS(Profile!Y287))*AA259</f>
        <v>0</v>
      </c>
      <c s="348" r="AD259">
        <f>IF((AJ$15=TRUE),X259,NA())</f>
        <v>0</v>
      </c>
      <c s="348" r="AE259">
        <f>IF((AJ$15=TRUE),Y259,NA())</f>
        <v>0</v>
      </c>
      <c t="str" s="348" r="AF259">
        <f>IF(Profile!L287,Y259,NA())</f>
        <v>#N/A:explicit</v>
      </c>
      <c s="348" r="AG259">
        <f>Profile!T287*E$40</f>
        <v>0</v>
      </c>
      <c t="str" s="348" r="AH259">
        <f>IF((AK$15=TRUE),IF(ISNUMBER(Profile!Y287),IF(ISNUMBER(Profile!Y288),(((X259+((F$63/2)*COS(RADIANS(Profile!Y288))))+(X259+((F$63/2)*COS(RADIANS(Profile!Y287)))))/2),(X259+((F$63/2)*COS(RADIANS(Profile!Y287))))),AH258),0)</f>
        <v>#VALUE!:notNumber:For input string: "---"</v>
      </c>
      <c t="str" s="348" r="AI259">
        <f>IF((AK$15=TRUE),IF(ISNUMBER(Profile!Y287),IF(ISNUMBER(Profile!Y288),(((Y259-((F$63/2)*SIN(RADIANS(Profile!Y288))))+(Y259-((F$63/2)*SIN(RADIANS(Profile!Y287)))))/2),(Y259-((F$63/2)*SIN(RADIANS(Profile!Y287))))),AI258),0)</f>
        <v>#VALUE!:notNumber:For input string: "---"</v>
      </c>
      <c t="str" s="348" r="AJ259">
        <f>IF((AK$15=TRUE),IF(ISNUMBER(Profile!Y287),IF(ISNUMBER(Profile!Y288),(((X259-((F$63/2)*COS(RADIANS(Profile!Y288))))+(X259-((F$63/2)*COS(RADIANS(Profile!Y287)))))/2),(X259-((F$63/2)*COS(RADIANS(Profile!Y287))))),AJ258),0)</f>
        <v>#VALUE!:notNumber:For input string: "---"</v>
      </c>
      <c t="str" s="799" r="AK259">
        <f>IF((AK$15=TRUE),IF(ISNUMBER(Profile!Y287),IF(ISNUMBER(Profile!Y288),(((Y259+((F$63/2)*SIN(RADIANS(Profile!Y288))))+(Y259+((F$63/2)*SIN(RADIANS(Profile!Y287)))))/2),(Y259+((F$63/2)*SIN(RADIANS(Profile!Y287))))),AK258),0)</f>
        <v>#VALUE!:notNumber:For input string: "---"</v>
      </c>
      <c s="51" r="AL259"/>
      <c s="125" r="AM259"/>
    </row>
    <row r="260">
      <c s="125" r="A260"/>
      <c s="125" r="B260"/>
      <c s="125" r="C260"/>
      <c s="125" r="D260"/>
      <c s="125" r="E260"/>
      <c s="125" r="F260"/>
      <c s="125" r="G260"/>
      <c s="125" r="H260"/>
      <c s="125" r="I260"/>
      <c s="125" r="J260"/>
      <c s="125" r="K260"/>
      <c s="125" r="L260"/>
      <c s="125" r="M260"/>
      <c s="125" r="N260"/>
      <c s="125" r="O260"/>
      <c s="125" r="P260"/>
      <c s="125" r="Q260"/>
      <c s="125" r="R260"/>
      <c s="125" r="S260"/>
      <c s="822" r="T260"/>
      <c t="str" s="309" r="U260">
        <f>IF((Profile!L288&gt;0),Profile!L288,"")</f>
        <v/>
      </c>
      <c t="str" s="861" r="V260">
        <f>IF((Profile!O288&gt;0),Profile!O288,"---")</f>
        <v>---</v>
      </c>
      <c t="str" s="861" r="W260">
        <f>IF((Profile!Y288=0),IF((Profile!Y287=0),"---",IF((Profile!Y289=0),"---",Profile!Y288)),Profile!Y288)</f>
        <v>---</v>
      </c>
      <c s="239" r="X260">
        <f>AB260+X259</f>
        <v>0</v>
      </c>
      <c s="796" r="Y260">
        <f>AC260+Y259</f>
        <v>0</v>
      </c>
      <c s="702" r="Z260"/>
      <c s="289" r="AA260">
        <f>IF(Profile!Y288,IF((Profile!O288=0),0,(Profile!O288-MAX(Profile!O$44:O287))),0)</f>
        <v>0</v>
      </c>
      <c s="605" r="AB260">
        <f>SIN(RADIANS(Profile!Y288))*AA260</f>
        <v>0</v>
      </c>
      <c s="605" r="AC260">
        <f>COS(RADIANS(Profile!Y288))*AA260</f>
        <v>0</v>
      </c>
      <c s="348" r="AD260">
        <f>IF((AJ$15=TRUE),X260,NA())</f>
        <v>0</v>
      </c>
      <c s="348" r="AE260">
        <f>IF((AJ$15=TRUE),Y260,NA())</f>
        <v>0</v>
      </c>
      <c t="str" s="348" r="AF260">
        <f>IF(Profile!L288,Y260,NA())</f>
        <v>#N/A:explicit</v>
      </c>
      <c s="348" r="AG260">
        <f>Profile!T288*E$40</f>
        <v>0</v>
      </c>
      <c t="str" s="348" r="AH260">
        <f>IF((AK$15=TRUE),IF(ISNUMBER(Profile!Y288),IF(ISNUMBER(Profile!Y289),(((X260+((F$63/2)*COS(RADIANS(Profile!Y289))))+(X260+((F$63/2)*COS(RADIANS(Profile!Y288)))))/2),(X260+((F$63/2)*COS(RADIANS(Profile!Y288))))),AH259),0)</f>
        <v>#VALUE!:notNumber:For input string: "---"</v>
      </c>
      <c t="str" s="348" r="AI260">
        <f>IF((AK$15=TRUE),IF(ISNUMBER(Profile!Y288),IF(ISNUMBER(Profile!Y289),(((Y260-((F$63/2)*SIN(RADIANS(Profile!Y289))))+(Y260-((F$63/2)*SIN(RADIANS(Profile!Y288)))))/2),(Y260-((F$63/2)*SIN(RADIANS(Profile!Y288))))),AI259),0)</f>
        <v>#VALUE!:notNumber:For input string: "---"</v>
      </c>
      <c t="str" s="348" r="AJ260">
        <f>IF((AK$15=TRUE),IF(ISNUMBER(Profile!Y288),IF(ISNUMBER(Profile!Y289),(((X260-((F$63/2)*COS(RADIANS(Profile!Y289))))+(X260-((F$63/2)*COS(RADIANS(Profile!Y288)))))/2),(X260-((F$63/2)*COS(RADIANS(Profile!Y288))))),AJ259),0)</f>
        <v>#VALUE!:notNumber:For input string: "---"</v>
      </c>
      <c t="str" s="799" r="AK260">
        <f>IF((AK$15=TRUE),IF(ISNUMBER(Profile!Y288),IF(ISNUMBER(Profile!Y289),(((Y260+((F$63/2)*SIN(RADIANS(Profile!Y289))))+(Y260+((F$63/2)*SIN(RADIANS(Profile!Y288)))))/2),(Y260+((F$63/2)*SIN(RADIANS(Profile!Y288))))),AK259),0)</f>
        <v>#VALUE!:notNumber:For input string: "---"</v>
      </c>
      <c s="51" r="AL260"/>
      <c s="125" r="AM260"/>
    </row>
    <row r="261">
      <c s="125" r="A261"/>
      <c s="125" r="B261"/>
      <c s="125" r="C261"/>
      <c s="125" r="D261"/>
      <c s="125" r="E261"/>
      <c s="125" r="F261"/>
      <c s="125" r="G261"/>
      <c s="125" r="H261"/>
      <c s="125" r="I261"/>
      <c s="125" r="J261"/>
      <c s="125" r="K261"/>
      <c s="125" r="L261"/>
      <c s="125" r="M261"/>
      <c s="125" r="N261"/>
      <c s="125" r="O261"/>
      <c s="125" r="P261"/>
      <c s="125" r="Q261"/>
      <c s="125" r="R261"/>
      <c s="125" r="S261"/>
      <c s="822" r="T261"/>
      <c t="str" s="309" r="U261">
        <f>IF((Profile!L289&gt;0),Profile!L289,"")</f>
        <v/>
      </c>
      <c t="str" s="861" r="V261">
        <f>IF((Profile!O289&gt;0),Profile!O289,"---")</f>
        <v>---</v>
      </c>
      <c t="str" s="861" r="W261">
        <f>IF((Profile!Y289=0),IF((Profile!Y288=0),"---",IF((Profile!Y290=0),"---",Profile!Y289)),Profile!Y289)</f>
        <v>---</v>
      </c>
      <c s="239" r="X261">
        <f>AB261+X260</f>
        <v>0</v>
      </c>
      <c s="796" r="Y261">
        <f>AC261+Y260</f>
        <v>0</v>
      </c>
      <c s="702" r="Z261"/>
      <c s="289" r="AA261">
        <f>IF(Profile!Y289,IF((Profile!O289=0),0,(Profile!O289-MAX(Profile!O$44:O288))),0)</f>
        <v>0</v>
      </c>
      <c s="605" r="AB261">
        <f>SIN(RADIANS(Profile!Y289))*AA261</f>
        <v>0</v>
      </c>
      <c s="605" r="AC261">
        <f>COS(RADIANS(Profile!Y289))*AA261</f>
        <v>0</v>
      </c>
      <c s="348" r="AD261">
        <f>IF((AJ$15=TRUE),X261,NA())</f>
        <v>0</v>
      </c>
      <c s="348" r="AE261">
        <f>IF((AJ$15=TRUE),Y261,NA())</f>
        <v>0</v>
      </c>
      <c t="str" s="348" r="AF261">
        <f>IF(Profile!L289,Y261,NA())</f>
        <v>#N/A:explicit</v>
      </c>
      <c s="348" r="AG261">
        <f>Profile!T289*E$40</f>
        <v>0</v>
      </c>
      <c t="str" s="348" r="AH261">
        <f>IF((AK$15=TRUE),IF(ISNUMBER(Profile!Y289),IF(ISNUMBER(Profile!Y290),(((X261+((F$63/2)*COS(RADIANS(Profile!Y290))))+(X261+((F$63/2)*COS(RADIANS(Profile!Y289)))))/2),(X261+((F$63/2)*COS(RADIANS(Profile!Y289))))),AH260),0)</f>
        <v>#VALUE!:notNumber:For input string: "---"</v>
      </c>
      <c t="str" s="348" r="AI261">
        <f>IF((AK$15=TRUE),IF(ISNUMBER(Profile!Y289),IF(ISNUMBER(Profile!Y290),(((Y261-((F$63/2)*SIN(RADIANS(Profile!Y290))))+(Y261-((F$63/2)*SIN(RADIANS(Profile!Y289)))))/2),(Y261-((F$63/2)*SIN(RADIANS(Profile!Y289))))),AI260),0)</f>
        <v>#VALUE!:notNumber:For input string: "---"</v>
      </c>
      <c t="str" s="348" r="AJ261">
        <f>IF((AK$15=TRUE),IF(ISNUMBER(Profile!Y289),IF(ISNUMBER(Profile!Y290),(((X261-((F$63/2)*COS(RADIANS(Profile!Y290))))+(X261-((F$63/2)*COS(RADIANS(Profile!Y289)))))/2),(X261-((F$63/2)*COS(RADIANS(Profile!Y289))))),AJ260),0)</f>
        <v>#VALUE!:notNumber:For input string: "---"</v>
      </c>
      <c t="str" s="799" r="AK261">
        <f>IF((AK$15=TRUE),IF(ISNUMBER(Profile!Y289),IF(ISNUMBER(Profile!Y290),(((Y261+((F$63/2)*SIN(RADIANS(Profile!Y290))))+(Y261+((F$63/2)*SIN(RADIANS(Profile!Y289)))))/2),(Y261+((F$63/2)*SIN(RADIANS(Profile!Y289))))),AK260),0)</f>
        <v>#VALUE!:notNumber:For input string: "---"</v>
      </c>
      <c s="51" r="AL261"/>
      <c s="125" r="AM261"/>
    </row>
    <row r="262">
      <c s="125" r="A262"/>
      <c s="125" r="B262"/>
      <c s="125" r="C262"/>
      <c s="125" r="D262"/>
      <c s="125" r="E262"/>
      <c s="125" r="F262"/>
      <c s="125" r="G262"/>
      <c s="125" r="H262"/>
      <c s="125" r="I262"/>
      <c s="125" r="J262"/>
      <c s="125" r="K262"/>
      <c s="125" r="L262"/>
      <c s="125" r="M262"/>
      <c s="125" r="N262"/>
      <c s="125" r="O262"/>
      <c s="125" r="P262"/>
      <c s="125" r="Q262"/>
      <c s="125" r="R262"/>
      <c s="125" r="S262"/>
      <c s="822" r="T262"/>
      <c t="str" s="309" r="U262">
        <f>IF((Profile!L290&gt;0),Profile!L290,"")</f>
        <v/>
      </c>
      <c t="str" s="861" r="V262">
        <f>IF((Profile!O290&gt;0),Profile!O290,"---")</f>
        <v>---</v>
      </c>
      <c t="str" s="861" r="W262">
        <f>IF((Profile!Y290=0),IF((Profile!Y289=0),"---",IF((Profile!Y291=0),"---",Profile!Y290)),Profile!Y290)</f>
        <v>---</v>
      </c>
      <c s="239" r="X262">
        <f>AB262+X261</f>
        <v>0</v>
      </c>
      <c s="796" r="Y262">
        <f>AC262+Y261</f>
        <v>0</v>
      </c>
      <c s="702" r="Z262"/>
      <c s="289" r="AA262">
        <f>IF(Profile!Y290,IF((Profile!O290=0),0,(Profile!O290-MAX(Profile!O$44:O289))),0)</f>
        <v>0</v>
      </c>
      <c s="605" r="AB262">
        <f>SIN(RADIANS(Profile!Y290))*AA262</f>
        <v>0</v>
      </c>
      <c s="605" r="AC262">
        <f>COS(RADIANS(Profile!Y290))*AA262</f>
        <v>0</v>
      </c>
      <c s="348" r="AD262">
        <f>IF((AJ$15=TRUE),X262,NA())</f>
        <v>0</v>
      </c>
      <c s="348" r="AE262">
        <f>IF((AJ$15=TRUE),Y262,NA())</f>
        <v>0</v>
      </c>
      <c t="str" s="348" r="AF262">
        <f>IF(Profile!L290,Y262,NA())</f>
        <v>#N/A:explicit</v>
      </c>
      <c s="348" r="AG262">
        <f>Profile!T290*E$40</f>
        <v>0</v>
      </c>
      <c t="str" s="348" r="AH262">
        <f>IF((AK$15=TRUE),IF(ISNUMBER(Profile!Y290),IF(ISNUMBER(Profile!Y291),(((X262+((F$63/2)*COS(RADIANS(Profile!Y291))))+(X262+((F$63/2)*COS(RADIANS(Profile!Y290)))))/2),(X262+((F$63/2)*COS(RADIANS(Profile!Y290))))),AH261),0)</f>
        <v>#VALUE!:notNumber:For input string: "---"</v>
      </c>
      <c t="str" s="348" r="AI262">
        <f>IF((AK$15=TRUE),IF(ISNUMBER(Profile!Y290),IF(ISNUMBER(Profile!Y291),(((Y262-((F$63/2)*SIN(RADIANS(Profile!Y291))))+(Y262-((F$63/2)*SIN(RADIANS(Profile!Y290)))))/2),(Y262-((F$63/2)*SIN(RADIANS(Profile!Y290))))),AI261),0)</f>
        <v>#VALUE!:notNumber:For input string: "---"</v>
      </c>
      <c t="str" s="348" r="AJ262">
        <f>IF((AK$15=TRUE),IF(ISNUMBER(Profile!Y290),IF(ISNUMBER(Profile!Y291),(((X262-((F$63/2)*COS(RADIANS(Profile!Y291))))+(X262-((F$63/2)*COS(RADIANS(Profile!Y290)))))/2),(X262-((F$63/2)*COS(RADIANS(Profile!Y290))))),AJ261),0)</f>
        <v>#VALUE!:notNumber:For input string: "---"</v>
      </c>
      <c t="str" s="799" r="AK262">
        <f>IF((AK$15=TRUE),IF(ISNUMBER(Profile!Y290),IF(ISNUMBER(Profile!Y291),(((Y262+((F$63/2)*SIN(RADIANS(Profile!Y291))))+(Y262+((F$63/2)*SIN(RADIANS(Profile!Y290)))))/2),(Y262+((F$63/2)*SIN(RADIANS(Profile!Y290))))),AK261),0)</f>
        <v>#VALUE!:notNumber:For input string: "---"</v>
      </c>
      <c s="51" r="AL262"/>
      <c s="125" r="AM262"/>
    </row>
    <row r="263">
      <c s="125" r="A263"/>
      <c s="125" r="B263"/>
      <c s="125" r="C263"/>
      <c s="125" r="D263"/>
      <c s="125" r="E263"/>
      <c s="125" r="F263"/>
      <c s="125" r="G263"/>
      <c s="125" r="H263"/>
      <c s="125" r="I263"/>
      <c s="125" r="J263"/>
      <c s="125" r="K263"/>
      <c s="125" r="L263"/>
      <c s="125" r="M263"/>
      <c s="125" r="N263"/>
      <c s="125" r="O263"/>
      <c s="125" r="P263"/>
      <c s="125" r="Q263"/>
      <c s="125" r="R263"/>
      <c s="125" r="S263"/>
      <c s="822" r="T263"/>
      <c t="str" s="309" r="U263">
        <f>IF((Profile!L291&gt;0),Profile!L291,"")</f>
        <v/>
      </c>
      <c t="str" s="861" r="V263">
        <f>IF((Profile!O291&gt;0),Profile!O291,"---")</f>
        <v>---</v>
      </c>
      <c t="str" s="861" r="W263">
        <f>IF((Profile!Y291=0),IF((Profile!Y290=0),"---",IF((Profile!Y292=0),"---",Profile!Y291)),Profile!Y291)</f>
        <v>---</v>
      </c>
      <c s="239" r="X263">
        <f>AB263+X262</f>
        <v>0</v>
      </c>
      <c s="796" r="Y263">
        <f>AC263+Y262</f>
        <v>0</v>
      </c>
      <c s="702" r="Z263"/>
      <c s="289" r="AA263">
        <f>IF(Profile!Y291,IF((Profile!O291=0),0,(Profile!O291-MAX(Profile!O$44:O290))),0)</f>
        <v>0</v>
      </c>
      <c s="605" r="AB263">
        <f>SIN(RADIANS(Profile!Y291))*AA263</f>
        <v>0</v>
      </c>
      <c s="605" r="AC263">
        <f>COS(RADIANS(Profile!Y291))*AA263</f>
        <v>0</v>
      </c>
      <c s="348" r="AD263">
        <f>IF((AJ$15=TRUE),X263,NA())</f>
        <v>0</v>
      </c>
      <c s="348" r="AE263">
        <f>IF((AJ$15=TRUE),Y263,NA())</f>
        <v>0</v>
      </c>
      <c t="str" s="348" r="AF263">
        <f>IF(Profile!L291,Y263,NA())</f>
        <v>#N/A:explicit</v>
      </c>
      <c s="348" r="AG263">
        <f>Profile!T291*E$40</f>
        <v>0</v>
      </c>
      <c t="str" s="348" r="AH263">
        <f>IF((AK$15=TRUE),IF(ISNUMBER(Profile!Y291),IF(ISNUMBER(Profile!Y292),(((X263+((F$63/2)*COS(RADIANS(Profile!Y292))))+(X263+((F$63/2)*COS(RADIANS(Profile!Y291)))))/2),(X263+((F$63/2)*COS(RADIANS(Profile!Y291))))),AH262),0)</f>
        <v>#VALUE!:notNumber:For input string: "---"</v>
      </c>
      <c t="str" s="348" r="AI263">
        <f>IF((AK$15=TRUE),IF(ISNUMBER(Profile!Y291),IF(ISNUMBER(Profile!Y292),(((Y263-((F$63/2)*SIN(RADIANS(Profile!Y292))))+(Y263-((F$63/2)*SIN(RADIANS(Profile!Y291)))))/2),(Y263-((F$63/2)*SIN(RADIANS(Profile!Y291))))),AI262),0)</f>
        <v>#VALUE!:notNumber:For input string: "---"</v>
      </c>
      <c t="str" s="348" r="AJ263">
        <f>IF((AK$15=TRUE),IF(ISNUMBER(Profile!Y291),IF(ISNUMBER(Profile!Y292),(((X263-((F$63/2)*COS(RADIANS(Profile!Y292))))+(X263-((F$63/2)*COS(RADIANS(Profile!Y291)))))/2),(X263-((F$63/2)*COS(RADIANS(Profile!Y291))))),AJ262),0)</f>
        <v>#VALUE!:notNumber:For input string: "---"</v>
      </c>
      <c t="str" s="799" r="AK263">
        <f>IF((AK$15=TRUE),IF(ISNUMBER(Profile!Y291),IF(ISNUMBER(Profile!Y292),(((Y263+((F$63/2)*SIN(RADIANS(Profile!Y292))))+(Y263+((F$63/2)*SIN(RADIANS(Profile!Y291)))))/2),(Y263+((F$63/2)*SIN(RADIANS(Profile!Y291))))),AK262),0)</f>
        <v>#VALUE!:notNumber:For input string: "---"</v>
      </c>
      <c s="51" r="AL263"/>
      <c s="125" r="AM263"/>
    </row>
    <row r="264">
      <c s="125" r="A264"/>
      <c s="125" r="B264"/>
      <c s="125" r="C264"/>
      <c s="125" r="D264"/>
      <c s="125" r="E264"/>
      <c s="125" r="F264"/>
      <c s="125" r="G264"/>
      <c s="125" r="H264"/>
      <c s="125" r="I264"/>
      <c s="125" r="J264"/>
      <c s="125" r="K264"/>
      <c s="125" r="L264"/>
      <c s="125" r="M264"/>
      <c s="125" r="N264"/>
      <c s="125" r="O264"/>
      <c s="125" r="P264"/>
      <c s="125" r="Q264"/>
      <c s="125" r="R264"/>
      <c s="125" r="S264"/>
      <c s="822" r="T264"/>
      <c t="str" s="309" r="U264">
        <f>IF((Profile!L292&gt;0),Profile!L292,"")</f>
        <v/>
      </c>
      <c t="str" s="861" r="V264">
        <f>IF((Profile!O292&gt;0),Profile!O292,"---")</f>
        <v>---</v>
      </c>
      <c t="str" s="861" r="W264">
        <f>IF((Profile!Y292=0),IF((Profile!Y291=0),"---",IF((Profile!Y293=0),"---",Profile!Y292)),Profile!Y292)</f>
        <v>---</v>
      </c>
      <c s="239" r="X264">
        <f>AB264+X263</f>
        <v>0</v>
      </c>
      <c s="796" r="Y264">
        <f>AC264+Y263</f>
        <v>0</v>
      </c>
      <c s="702" r="Z264"/>
      <c s="289" r="AA264">
        <f>IF(Profile!Y292,IF((Profile!O292=0),0,(Profile!O292-MAX(Profile!O$44:O291))),0)</f>
        <v>0</v>
      </c>
      <c s="605" r="AB264">
        <f>SIN(RADIANS(Profile!Y292))*AA264</f>
        <v>0</v>
      </c>
      <c s="605" r="AC264">
        <f>COS(RADIANS(Profile!Y292))*AA264</f>
        <v>0</v>
      </c>
      <c s="348" r="AD264">
        <f>IF((AJ$15=TRUE),X264,NA())</f>
        <v>0</v>
      </c>
      <c s="348" r="AE264">
        <f>IF((AJ$15=TRUE),Y264,NA())</f>
        <v>0</v>
      </c>
      <c t="str" s="348" r="AF264">
        <f>IF(Profile!L292,Y264,NA())</f>
        <v>#N/A:explicit</v>
      </c>
      <c s="348" r="AG264">
        <f>Profile!T292*E$40</f>
        <v>0</v>
      </c>
      <c t="str" s="348" r="AH264">
        <f>IF((AK$15=TRUE),IF(ISNUMBER(Profile!Y292),IF(ISNUMBER(Profile!Y293),(((X264+((F$63/2)*COS(RADIANS(Profile!Y293))))+(X264+((F$63/2)*COS(RADIANS(Profile!Y292)))))/2),(X264+((F$63/2)*COS(RADIANS(Profile!Y292))))),AH263),0)</f>
        <v>#VALUE!:notNumber:For input string: "---"</v>
      </c>
      <c t="str" s="348" r="AI264">
        <f>IF((AK$15=TRUE),IF(ISNUMBER(Profile!Y292),IF(ISNUMBER(Profile!Y293),(((Y264-((F$63/2)*SIN(RADIANS(Profile!Y293))))+(Y264-((F$63/2)*SIN(RADIANS(Profile!Y292)))))/2),(Y264-((F$63/2)*SIN(RADIANS(Profile!Y292))))),AI263),0)</f>
        <v>#VALUE!:notNumber:For input string: "---"</v>
      </c>
      <c t="str" s="348" r="AJ264">
        <f>IF((AK$15=TRUE),IF(ISNUMBER(Profile!Y292),IF(ISNUMBER(Profile!Y293),(((X264-((F$63/2)*COS(RADIANS(Profile!Y293))))+(X264-((F$63/2)*COS(RADIANS(Profile!Y292)))))/2),(X264-((F$63/2)*COS(RADIANS(Profile!Y292))))),AJ263),0)</f>
        <v>#VALUE!:notNumber:For input string: "---"</v>
      </c>
      <c t="str" s="799" r="AK264">
        <f>IF((AK$15=TRUE),IF(ISNUMBER(Profile!Y292),IF(ISNUMBER(Profile!Y293),(((Y264+((F$63/2)*SIN(RADIANS(Profile!Y293))))+(Y264+((F$63/2)*SIN(RADIANS(Profile!Y292)))))/2),(Y264+((F$63/2)*SIN(RADIANS(Profile!Y292))))),AK263),0)</f>
        <v>#VALUE!:notNumber:For input string: "---"</v>
      </c>
      <c s="51" r="AL264"/>
      <c s="125" r="AM264"/>
    </row>
    <row r="265">
      <c s="125" r="A265"/>
      <c s="125" r="B265"/>
      <c s="125" r="C265"/>
      <c s="125" r="D265"/>
      <c s="125" r="E265"/>
      <c s="125" r="F265"/>
      <c s="125" r="G265"/>
      <c s="125" r="H265"/>
      <c s="125" r="I265"/>
      <c s="125" r="J265"/>
      <c s="125" r="K265"/>
      <c s="125" r="L265"/>
      <c s="125" r="M265"/>
      <c s="125" r="N265"/>
      <c s="125" r="O265"/>
      <c s="125" r="P265"/>
      <c s="125" r="Q265"/>
      <c s="125" r="R265"/>
      <c s="125" r="S265"/>
      <c s="822" r="T265"/>
      <c t="str" s="309" r="U265">
        <f>IF((Profile!L293&gt;0),Profile!L293,"")</f>
        <v/>
      </c>
      <c t="str" s="861" r="V265">
        <f>IF((Profile!O293&gt;0),Profile!O293,"---")</f>
        <v>---</v>
      </c>
      <c t="str" s="861" r="W265">
        <f>IF((Profile!Y293=0),IF((Profile!Y292=0),"---",IF((Profile!Y294=0),"---",Profile!Y293)),Profile!Y293)</f>
        <v>---</v>
      </c>
      <c s="239" r="X265">
        <f>AB265+X264</f>
        <v>0</v>
      </c>
      <c s="796" r="Y265">
        <f>AC265+Y264</f>
        <v>0</v>
      </c>
      <c s="702" r="Z265"/>
      <c s="289" r="AA265">
        <f>IF(Profile!Y293,IF((Profile!O293=0),0,(Profile!O293-MAX(Profile!O$44:O292))),0)</f>
        <v>0</v>
      </c>
      <c s="605" r="AB265">
        <f>SIN(RADIANS(Profile!Y293))*AA265</f>
        <v>0</v>
      </c>
      <c s="605" r="AC265">
        <f>COS(RADIANS(Profile!Y293))*AA265</f>
        <v>0</v>
      </c>
      <c s="348" r="AD265">
        <f>IF((AJ$15=TRUE),X265,NA())</f>
        <v>0</v>
      </c>
      <c s="348" r="AE265">
        <f>IF((AJ$15=TRUE),Y265,NA())</f>
        <v>0</v>
      </c>
      <c t="str" s="348" r="AF265">
        <f>IF(Profile!L293,Y265,NA())</f>
        <v>#N/A:explicit</v>
      </c>
      <c s="348" r="AG265">
        <f>Profile!T293*E$40</f>
        <v>0</v>
      </c>
      <c t="str" s="348" r="AH265">
        <f>IF((AK$15=TRUE),IF(ISNUMBER(Profile!Y293),IF(ISNUMBER(Profile!Y294),(((X265+((F$63/2)*COS(RADIANS(Profile!Y294))))+(X265+((F$63/2)*COS(RADIANS(Profile!Y293)))))/2),(X265+((F$63/2)*COS(RADIANS(Profile!Y293))))),AH264),0)</f>
        <v>#VALUE!:notNumber:For input string: "---"</v>
      </c>
      <c t="str" s="348" r="AI265">
        <f>IF((AK$15=TRUE),IF(ISNUMBER(Profile!Y293),IF(ISNUMBER(Profile!Y294),(((Y265-((F$63/2)*SIN(RADIANS(Profile!Y294))))+(Y265-((F$63/2)*SIN(RADIANS(Profile!Y293)))))/2),(Y265-((F$63/2)*SIN(RADIANS(Profile!Y293))))),AI264),0)</f>
        <v>#VALUE!:notNumber:For input string: "---"</v>
      </c>
      <c t="str" s="348" r="AJ265">
        <f>IF((AK$15=TRUE),IF(ISNUMBER(Profile!Y293),IF(ISNUMBER(Profile!Y294),(((X265-((F$63/2)*COS(RADIANS(Profile!Y294))))+(X265-((F$63/2)*COS(RADIANS(Profile!Y293)))))/2),(X265-((F$63/2)*COS(RADIANS(Profile!Y293))))),AJ264),0)</f>
        <v>#VALUE!:notNumber:For input string: "---"</v>
      </c>
      <c t="str" s="799" r="AK265">
        <f>IF((AK$15=TRUE),IF(ISNUMBER(Profile!Y293),IF(ISNUMBER(Profile!Y294),(((Y265+((F$63/2)*SIN(RADIANS(Profile!Y294))))+(Y265+((F$63/2)*SIN(RADIANS(Profile!Y293)))))/2),(Y265+((F$63/2)*SIN(RADIANS(Profile!Y293))))),AK264),0)</f>
        <v>#VALUE!:notNumber:For input string: "---"</v>
      </c>
      <c s="51" r="AL265"/>
      <c s="125" r="AM265"/>
    </row>
    <row r="266">
      <c s="125" r="A266"/>
      <c s="125" r="B266"/>
      <c s="125" r="C266"/>
      <c s="125" r="D266"/>
      <c s="125" r="E266"/>
      <c s="125" r="F266"/>
      <c s="125" r="G266"/>
      <c s="125" r="H266"/>
      <c s="125" r="I266"/>
      <c s="125" r="J266"/>
      <c s="125" r="K266"/>
      <c s="125" r="L266"/>
      <c s="125" r="M266"/>
      <c s="125" r="N266"/>
      <c s="125" r="O266"/>
      <c s="125" r="P266"/>
      <c s="125" r="Q266"/>
      <c s="125" r="R266"/>
      <c s="125" r="S266"/>
      <c s="822" r="T266"/>
      <c t="str" s="309" r="U266">
        <f>IF((Profile!L294&gt;0),Profile!L294,"")</f>
        <v/>
      </c>
      <c t="str" s="861" r="V266">
        <f>IF((Profile!O294&gt;0),Profile!O294,"---")</f>
        <v>---</v>
      </c>
      <c t="str" s="861" r="W266">
        <f>IF((Profile!Y294=0),IF((Profile!Y293=0),"---",IF((Profile!Y295=0),"---",Profile!Y294)),Profile!Y294)</f>
        <v>---</v>
      </c>
      <c s="239" r="X266">
        <f>AB266+X265</f>
        <v>0</v>
      </c>
      <c s="796" r="Y266">
        <f>AC266+Y265</f>
        <v>0</v>
      </c>
      <c s="702" r="Z266"/>
      <c s="289" r="AA266">
        <f>IF(Profile!Y294,IF((Profile!O294=0),0,(Profile!O294-MAX(Profile!O$44:O293))),0)</f>
        <v>0</v>
      </c>
      <c s="605" r="AB266">
        <f>SIN(RADIANS(Profile!Y294))*AA266</f>
        <v>0</v>
      </c>
      <c s="605" r="AC266">
        <f>COS(RADIANS(Profile!Y294))*AA266</f>
        <v>0</v>
      </c>
      <c s="348" r="AD266">
        <f>IF((AJ$15=TRUE),X266,NA())</f>
        <v>0</v>
      </c>
      <c s="348" r="AE266">
        <f>IF((AJ$15=TRUE),Y266,NA())</f>
        <v>0</v>
      </c>
      <c t="str" s="348" r="AF266">
        <f>IF(Profile!L294,Y266,NA())</f>
        <v>#N/A:explicit</v>
      </c>
      <c s="348" r="AG266">
        <f>Profile!T294*E$40</f>
        <v>0</v>
      </c>
      <c t="str" s="348" r="AH266">
        <f>IF((AK$15=TRUE),IF(ISNUMBER(Profile!Y294),IF(ISNUMBER(Profile!Y295),(((X266+((F$63/2)*COS(RADIANS(Profile!Y295))))+(X266+((F$63/2)*COS(RADIANS(Profile!Y294)))))/2),(X266+((F$63/2)*COS(RADIANS(Profile!Y294))))),AH265),0)</f>
        <v>#VALUE!:notNumber:For input string: "---"</v>
      </c>
      <c t="str" s="348" r="AI266">
        <f>IF((AK$15=TRUE),IF(ISNUMBER(Profile!Y294),IF(ISNUMBER(Profile!Y295),(((Y266-((F$63/2)*SIN(RADIANS(Profile!Y295))))+(Y266-((F$63/2)*SIN(RADIANS(Profile!Y294)))))/2),(Y266-((F$63/2)*SIN(RADIANS(Profile!Y294))))),AI265),0)</f>
        <v>#VALUE!:notNumber:For input string: "---"</v>
      </c>
      <c t="str" s="348" r="AJ266">
        <f>IF((AK$15=TRUE),IF(ISNUMBER(Profile!Y294),IF(ISNUMBER(Profile!Y295),(((X266-((F$63/2)*COS(RADIANS(Profile!Y295))))+(X266-((F$63/2)*COS(RADIANS(Profile!Y294)))))/2),(X266-((F$63/2)*COS(RADIANS(Profile!Y294))))),AJ265),0)</f>
        <v>#VALUE!:notNumber:For input string: "---"</v>
      </c>
      <c t="str" s="799" r="AK266">
        <f>IF((AK$15=TRUE),IF(ISNUMBER(Profile!Y294),IF(ISNUMBER(Profile!Y295),(((Y266+((F$63/2)*SIN(RADIANS(Profile!Y295))))+(Y266+((F$63/2)*SIN(RADIANS(Profile!Y294)))))/2),(Y266+((F$63/2)*SIN(RADIANS(Profile!Y294))))),AK265),0)</f>
        <v>#VALUE!:notNumber:For input string: "---"</v>
      </c>
      <c s="51" r="AL266"/>
      <c s="125" r="AM266"/>
    </row>
    <row r="267">
      <c s="125" r="A267"/>
      <c s="125" r="B267"/>
      <c s="125" r="C267"/>
      <c s="125" r="D267"/>
      <c s="125" r="E267"/>
      <c s="125" r="F267"/>
      <c s="125" r="G267"/>
      <c s="125" r="H267"/>
      <c s="125" r="I267"/>
      <c s="125" r="J267"/>
      <c s="125" r="K267"/>
      <c s="125" r="L267"/>
      <c s="125" r="M267"/>
      <c s="125" r="N267"/>
      <c s="125" r="O267"/>
      <c s="125" r="P267"/>
      <c s="125" r="Q267"/>
      <c s="125" r="R267"/>
      <c s="125" r="S267"/>
      <c s="822" r="T267"/>
      <c t="str" s="309" r="U267">
        <f>IF((Profile!L295&gt;0),Profile!L295,"")</f>
        <v/>
      </c>
      <c t="str" s="861" r="V267">
        <f>IF((Profile!O295&gt;0),Profile!O295,"---")</f>
        <v>---</v>
      </c>
      <c t="str" s="861" r="W267">
        <f>IF((Profile!Y295=0),IF((Profile!Y294=0),"---",IF((Profile!Y296=0),"---",Profile!Y295)),Profile!Y295)</f>
        <v>---</v>
      </c>
      <c s="239" r="X267">
        <f>AB267+X266</f>
        <v>0</v>
      </c>
      <c s="796" r="Y267">
        <f>AC267+Y266</f>
        <v>0</v>
      </c>
      <c s="702" r="Z267"/>
      <c s="289" r="AA267">
        <f>IF(Profile!Y295,IF((Profile!O295=0),0,(Profile!O295-MAX(Profile!O$44:O294))),0)</f>
        <v>0</v>
      </c>
      <c s="605" r="AB267">
        <f>SIN(RADIANS(Profile!Y295))*AA267</f>
        <v>0</v>
      </c>
      <c s="605" r="AC267">
        <f>COS(RADIANS(Profile!Y295))*AA267</f>
        <v>0</v>
      </c>
      <c s="348" r="AD267">
        <f>IF((AJ$15=TRUE),X267,NA())</f>
        <v>0</v>
      </c>
      <c s="348" r="AE267">
        <f>IF((AJ$15=TRUE),Y267,NA())</f>
        <v>0</v>
      </c>
      <c t="str" s="348" r="AF267">
        <f>IF(Profile!L295,Y267,NA())</f>
        <v>#N/A:explicit</v>
      </c>
      <c s="348" r="AG267">
        <f>Profile!T295*E$40</f>
        <v>0</v>
      </c>
      <c t="str" s="348" r="AH267">
        <f>IF((AK$15=TRUE),IF(ISNUMBER(Profile!Y295),IF(ISNUMBER(Profile!Y296),(((X267+((F$63/2)*COS(RADIANS(Profile!Y296))))+(X267+((F$63/2)*COS(RADIANS(Profile!Y295)))))/2),(X267+((F$63/2)*COS(RADIANS(Profile!Y295))))),AH266),0)</f>
        <v>#VALUE!:notNumber:For input string: "---"</v>
      </c>
      <c t="str" s="348" r="AI267">
        <f>IF((AK$15=TRUE),IF(ISNUMBER(Profile!Y295),IF(ISNUMBER(Profile!Y296),(((Y267-((F$63/2)*SIN(RADIANS(Profile!Y296))))+(Y267-((F$63/2)*SIN(RADIANS(Profile!Y295)))))/2),(Y267-((F$63/2)*SIN(RADIANS(Profile!Y295))))),AI266),0)</f>
        <v>#VALUE!:notNumber:For input string: "---"</v>
      </c>
      <c t="str" s="348" r="AJ267">
        <f>IF((AK$15=TRUE),IF(ISNUMBER(Profile!Y295),IF(ISNUMBER(Profile!Y296),(((X267-((F$63/2)*COS(RADIANS(Profile!Y296))))+(X267-((F$63/2)*COS(RADIANS(Profile!Y295)))))/2),(X267-((F$63/2)*COS(RADIANS(Profile!Y295))))),AJ266),0)</f>
        <v>#VALUE!:notNumber:For input string: "---"</v>
      </c>
      <c t="str" s="799" r="AK267">
        <f>IF((AK$15=TRUE),IF(ISNUMBER(Profile!Y295),IF(ISNUMBER(Profile!Y296),(((Y267+((F$63/2)*SIN(RADIANS(Profile!Y296))))+(Y267+((F$63/2)*SIN(RADIANS(Profile!Y295)))))/2),(Y267+((F$63/2)*SIN(RADIANS(Profile!Y295))))),AK266),0)</f>
        <v>#VALUE!:notNumber:For input string: "---"</v>
      </c>
      <c s="51" r="AL267"/>
      <c s="125" r="AM267"/>
    </row>
    <row r="268">
      <c s="125" r="A268"/>
      <c s="125" r="B268"/>
      <c s="125" r="C268"/>
      <c s="125" r="D268"/>
      <c s="125" r="E268"/>
      <c s="125" r="F268"/>
      <c s="125" r="G268"/>
      <c s="125" r="H268"/>
      <c s="125" r="I268"/>
      <c s="125" r="J268"/>
      <c s="125" r="K268"/>
      <c s="125" r="L268"/>
      <c s="125" r="M268"/>
      <c s="125" r="N268"/>
      <c s="125" r="O268"/>
      <c s="125" r="P268"/>
      <c s="125" r="Q268"/>
      <c s="125" r="R268"/>
      <c s="125" r="S268"/>
      <c s="822" r="T268"/>
      <c t="str" s="309" r="U268">
        <f>IF((Profile!L296&gt;0),Profile!L296,"")</f>
        <v/>
      </c>
      <c t="str" s="861" r="V268">
        <f>IF((Profile!O296&gt;0),Profile!O296,"---")</f>
        <v>---</v>
      </c>
      <c t="str" s="861" r="W268">
        <f>IF((Profile!Y296=0),IF((Profile!Y295=0),"---",IF((Profile!Y297=0),"---",Profile!Y296)),Profile!Y296)</f>
        <v>---</v>
      </c>
      <c s="239" r="X268">
        <f>AB268+X267</f>
        <v>0</v>
      </c>
      <c s="796" r="Y268">
        <f>AC268+Y267</f>
        <v>0</v>
      </c>
      <c s="702" r="Z268"/>
      <c s="289" r="AA268">
        <f>IF(Profile!Y296,IF((Profile!O296=0),0,(Profile!O296-MAX(Profile!O$44:O295))),0)</f>
        <v>0</v>
      </c>
      <c s="605" r="AB268">
        <f>SIN(RADIANS(Profile!Y296))*AA268</f>
        <v>0</v>
      </c>
      <c s="605" r="AC268">
        <f>COS(RADIANS(Profile!Y296))*AA268</f>
        <v>0</v>
      </c>
      <c s="348" r="AD268">
        <f>IF((AJ$15=TRUE),X268,NA())</f>
        <v>0</v>
      </c>
      <c s="348" r="AE268">
        <f>IF((AJ$15=TRUE),Y268,NA())</f>
        <v>0</v>
      </c>
      <c t="str" s="348" r="AF268">
        <f>IF(Profile!L296,Y268,NA())</f>
        <v>#N/A:explicit</v>
      </c>
      <c s="348" r="AG268">
        <f>Profile!T296*E$40</f>
        <v>0</v>
      </c>
      <c t="str" s="348" r="AH268">
        <f>IF((AK$15=TRUE),IF(ISNUMBER(Profile!Y296),IF(ISNUMBER(Profile!Y297),(((X268+((F$63/2)*COS(RADIANS(Profile!Y297))))+(X268+((F$63/2)*COS(RADIANS(Profile!Y296)))))/2),(X268+((F$63/2)*COS(RADIANS(Profile!Y296))))),AH267),0)</f>
        <v>#VALUE!:notNumber:For input string: "---"</v>
      </c>
      <c t="str" s="348" r="AI268">
        <f>IF((AK$15=TRUE),IF(ISNUMBER(Profile!Y296),IF(ISNUMBER(Profile!Y297),(((Y268-((F$63/2)*SIN(RADIANS(Profile!Y297))))+(Y268-((F$63/2)*SIN(RADIANS(Profile!Y296)))))/2),(Y268-((F$63/2)*SIN(RADIANS(Profile!Y296))))),AI267),0)</f>
        <v>#VALUE!:notNumber:For input string: "---"</v>
      </c>
      <c t="str" s="348" r="AJ268">
        <f>IF((AK$15=TRUE),IF(ISNUMBER(Profile!Y296),IF(ISNUMBER(Profile!Y297),(((X268-((F$63/2)*COS(RADIANS(Profile!Y297))))+(X268-((F$63/2)*COS(RADIANS(Profile!Y296)))))/2),(X268-((F$63/2)*COS(RADIANS(Profile!Y296))))),AJ267),0)</f>
        <v>#VALUE!:notNumber:For input string: "---"</v>
      </c>
      <c t="str" s="799" r="AK268">
        <f>IF((AK$15=TRUE),IF(ISNUMBER(Profile!Y296),IF(ISNUMBER(Profile!Y297),(((Y268+((F$63/2)*SIN(RADIANS(Profile!Y297))))+(Y268+((F$63/2)*SIN(RADIANS(Profile!Y296)))))/2),(Y268+((F$63/2)*SIN(RADIANS(Profile!Y296))))),AK267),0)</f>
        <v>#VALUE!:notNumber:For input string: "---"</v>
      </c>
      <c s="51" r="AL268"/>
      <c s="125" r="AM268"/>
    </row>
    <row r="269">
      <c s="125" r="A269"/>
      <c s="125" r="B269"/>
      <c s="125" r="C269"/>
      <c s="125" r="D269"/>
      <c s="125" r="E269"/>
      <c s="125" r="F269"/>
      <c s="125" r="G269"/>
      <c s="125" r="H269"/>
      <c s="125" r="I269"/>
      <c s="125" r="J269"/>
      <c s="125" r="K269"/>
      <c s="125" r="L269"/>
      <c s="125" r="M269"/>
      <c s="125" r="N269"/>
      <c s="125" r="O269"/>
      <c s="125" r="P269"/>
      <c s="125" r="Q269"/>
      <c s="125" r="R269"/>
      <c s="125" r="S269"/>
      <c s="822" r="T269"/>
      <c t="str" s="309" r="U269">
        <f>IF((Profile!L297&gt;0),Profile!L297,"")</f>
        <v/>
      </c>
      <c t="str" s="861" r="V269">
        <f>IF((Profile!O297&gt;0),Profile!O297,"---")</f>
        <v>---</v>
      </c>
      <c t="str" s="861" r="W269">
        <f>IF((Profile!Y297=0),IF((Profile!Y296=0),"---",IF((Profile!Y298=0),"---",Profile!Y297)),Profile!Y297)</f>
        <v>---</v>
      </c>
      <c s="239" r="X269">
        <f>AB269+X268</f>
        <v>0</v>
      </c>
      <c s="796" r="Y269">
        <f>AC269+Y268</f>
        <v>0</v>
      </c>
      <c s="702" r="Z269"/>
      <c s="289" r="AA269">
        <f>IF(Profile!Y297,IF((Profile!O297=0),0,(Profile!O297-MAX(Profile!O$44:O296))),0)</f>
        <v>0</v>
      </c>
      <c s="605" r="AB269">
        <f>SIN(RADIANS(Profile!Y297))*AA269</f>
        <v>0</v>
      </c>
      <c s="605" r="AC269">
        <f>COS(RADIANS(Profile!Y297))*AA269</f>
        <v>0</v>
      </c>
      <c s="348" r="AD269">
        <f>IF((AJ$15=TRUE),X269,NA())</f>
        <v>0</v>
      </c>
      <c s="348" r="AE269">
        <f>IF((AJ$15=TRUE),Y269,NA())</f>
        <v>0</v>
      </c>
      <c t="str" s="348" r="AF269">
        <f>IF(Profile!L297,Y269,NA())</f>
        <v>#N/A:explicit</v>
      </c>
      <c s="348" r="AG269">
        <f>Profile!T297*E$40</f>
        <v>0</v>
      </c>
      <c t="str" s="348" r="AH269">
        <f>IF((AK$15=TRUE),IF(ISNUMBER(Profile!Y297),IF(ISNUMBER(Profile!Y298),(((X269+((F$63/2)*COS(RADIANS(Profile!Y298))))+(X269+((F$63/2)*COS(RADIANS(Profile!Y297)))))/2),(X269+((F$63/2)*COS(RADIANS(Profile!Y297))))),AH268),0)</f>
        <v>#VALUE!:notNumber:For input string: "---"</v>
      </c>
      <c t="str" s="348" r="AI269">
        <f>IF((AK$15=TRUE),IF(ISNUMBER(Profile!Y297),IF(ISNUMBER(Profile!Y298),(((Y269-((F$63/2)*SIN(RADIANS(Profile!Y298))))+(Y269-((F$63/2)*SIN(RADIANS(Profile!Y297)))))/2),(Y269-((F$63/2)*SIN(RADIANS(Profile!Y297))))),AI268),0)</f>
        <v>#VALUE!:notNumber:For input string: "---"</v>
      </c>
      <c t="str" s="348" r="AJ269">
        <f>IF((AK$15=TRUE),IF(ISNUMBER(Profile!Y297),IF(ISNUMBER(Profile!Y298),(((X269-((F$63/2)*COS(RADIANS(Profile!Y298))))+(X269-((F$63/2)*COS(RADIANS(Profile!Y297)))))/2),(X269-((F$63/2)*COS(RADIANS(Profile!Y297))))),AJ268),0)</f>
        <v>#VALUE!:notNumber:For input string: "---"</v>
      </c>
      <c t="str" s="799" r="AK269">
        <f>IF((AK$15=TRUE),IF(ISNUMBER(Profile!Y297),IF(ISNUMBER(Profile!Y298),(((Y269+((F$63/2)*SIN(RADIANS(Profile!Y298))))+(Y269+((F$63/2)*SIN(RADIANS(Profile!Y297)))))/2),(Y269+((F$63/2)*SIN(RADIANS(Profile!Y297))))),AK268),0)</f>
        <v>#VALUE!:notNumber:For input string: "---"</v>
      </c>
      <c s="51" r="AL269"/>
      <c s="125" r="AM269"/>
    </row>
    <row r="270">
      <c s="125" r="A270"/>
      <c s="125" r="B270"/>
      <c s="125" r="C270"/>
      <c s="125" r="D270"/>
      <c s="125" r="E270"/>
      <c s="125" r="F270"/>
      <c s="125" r="G270"/>
      <c s="125" r="H270"/>
      <c s="125" r="I270"/>
      <c s="125" r="J270"/>
      <c s="125" r="K270"/>
      <c s="125" r="L270"/>
      <c s="125" r="M270"/>
      <c s="125" r="N270"/>
      <c s="125" r="O270"/>
      <c s="125" r="P270"/>
      <c s="125" r="Q270"/>
      <c s="125" r="R270"/>
      <c s="125" r="S270"/>
      <c s="822" r="T270"/>
      <c t="str" s="309" r="U270">
        <f>IF((Profile!L298&gt;0),Profile!L298,"")</f>
        <v/>
      </c>
      <c t="str" s="861" r="V270">
        <f>IF((Profile!O298&gt;0),Profile!O298,"---")</f>
        <v>---</v>
      </c>
      <c t="str" s="861" r="W270">
        <f>IF((Profile!Y298=0),IF((Profile!Y297=0),"---",IF((Profile!Y299=0),"---",Profile!Y298)),Profile!Y298)</f>
        <v>---</v>
      </c>
      <c s="239" r="X270">
        <f>AB270+X269</f>
        <v>0</v>
      </c>
      <c s="796" r="Y270">
        <f>AC270+Y269</f>
        <v>0</v>
      </c>
      <c s="702" r="Z270"/>
      <c s="289" r="AA270">
        <f>IF(Profile!Y298,IF((Profile!O298=0),0,(Profile!O298-MAX(Profile!O$44:O297))),0)</f>
        <v>0</v>
      </c>
      <c s="605" r="AB270">
        <f>SIN(RADIANS(Profile!Y298))*AA270</f>
        <v>0</v>
      </c>
      <c s="605" r="AC270">
        <f>COS(RADIANS(Profile!Y298))*AA270</f>
        <v>0</v>
      </c>
      <c s="348" r="AD270">
        <f>IF((AJ$15=TRUE),X270,NA())</f>
        <v>0</v>
      </c>
      <c s="348" r="AE270">
        <f>IF((AJ$15=TRUE),Y270,NA())</f>
        <v>0</v>
      </c>
      <c t="str" s="348" r="AF270">
        <f>IF(Profile!L298,Y270,NA())</f>
        <v>#N/A:explicit</v>
      </c>
      <c s="348" r="AG270">
        <f>Profile!T298*E$40</f>
        <v>0</v>
      </c>
      <c t="str" s="348" r="AH270">
        <f>IF((AK$15=TRUE),IF(ISNUMBER(Profile!Y298),IF(ISNUMBER(Profile!Y299),(((X270+((F$63/2)*COS(RADIANS(Profile!Y299))))+(X270+((F$63/2)*COS(RADIANS(Profile!Y298)))))/2),(X270+((F$63/2)*COS(RADIANS(Profile!Y298))))),AH269),0)</f>
        <v>#VALUE!:notNumber:For input string: "---"</v>
      </c>
      <c t="str" s="348" r="AI270">
        <f>IF((AK$15=TRUE),IF(ISNUMBER(Profile!Y298),IF(ISNUMBER(Profile!Y299),(((Y270-((F$63/2)*SIN(RADIANS(Profile!Y299))))+(Y270-((F$63/2)*SIN(RADIANS(Profile!Y298)))))/2),(Y270-((F$63/2)*SIN(RADIANS(Profile!Y298))))),AI269),0)</f>
        <v>#VALUE!:notNumber:For input string: "---"</v>
      </c>
      <c t="str" s="348" r="AJ270">
        <f>IF((AK$15=TRUE),IF(ISNUMBER(Profile!Y298),IF(ISNUMBER(Profile!Y299),(((X270-((F$63/2)*COS(RADIANS(Profile!Y299))))+(X270-((F$63/2)*COS(RADIANS(Profile!Y298)))))/2),(X270-((F$63/2)*COS(RADIANS(Profile!Y298))))),AJ269),0)</f>
        <v>#VALUE!:notNumber:For input string: "---"</v>
      </c>
      <c t="str" s="799" r="AK270">
        <f>IF((AK$15=TRUE),IF(ISNUMBER(Profile!Y298),IF(ISNUMBER(Profile!Y299),(((Y270+((F$63/2)*SIN(RADIANS(Profile!Y299))))+(Y270+((F$63/2)*SIN(RADIANS(Profile!Y298)))))/2),(Y270+((F$63/2)*SIN(RADIANS(Profile!Y298))))),AK269),0)</f>
        <v>#VALUE!:notNumber:For input string: "---"</v>
      </c>
      <c s="51" r="AL270"/>
      <c s="125" r="AM270"/>
    </row>
    <row r="271">
      <c s="125" r="A271"/>
      <c s="125" r="B271"/>
      <c s="125" r="C271"/>
      <c s="125" r="D271"/>
      <c s="125" r="E271"/>
      <c s="125" r="F271"/>
      <c s="125" r="G271"/>
      <c s="125" r="H271"/>
      <c s="125" r="I271"/>
      <c s="125" r="J271"/>
      <c s="125" r="K271"/>
      <c s="125" r="L271"/>
      <c s="125" r="M271"/>
      <c s="125" r="N271"/>
      <c s="125" r="O271"/>
      <c s="125" r="P271"/>
      <c s="125" r="Q271"/>
      <c s="125" r="R271"/>
      <c s="125" r="S271"/>
      <c s="822" r="T271"/>
      <c t="str" s="309" r="U271">
        <f>IF((Profile!L299&gt;0),Profile!L299,"")</f>
        <v/>
      </c>
      <c t="str" s="861" r="V271">
        <f>IF((Profile!O299&gt;0),Profile!O299,"---")</f>
        <v>---</v>
      </c>
      <c t="str" s="861" r="W271">
        <f>IF((Profile!Y299=0),IF((Profile!Y298=0),"---",IF((Profile!Y300=0),"---",Profile!Y299)),Profile!Y299)</f>
        <v>---</v>
      </c>
      <c s="239" r="X271">
        <f>AB271+X270</f>
        <v>0</v>
      </c>
      <c s="796" r="Y271">
        <f>AC271+Y270</f>
        <v>0</v>
      </c>
      <c s="702" r="Z271"/>
      <c s="289" r="AA271">
        <f>IF(Profile!Y299,IF((Profile!O299=0),0,(Profile!O299-MAX(Profile!O$44:O298))),0)</f>
        <v>0</v>
      </c>
      <c s="605" r="AB271">
        <f>SIN(RADIANS(Profile!Y299))*AA271</f>
        <v>0</v>
      </c>
      <c s="605" r="AC271">
        <f>COS(RADIANS(Profile!Y299))*AA271</f>
        <v>0</v>
      </c>
      <c s="348" r="AD271">
        <f>IF((AJ$15=TRUE),X271,NA())</f>
        <v>0</v>
      </c>
      <c s="348" r="AE271">
        <f>IF((AJ$15=TRUE),Y271,NA())</f>
        <v>0</v>
      </c>
      <c t="str" s="348" r="AF271">
        <f>IF(Profile!L299,Y271,NA())</f>
        <v>#N/A:explicit</v>
      </c>
      <c s="348" r="AG271">
        <f>Profile!T299*E$40</f>
        <v>0</v>
      </c>
      <c t="str" s="348" r="AH271">
        <f>IF((AK$15=TRUE),IF(ISNUMBER(Profile!Y299),IF(ISNUMBER(Profile!Y300),(((X271+((F$63/2)*COS(RADIANS(Profile!Y300))))+(X271+((F$63/2)*COS(RADIANS(Profile!Y299)))))/2),(X271+((F$63/2)*COS(RADIANS(Profile!Y299))))),AH270),0)</f>
        <v>#VALUE!:notNumber:For input string: "---"</v>
      </c>
      <c t="str" s="348" r="AI271">
        <f>IF((AK$15=TRUE),IF(ISNUMBER(Profile!Y299),IF(ISNUMBER(Profile!Y300),(((Y271-((F$63/2)*SIN(RADIANS(Profile!Y300))))+(Y271-((F$63/2)*SIN(RADIANS(Profile!Y299)))))/2),(Y271-((F$63/2)*SIN(RADIANS(Profile!Y299))))),AI270),0)</f>
        <v>#VALUE!:notNumber:For input string: "---"</v>
      </c>
      <c t="str" s="348" r="AJ271">
        <f>IF((AK$15=TRUE),IF(ISNUMBER(Profile!Y299),IF(ISNUMBER(Profile!Y300),(((X271-((F$63/2)*COS(RADIANS(Profile!Y300))))+(X271-((F$63/2)*COS(RADIANS(Profile!Y299)))))/2),(X271-((F$63/2)*COS(RADIANS(Profile!Y299))))),AJ270),0)</f>
        <v>#VALUE!:notNumber:For input string: "---"</v>
      </c>
      <c t="str" s="799" r="AK271">
        <f>IF((AK$15=TRUE),IF(ISNUMBER(Profile!Y299),IF(ISNUMBER(Profile!Y300),(((Y271+((F$63/2)*SIN(RADIANS(Profile!Y300))))+(Y271+((F$63/2)*SIN(RADIANS(Profile!Y299)))))/2),(Y271+((F$63/2)*SIN(RADIANS(Profile!Y299))))),AK270),0)</f>
        <v>#VALUE!:notNumber:For input string: "---"</v>
      </c>
      <c s="51" r="AL271"/>
      <c s="125" r="AM271"/>
    </row>
    <row r="272">
      <c s="125" r="A272"/>
      <c s="125" r="B272"/>
      <c s="125" r="C272"/>
      <c s="125" r="D272"/>
      <c s="125" r="E272"/>
      <c s="125" r="F272"/>
      <c s="125" r="G272"/>
      <c s="125" r="H272"/>
      <c s="125" r="I272"/>
      <c s="125" r="J272"/>
      <c s="125" r="K272"/>
      <c s="125" r="L272"/>
      <c s="125" r="M272"/>
      <c s="125" r="N272"/>
      <c s="125" r="O272"/>
      <c s="125" r="P272"/>
      <c s="125" r="Q272"/>
      <c s="125" r="R272"/>
      <c s="125" r="S272"/>
      <c s="822" r="T272"/>
      <c t="str" s="309" r="U272">
        <f>IF((Profile!L300&gt;0),Profile!L300,"")</f>
        <v/>
      </c>
      <c t="str" s="861" r="V272">
        <f>IF((Profile!O300&gt;0),Profile!O300,"---")</f>
        <v>---</v>
      </c>
      <c t="str" s="861" r="W272">
        <f>IF((Profile!Y300=0),IF((Profile!Y299=0),"---",IF((Profile!Y301=0),"---",Profile!Y300)),Profile!Y300)</f>
        <v>---</v>
      </c>
      <c s="239" r="X272">
        <f>AB272+X271</f>
        <v>0</v>
      </c>
      <c s="796" r="Y272">
        <f>AC272+Y271</f>
        <v>0</v>
      </c>
      <c s="702" r="Z272"/>
      <c s="289" r="AA272">
        <f>IF(Profile!Y300,IF((Profile!O300=0),0,(Profile!O300-MAX(Profile!O$44:O299))),0)</f>
        <v>0</v>
      </c>
      <c s="605" r="AB272">
        <f>SIN(RADIANS(Profile!Y300))*AA272</f>
        <v>0</v>
      </c>
      <c s="605" r="AC272">
        <f>COS(RADIANS(Profile!Y300))*AA272</f>
        <v>0</v>
      </c>
      <c s="348" r="AD272">
        <f>IF((AJ$15=TRUE),X272,NA())</f>
        <v>0</v>
      </c>
      <c s="348" r="AE272">
        <f>IF((AJ$15=TRUE),Y272,NA())</f>
        <v>0</v>
      </c>
      <c t="str" s="348" r="AF272">
        <f>IF(Profile!L300,Y272,NA())</f>
        <v>#N/A:explicit</v>
      </c>
      <c s="348" r="AG272">
        <f>Profile!T300*E$40</f>
        <v>0</v>
      </c>
      <c t="str" s="348" r="AH272">
        <f>IF((AK$15=TRUE),IF(ISNUMBER(Profile!Y300),IF(ISNUMBER(Profile!Y301),(((X272+((F$63/2)*COS(RADIANS(Profile!Y301))))+(X272+((F$63/2)*COS(RADIANS(Profile!Y300)))))/2),(X272+((F$63/2)*COS(RADIANS(Profile!Y300))))),AH271),0)</f>
        <v>#VALUE!:notNumber:For input string: "---"</v>
      </c>
      <c t="str" s="348" r="AI272">
        <f>IF((AK$15=TRUE),IF(ISNUMBER(Profile!Y300),IF(ISNUMBER(Profile!Y301),(((Y272-((F$63/2)*SIN(RADIANS(Profile!Y301))))+(Y272-((F$63/2)*SIN(RADIANS(Profile!Y300)))))/2),(Y272-((F$63/2)*SIN(RADIANS(Profile!Y300))))),AI271),0)</f>
        <v>#VALUE!:notNumber:For input string: "---"</v>
      </c>
      <c t="str" s="348" r="AJ272">
        <f>IF((AK$15=TRUE),IF(ISNUMBER(Profile!Y300),IF(ISNUMBER(Profile!Y301),(((X272-((F$63/2)*COS(RADIANS(Profile!Y301))))+(X272-((F$63/2)*COS(RADIANS(Profile!Y300)))))/2),(X272-((F$63/2)*COS(RADIANS(Profile!Y300))))),AJ271),0)</f>
        <v>#VALUE!:notNumber:For input string: "---"</v>
      </c>
      <c t="str" s="799" r="AK272">
        <f>IF((AK$15=TRUE),IF(ISNUMBER(Profile!Y300),IF(ISNUMBER(Profile!Y301),(((Y272+((F$63/2)*SIN(RADIANS(Profile!Y301))))+(Y272+((F$63/2)*SIN(RADIANS(Profile!Y300)))))/2),(Y272+((F$63/2)*SIN(RADIANS(Profile!Y300))))),AK271),0)</f>
        <v>#VALUE!:notNumber:For input string: "---"</v>
      </c>
      <c s="51" r="AL272"/>
      <c s="125" r="AM272"/>
    </row>
    <row r="273">
      <c s="125" r="A273"/>
      <c s="125" r="B273"/>
      <c s="125" r="C273"/>
      <c s="125" r="D273"/>
      <c s="125" r="E273"/>
      <c s="125" r="F273"/>
      <c s="125" r="G273"/>
      <c s="125" r="H273"/>
      <c s="125" r="I273"/>
      <c s="125" r="J273"/>
      <c s="125" r="K273"/>
      <c s="125" r="L273"/>
      <c s="125" r="M273"/>
      <c s="125" r="N273"/>
      <c s="125" r="O273"/>
      <c s="125" r="P273"/>
      <c s="125" r="Q273"/>
      <c s="125" r="R273"/>
      <c s="125" r="S273"/>
      <c s="822" r="T273"/>
      <c t="str" s="309" r="U273">
        <f>IF((Profile!L301&gt;0),Profile!L301,"")</f>
        <v/>
      </c>
      <c t="str" s="861" r="V273">
        <f>IF((Profile!O301&gt;0),Profile!O301,"---")</f>
        <v>---</v>
      </c>
      <c t="str" s="861" r="W273">
        <f>IF((Profile!Y301=0),IF((Profile!Y300=0),"---",IF((Profile!Y302=0),"---",Profile!Y301)),Profile!Y301)</f>
        <v>---</v>
      </c>
      <c s="239" r="X273">
        <f>AB273+X272</f>
        <v>0</v>
      </c>
      <c s="796" r="Y273">
        <f>AC273+Y272</f>
        <v>0</v>
      </c>
      <c s="702" r="Z273"/>
      <c s="289" r="AA273">
        <f>IF(Profile!Y301,IF((Profile!O301=0),0,(Profile!O301-MAX(Profile!O$44:O300))),0)</f>
        <v>0</v>
      </c>
      <c s="605" r="AB273">
        <f>SIN(RADIANS(Profile!Y301))*AA273</f>
        <v>0</v>
      </c>
      <c s="605" r="AC273">
        <f>COS(RADIANS(Profile!Y301))*AA273</f>
        <v>0</v>
      </c>
      <c s="348" r="AD273">
        <f>IF((AJ$15=TRUE),X273,NA())</f>
        <v>0</v>
      </c>
      <c s="348" r="AE273">
        <f>IF((AJ$15=TRUE),Y273,NA())</f>
        <v>0</v>
      </c>
      <c t="str" s="348" r="AF273">
        <f>IF(Profile!L301,Y273,NA())</f>
        <v>#N/A:explicit</v>
      </c>
      <c s="348" r="AG273">
        <f>Profile!T301*E$40</f>
        <v>0</v>
      </c>
      <c t="str" s="348" r="AH273">
        <f>IF((AK$15=TRUE),IF(ISNUMBER(Profile!Y301),IF(ISNUMBER(Profile!Y302),(((X273+((F$63/2)*COS(RADIANS(Profile!Y302))))+(X273+((F$63/2)*COS(RADIANS(Profile!Y301)))))/2),(X273+((F$63/2)*COS(RADIANS(Profile!Y301))))),AH272),0)</f>
        <v>#VALUE!:notNumber:For input string: "---"</v>
      </c>
      <c t="str" s="348" r="AI273">
        <f>IF((AK$15=TRUE),IF(ISNUMBER(Profile!Y301),IF(ISNUMBER(Profile!Y302),(((Y273-((F$63/2)*SIN(RADIANS(Profile!Y302))))+(Y273-((F$63/2)*SIN(RADIANS(Profile!Y301)))))/2),(Y273-((F$63/2)*SIN(RADIANS(Profile!Y301))))),AI272),0)</f>
        <v>#VALUE!:notNumber:For input string: "---"</v>
      </c>
      <c t="str" s="348" r="AJ273">
        <f>IF((AK$15=TRUE),IF(ISNUMBER(Profile!Y301),IF(ISNUMBER(Profile!Y302),(((X273-((F$63/2)*COS(RADIANS(Profile!Y302))))+(X273-((F$63/2)*COS(RADIANS(Profile!Y301)))))/2),(X273-((F$63/2)*COS(RADIANS(Profile!Y301))))),AJ272),0)</f>
        <v>#VALUE!:notNumber:For input string: "---"</v>
      </c>
      <c t="str" s="799" r="AK273">
        <f>IF((AK$15=TRUE),IF(ISNUMBER(Profile!Y301),IF(ISNUMBER(Profile!Y302),(((Y273+((F$63/2)*SIN(RADIANS(Profile!Y302))))+(Y273+((F$63/2)*SIN(RADIANS(Profile!Y301)))))/2),(Y273+((F$63/2)*SIN(RADIANS(Profile!Y301))))),AK272),0)</f>
        <v>#VALUE!:notNumber:For input string: "---"</v>
      </c>
      <c s="51" r="AL273"/>
      <c s="125" r="AM273"/>
    </row>
    <row r="274">
      <c s="125" r="A274"/>
      <c s="125" r="B274"/>
      <c s="125" r="C274"/>
      <c s="125" r="D274"/>
      <c s="125" r="E274"/>
      <c s="125" r="F274"/>
      <c s="125" r="G274"/>
      <c s="125" r="H274"/>
      <c s="125" r="I274"/>
      <c s="125" r="J274"/>
      <c s="125" r="K274"/>
      <c s="125" r="L274"/>
      <c s="125" r="M274"/>
      <c s="125" r="N274"/>
      <c s="125" r="O274"/>
      <c s="125" r="P274"/>
      <c s="125" r="Q274"/>
      <c s="125" r="R274"/>
      <c s="125" r="S274"/>
      <c s="822" r="T274"/>
      <c t="str" s="309" r="U274">
        <f>IF((Profile!L302&gt;0),Profile!L302,"")</f>
        <v/>
      </c>
      <c t="str" s="861" r="V274">
        <f>IF((Profile!O302&gt;0),Profile!O302,"---")</f>
        <v>---</v>
      </c>
      <c t="str" s="861" r="W274">
        <f>IF((Profile!Y302=0),IF((Profile!Y301=0),"---",IF((Profile!Y303=0),"---",Profile!Y302)),Profile!Y302)</f>
        <v>---</v>
      </c>
      <c s="239" r="X274">
        <f>AB274+X273</f>
        <v>0</v>
      </c>
      <c s="796" r="Y274">
        <f>AC274+Y273</f>
        <v>0</v>
      </c>
      <c s="702" r="Z274"/>
      <c s="289" r="AA274">
        <f>IF(Profile!Y302,IF((Profile!O302=0),0,(Profile!O302-MAX(Profile!O$44:O301))),0)</f>
        <v>0</v>
      </c>
      <c s="605" r="AB274">
        <f>SIN(RADIANS(Profile!Y302))*AA274</f>
        <v>0</v>
      </c>
      <c s="605" r="AC274">
        <f>COS(RADIANS(Profile!Y302))*AA274</f>
        <v>0</v>
      </c>
      <c s="348" r="AD274">
        <f>IF((AJ$15=TRUE),X274,NA())</f>
        <v>0</v>
      </c>
      <c s="348" r="AE274">
        <f>IF((AJ$15=TRUE),Y274,NA())</f>
        <v>0</v>
      </c>
      <c t="str" s="348" r="AF274">
        <f>IF(Profile!L302,Y274,NA())</f>
        <v>#N/A:explicit</v>
      </c>
      <c s="348" r="AG274">
        <f>Profile!T302*E$40</f>
        <v>0</v>
      </c>
      <c t="str" s="348" r="AH274">
        <f>IF((AK$15=TRUE),IF(ISNUMBER(Profile!Y302),IF(ISNUMBER(Profile!Y303),(((X274+((F$63/2)*COS(RADIANS(Profile!Y303))))+(X274+((F$63/2)*COS(RADIANS(Profile!Y302)))))/2),(X274+((F$63/2)*COS(RADIANS(Profile!Y302))))),AH273),0)</f>
        <v>#VALUE!:notNumber:For input string: "---"</v>
      </c>
      <c t="str" s="348" r="AI274">
        <f>IF((AK$15=TRUE),IF(ISNUMBER(Profile!Y302),IF(ISNUMBER(Profile!Y303),(((Y274-((F$63/2)*SIN(RADIANS(Profile!Y303))))+(Y274-((F$63/2)*SIN(RADIANS(Profile!Y302)))))/2),(Y274-((F$63/2)*SIN(RADIANS(Profile!Y302))))),AI273),0)</f>
        <v>#VALUE!:notNumber:For input string: "---"</v>
      </c>
      <c t="str" s="348" r="AJ274">
        <f>IF((AK$15=TRUE),IF(ISNUMBER(Profile!Y302),IF(ISNUMBER(Profile!Y303),(((X274-((F$63/2)*COS(RADIANS(Profile!Y303))))+(X274-((F$63/2)*COS(RADIANS(Profile!Y302)))))/2),(X274-((F$63/2)*COS(RADIANS(Profile!Y302))))),AJ273),0)</f>
        <v>#VALUE!:notNumber:For input string: "---"</v>
      </c>
      <c t="str" s="799" r="AK274">
        <f>IF((AK$15=TRUE),IF(ISNUMBER(Profile!Y302),IF(ISNUMBER(Profile!Y303),(((Y274+((F$63/2)*SIN(RADIANS(Profile!Y303))))+(Y274+((F$63/2)*SIN(RADIANS(Profile!Y302)))))/2),(Y274+((F$63/2)*SIN(RADIANS(Profile!Y302))))),AK273),0)</f>
        <v>#VALUE!:notNumber:For input string: "---"</v>
      </c>
      <c s="51" r="AL274"/>
      <c s="125" r="AM274"/>
    </row>
    <row r="275">
      <c s="125" r="A275"/>
      <c s="125" r="B275"/>
      <c s="125" r="C275"/>
      <c s="125" r="D275"/>
      <c s="125" r="E275"/>
      <c s="125" r="F275"/>
      <c s="125" r="G275"/>
      <c s="125" r="H275"/>
      <c s="125" r="I275"/>
      <c s="125" r="J275"/>
      <c s="125" r="K275"/>
      <c s="125" r="L275"/>
      <c s="125" r="M275"/>
      <c s="125" r="N275"/>
      <c s="125" r="O275"/>
      <c s="125" r="P275"/>
      <c s="125" r="Q275"/>
      <c s="125" r="R275"/>
      <c s="125" r="S275"/>
      <c s="822" r="T275"/>
      <c t="str" s="309" r="U275">
        <f>IF((Profile!L303&gt;0),Profile!L303,"")</f>
        <v/>
      </c>
      <c t="str" s="861" r="V275">
        <f>IF((Profile!O303&gt;0),Profile!O303,"---")</f>
        <v>---</v>
      </c>
      <c t="str" s="861" r="W275">
        <f>IF((Profile!Y303=0),IF((Profile!Y302=0),"---",IF((Profile!Y304=0),"---",Profile!Y303)),Profile!Y303)</f>
        <v>---</v>
      </c>
      <c s="239" r="X275">
        <f>AB275+X274</f>
        <v>0</v>
      </c>
      <c s="796" r="Y275">
        <f>AC275+Y274</f>
        <v>0</v>
      </c>
      <c s="702" r="Z275"/>
      <c s="289" r="AA275">
        <f>IF(Profile!Y303,IF((Profile!O303=0),0,(Profile!O303-MAX(Profile!O$44:O302))),0)</f>
        <v>0</v>
      </c>
      <c s="605" r="AB275">
        <f>SIN(RADIANS(Profile!Y303))*AA275</f>
        <v>0</v>
      </c>
      <c s="605" r="AC275">
        <f>COS(RADIANS(Profile!Y303))*AA275</f>
        <v>0</v>
      </c>
      <c s="348" r="AD275">
        <f>IF((AJ$15=TRUE),X275,NA())</f>
        <v>0</v>
      </c>
      <c s="348" r="AE275">
        <f>IF((AJ$15=TRUE),Y275,NA())</f>
        <v>0</v>
      </c>
      <c t="str" s="348" r="AF275">
        <f>IF(Profile!L303,Y275,NA())</f>
        <v>#N/A:explicit</v>
      </c>
      <c s="348" r="AG275">
        <f>Profile!T303*E$40</f>
        <v>0</v>
      </c>
      <c t="str" s="348" r="AH275">
        <f>IF((AK$15=TRUE),IF(ISNUMBER(Profile!Y303),IF(ISNUMBER(Profile!Y304),(((X275+((F$63/2)*COS(RADIANS(Profile!Y304))))+(X275+((F$63/2)*COS(RADIANS(Profile!Y303)))))/2),(X275+((F$63/2)*COS(RADIANS(Profile!Y303))))),AH274),0)</f>
        <v>#VALUE!:notNumber:For input string: "---"</v>
      </c>
      <c t="str" s="348" r="AI275">
        <f>IF((AK$15=TRUE),IF(ISNUMBER(Profile!Y303),IF(ISNUMBER(Profile!Y304),(((Y275-((F$63/2)*SIN(RADIANS(Profile!Y304))))+(Y275-((F$63/2)*SIN(RADIANS(Profile!Y303)))))/2),(Y275-((F$63/2)*SIN(RADIANS(Profile!Y303))))),AI274),0)</f>
        <v>#VALUE!:notNumber:For input string: "---"</v>
      </c>
      <c t="str" s="348" r="AJ275">
        <f>IF((AK$15=TRUE),IF(ISNUMBER(Profile!Y303),IF(ISNUMBER(Profile!Y304),(((X275-((F$63/2)*COS(RADIANS(Profile!Y304))))+(X275-((F$63/2)*COS(RADIANS(Profile!Y303)))))/2),(X275-((F$63/2)*COS(RADIANS(Profile!Y303))))),AJ274),0)</f>
        <v>#VALUE!:notNumber:For input string: "---"</v>
      </c>
      <c t="str" s="799" r="AK275">
        <f>IF((AK$15=TRUE),IF(ISNUMBER(Profile!Y303),IF(ISNUMBER(Profile!Y304),(((Y275+((F$63/2)*SIN(RADIANS(Profile!Y304))))+(Y275+((F$63/2)*SIN(RADIANS(Profile!Y303)))))/2),(Y275+((F$63/2)*SIN(RADIANS(Profile!Y303))))),AK274),0)</f>
        <v>#VALUE!:notNumber:For input string: "---"</v>
      </c>
      <c s="51" r="AL275"/>
      <c s="125" r="AM275"/>
    </row>
    <row r="276">
      <c s="125" r="A276"/>
      <c s="125" r="B276"/>
      <c s="125" r="C276"/>
      <c s="125" r="D276"/>
      <c s="125" r="E276"/>
      <c s="125" r="F276"/>
      <c s="125" r="G276"/>
      <c s="125" r="H276"/>
      <c s="125" r="I276"/>
      <c s="125" r="J276"/>
      <c s="125" r="K276"/>
      <c s="125" r="L276"/>
      <c s="125" r="M276"/>
      <c s="125" r="N276"/>
      <c s="125" r="O276"/>
      <c s="125" r="P276"/>
      <c s="125" r="Q276"/>
      <c s="125" r="R276"/>
      <c s="125" r="S276"/>
      <c s="822" r="T276"/>
      <c t="str" s="309" r="U276">
        <f>IF((Profile!L304&gt;0),Profile!L304,"")</f>
        <v/>
      </c>
      <c t="str" s="861" r="V276">
        <f>IF((Profile!O304&gt;0),Profile!O304,"---")</f>
        <v>---</v>
      </c>
      <c t="str" s="861" r="W276">
        <f>IF((Profile!Y304=0),IF((Profile!Y303=0),"---",IF((Profile!Y305=0),"---",Profile!Y304)),Profile!Y304)</f>
        <v>---</v>
      </c>
      <c s="239" r="X276">
        <f>AB276+X275</f>
        <v>0</v>
      </c>
      <c s="796" r="Y276">
        <f>AC276+Y275</f>
        <v>0</v>
      </c>
      <c s="702" r="Z276"/>
      <c s="289" r="AA276">
        <f>IF(Profile!Y304,IF((Profile!O304=0),0,(Profile!O304-MAX(Profile!O$44:O303))),0)</f>
        <v>0</v>
      </c>
      <c s="605" r="AB276">
        <f>SIN(RADIANS(Profile!Y304))*AA276</f>
        <v>0</v>
      </c>
      <c s="605" r="AC276">
        <f>COS(RADIANS(Profile!Y304))*AA276</f>
        <v>0</v>
      </c>
      <c s="348" r="AD276">
        <f>IF((AJ$15=TRUE),X276,NA())</f>
        <v>0</v>
      </c>
      <c s="348" r="AE276">
        <f>IF((AJ$15=TRUE),Y276,NA())</f>
        <v>0</v>
      </c>
      <c t="str" s="348" r="AF276">
        <f>IF(Profile!L304,Y276,NA())</f>
        <v>#N/A:explicit</v>
      </c>
      <c s="348" r="AG276">
        <f>Profile!T304*E$40</f>
        <v>0</v>
      </c>
      <c t="str" s="348" r="AH276">
        <f>IF((AK$15=TRUE),IF(ISNUMBER(Profile!Y304),IF(ISNUMBER(Profile!Y305),(((X276+((F$63/2)*COS(RADIANS(Profile!Y305))))+(X276+((F$63/2)*COS(RADIANS(Profile!Y304)))))/2),(X276+((F$63/2)*COS(RADIANS(Profile!Y304))))),AH275),0)</f>
        <v>#VALUE!:notNumber:For input string: "---"</v>
      </c>
      <c t="str" s="348" r="AI276">
        <f>IF((AK$15=TRUE),IF(ISNUMBER(Profile!Y304),IF(ISNUMBER(Profile!Y305),(((Y276-((F$63/2)*SIN(RADIANS(Profile!Y305))))+(Y276-((F$63/2)*SIN(RADIANS(Profile!Y304)))))/2),(Y276-((F$63/2)*SIN(RADIANS(Profile!Y304))))),AI275),0)</f>
        <v>#VALUE!:notNumber:For input string: "---"</v>
      </c>
      <c t="str" s="348" r="AJ276">
        <f>IF((AK$15=TRUE),IF(ISNUMBER(Profile!Y304),IF(ISNUMBER(Profile!Y305),(((X276-((F$63/2)*COS(RADIANS(Profile!Y305))))+(X276-((F$63/2)*COS(RADIANS(Profile!Y304)))))/2),(X276-((F$63/2)*COS(RADIANS(Profile!Y304))))),AJ275),0)</f>
        <v>#VALUE!:notNumber:For input string: "---"</v>
      </c>
      <c t="str" s="799" r="AK276">
        <f>IF((AK$15=TRUE),IF(ISNUMBER(Profile!Y304),IF(ISNUMBER(Profile!Y305),(((Y276+((F$63/2)*SIN(RADIANS(Profile!Y305))))+(Y276+((F$63/2)*SIN(RADIANS(Profile!Y304)))))/2),(Y276+((F$63/2)*SIN(RADIANS(Profile!Y304))))),AK275),0)</f>
        <v>#VALUE!:notNumber:For input string: "---"</v>
      </c>
      <c s="51" r="AL276"/>
      <c s="125" r="AM276"/>
    </row>
    <row r="277">
      <c s="125" r="A277"/>
      <c s="125" r="B277"/>
      <c s="125" r="C277"/>
      <c s="125" r="D277"/>
      <c s="125" r="E277"/>
      <c s="125" r="F277"/>
      <c s="125" r="G277"/>
      <c s="125" r="H277"/>
      <c s="125" r="I277"/>
      <c s="125" r="J277"/>
      <c s="125" r="K277"/>
      <c s="125" r="L277"/>
      <c s="125" r="M277"/>
      <c s="125" r="N277"/>
      <c s="125" r="O277"/>
      <c s="125" r="P277"/>
      <c s="125" r="Q277"/>
      <c s="125" r="R277"/>
      <c s="125" r="S277"/>
      <c s="822" r="T277"/>
      <c t="str" s="309" r="U277">
        <f>IF((Profile!L305&gt;0),Profile!L305,"")</f>
        <v/>
      </c>
      <c t="str" s="861" r="V277">
        <f>IF((Profile!O305&gt;0),Profile!O305,"---")</f>
        <v>---</v>
      </c>
      <c t="str" s="861" r="W277">
        <f>IF((Profile!Y305=0),IF((Profile!Y304=0),"---",IF((Profile!Y306=0),"---",Profile!Y305)),Profile!Y305)</f>
        <v>---</v>
      </c>
      <c s="239" r="X277">
        <f>AB277+X276</f>
        <v>0</v>
      </c>
      <c s="796" r="Y277">
        <f>AC277+Y276</f>
        <v>0</v>
      </c>
      <c s="702" r="Z277"/>
      <c s="289" r="AA277">
        <f>IF(Profile!Y305,IF((Profile!O305=0),0,(Profile!O305-MAX(Profile!O$44:O304))),0)</f>
        <v>0</v>
      </c>
      <c s="605" r="AB277">
        <f>SIN(RADIANS(Profile!Y305))*AA277</f>
        <v>0</v>
      </c>
      <c s="605" r="AC277">
        <f>COS(RADIANS(Profile!Y305))*AA277</f>
        <v>0</v>
      </c>
      <c s="348" r="AD277">
        <f>IF((AJ$15=TRUE),X277,NA())</f>
        <v>0</v>
      </c>
      <c s="348" r="AE277">
        <f>IF((AJ$15=TRUE),Y277,NA())</f>
        <v>0</v>
      </c>
      <c t="str" s="348" r="AF277">
        <f>IF(Profile!L305,Y277,NA())</f>
        <v>#N/A:explicit</v>
      </c>
      <c s="348" r="AG277">
        <f>Profile!T305*E$40</f>
        <v>0</v>
      </c>
      <c t="str" s="348" r="AH277">
        <f>IF((AK$15=TRUE),IF(ISNUMBER(Profile!Y305),IF(ISNUMBER(Profile!Y306),(((X277+((F$63/2)*COS(RADIANS(Profile!Y306))))+(X277+((F$63/2)*COS(RADIANS(Profile!Y305)))))/2),(X277+((F$63/2)*COS(RADIANS(Profile!Y305))))),AH276),0)</f>
        <v>#VALUE!:notNumber:For input string: "---"</v>
      </c>
      <c t="str" s="348" r="AI277">
        <f>IF((AK$15=TRUE),IF(ISNUMBER(Profile!Y305),IF(ISNUMBER(Profile!Y306),(((Y277-((F$63/2)*SIN(RADIANS(Profile!Y306))))+(Y277-((F$63/2)*SIN(RADIANS(Profile!Y305)))))/2),(Y277-((F$63/2)*SIN(RADIANS(Profile!Y305))))),AI276),0)</f>
        <v>#VALUE!:notNumber:For input string: "---"</v>
      </c>
      <c t="str" s="348" r="AJ277">
        <f>IF((AK$15=TRUE),IF(ISNUMBER(Profile!Y305),IF(ISNUMBER(Profile!Y306),(((X277-((F$63/2)*COS(RADIANS(Profile!Y306))))+(X277-((F$63/2)*COS(RADIANS(Profile!Y305)))))/2),(X277-((F$63/2)*COS(RADIANS(Profile!Y305))))),AJ276),0)</f>
        <v>#VALUE!:notNumber:For input string: "---"</v>
      </c>
      <c t="str" s="799" r="AK277">
        <f>IF((AK$15=TRUE),IF(ISNUMBER(Profile!Y305),IF(ISNUMBER(Profile!Y306),(((Y277+((F$63/2)*SIN(RADIANS(Profile!Y306))))+(Y277+((F$63/2)*SIN(RADIANS(Profile!Y305)))))/2),(Y277+((F$63/2)*SIN(RADIANS(Profile!Y305))))),AK276),0)</f>
        <v>#VALUE!:notNumber:For input string: "---"</v>
      </c>
      <c s="51" r="AL277"/>
      <c s="125" r="AM277"/>
    </row>
    <row r="278">
      <c s="125" r="A278"/>
      <c s="125" r="B278"/>
      <c s="125" r="C278"/>
      <c s="125" r="D278"/>
      <c s="125" r="E278"/>
      <c s="125" r="F278"/>
      <c s="125" r="G278"/>
      <c s="125" r="H278"/>
      <c s="125" r="I278"/>
      <c s="125" r="J278"/>
      <c s="125" r="K278"/>
      <c s="125" r="L278"/>
      <c s="125" r="M278"/>
      <c s="125" r="N278"/>
      <c s="125" r="O278"/>
      <c s="125" r="P278"/>
      <c s="125" r="Q278"/>
      <c s="125" r="R278"/>
      <c s="125" r="S278"/>
      <c s="822" r="T278"/>
      <c t="str" s="309" r="U278">
        <f>IF((Profile!L306&gt;0),Profile!L306,"")</f>
        <v/>
      </c>
      <c t="str" s="861" r="V278">
        <f>IF((Profile!O306&gt;0),Profile!O306,"---")</f>
        <v>---</v>
      </c>
      <c t="str" s="861" r="W278">
        <f>IF((Profile!Y306=0),IF((Profile!Y305=0),"---",IF((Profile!Y307=0),"---",Profile!Y306)),Profile!Y306)</f>
        <v>---</v>
      </c>
      <c s="239" r="X278">
        <f>AB278+X277</f>
        <v>0</v>
      </c>
      <c s="796" r="Y278">
        <f>AC278+Y277</f>
        <v>0</v>
      </c>
      <c s="702" r="Z278"/>
      <c s="289" r="AA278">
        <f>IF(Profile!Y306,IF((Profile!O306=0),0,(Profile!O306-MAX(Profile!O$44:O305))),0)</f>
        <v>0</v>
      </c>
      <c s="605" r="AB278">
        <f>SIN(RADIANS(Profile!Y306))*AA278</f>
        <v>0</v>
      </c>
      <c s="605" r="AC278">
        <f>COS(RADIANS(Profile!Y306))*AA278</f>
        <v>0</v>
      </c>
      <c s="348" r="AD278">
        <f>IF((AJ$15=TRUE),X278,NA())</f>
        <v>0</v>
      </c>
      <c s="348" r="AE278">
        <f>IF((AJ$15=TRUE),Y278,NA())</f>
        <v>0</v>
      </c>
      <c t="str" s="348" r="AF278">
        <f>IF(Profile!L306,Y278,NA())</f>
        <v>#N/A:explicit</v>
      </c>
      <c s="348" r="AG278">
        <f>Profile!T306*E$40</f>
        <v>0</v>
      </c>
      <c t="str" s="348" r="AH278">
        <f>IF((AK$15=TRUE),IF(ISNUMBER(Profile!Y306),IF(ISNUMBER(Profile!Y307),(((X278+((F$63/2)*COS(RADIANS(Profile!Y307))))+(X278+((F$63/2)*COS(RADIANS(Profile!Y306)))))/2),(X278+((F$63/2)*COS(RADIANS(Profile!Y306))))),AH277),0)</f>
        <v>#VALUE!:notNumber:For input string: "---"</v>
      </c>
      <c t="str" s="348" r="AI278">
        <f>IF((AK$15=TRUE),IF(ISNUMBER(Profile!Y306),IF(ISNUMBER(Profile!Y307),(((Y278-((F$63/2)*SIN(RADIANS(Profile!Y307))))+(Y278-((F$63/2)*SIN(RADIANS(Profile!Y306)))))/2),(Y278-((F$63/2)*SIN(RADIANS(Profile!Y306))))),AI277),0)</f>
        <v>#VALUE!:notNumber:For input string: "---"</v>
      </c>
      <c t="str" s="348" r="AJ278">
        <f>IF((AK$15=TRUE),IF(ISNUMBER(Profile!Y306),IF(ISNUMBER(Profile!Y307),(((X278-((F$63/2)*COS(RADIANS(Profile!Y307))))+(X278-((F$63/2)*COS(RADIANS(Profile!Y306)))))/2),(X278-((F$63/2)*COS(RADIANS(Profile!Y306))))),AJ277),0)</f>
        <v>#VALUE!:notNumber:For input string: "---"</v>
      </c>
      <c t="str" s="799" r="AK278">
        <f>IF((AK$15=TRUE),IF(ISNUMBER(Profile!Y306),IF(ISNUMBER(Profile!Y307),(((Y278+((F$63/2)*SIN(RADIANS(Profile!Y307))))+(Y278+((F$63/2)*SIN(RADIANS(Profile!Y306)))))/2),(Y278+((F$63/2)*SIN(RADIANS(Profile!Y306))))),AK277),0)</f>
        <v>#VALUE!:notNumber:For input string: "---"</v>
      </c>
      <c s="51" r="AL278"/>
      <c s="125" r="AM278"/>
    </row>
    <row r="279">
      <c s="125" r="A279"/>
      <c s="125" r="B279"/>
      <c s="125" r="C279"/>
      <c s="125" r="D279"/>
      <c s="125" r="E279"/>
      <c s="125" r="F279"/>
      <c s="125" r="G279"/>
      <c s="125" r="H279"/>
      <c s="125" r="I279"/>
      <c s="125" r="J279"/>
      <c s="125" r="K279"/>
      <c s="125" r="L279"/>
      <c s="125" r="M279"/>
      <c s="125" r="N279"/>
      <c s="125" r="O279"/>
      <c s="125" r="P279"/>
      <c s="125" r="Q279"/>
      <c s="125" r="R279"/>
      <c s="125" r="S279"/>
      <c s="822" r="T279"/>
      <c t="str" s="309" r="U279">
        <f>IF((Profile!L307&gt;0),Profile!L307,"")</f>
        <v/>
      </c>
      <c t="str" s="861" r="V279">
        <f>IF((Profile!O307&gt;0),Profile!O307,"---")</f>
        <v>---</v>
      </c>
      <c t="str" s="861" r="W279">
        <f>IF((Profile!Y307=0),IF((Profile!Y306=0),"---",IF((Profile!Y308=0),"---",Profile!Y307)),Profile!Y307)</f>
        <v>---</v>
      </c>
      <c s="239" r="X279">
        <f>AB279+X278</f>
        <v>0</v>
      </c>
      <c s="796" r="Y279">
        <f>AC279+Y278</f>
        <v>0</v>
      </c>
      <c s="702" r="Z279"/>
      <c s="289" r="AA279">
        <f>IF(Profile!Y307,IF((Profile!O307=0),0,(Profile!O307-MAX(Profile!O$44:O306))),0)</f>
        <v>0</v>
      </c>
      <c s="605" r="AB279">
        <f>SIN(RADIANS(Profile!Y307))*AA279</f>
        <v>0</v>
      </c>
      <c s="605" r="AC279">
        <f>COS(RADIANS(Profile!Y307))*AA279</f>
        <v>0</v>
      </c>
      <c s="348" r="AD279">
        <f>IF((AJ$15=TRUE),X279,NA())</f>
        <v>0</v>
      </c>
      <c s="348" r="AE279">
        <f>IF((AJ$15=TRUE),Y279,NA())</f>
        <v>0</v>
      </c>
      <c t="str" s="348" r="AF279">
        <f>IF(Profile!L307,Y279,NA())</f>
        <v>#N/A:explicit</v>
      </c>
      <c s="348" r="AG279">
        <f>Profile!T307*E$40</f>
        <v>0</v>
      </c>
      <c t="str" s="348" r="AH279">
        <f>IF((AK$15=TRUE),IF(ISNUMBER(Profile!Y307),IF(ISNUMBER(Profile!Y308),(((X279+((F$63/2)*COS(RADIANS(Profile!Y308))))+(X279+((F$63/2)*COS(RADIANS(Profile!Y307)))))/2),(X279+((F$63/2)*COS(RADIANS(Profile!Y307))))),AH278),0)</f>
        <v>#VALUE!:notNumber:For input string: "---"</v>
      </c>
      <c t="str" s="348" r="AI279">
        <f>IF((AK$15=TRUE),IF(ISNUMBER(Profile!Y307),IF(ISNUMBER(Profile!Y308),(((Y279-((F$63/2)*SIN(RADIANS(Profile!Y308))))+(Y279-((F$63/2)*SIN(RADIANS(Profile!Y307)))))/2),(Y279-((F$63/2)*SIN(RADIANS(Profile!Y307))))),AI278),0)</f>
        <v>#VALUE!:notNumber:For input string: "---"</v>
      </c>
      <c t="str" s="348" r="AJ279">
        <f>IF((AK$15=TRUE),IF(ISNUMBER(Profile!Y307),IF(ISNUMBER(Profile!Y308),(((X279-((F$63/2)*COS(RADIANS(Profile!Y308))))+(X279-((F$63/2)*COS(RADIANS(Profile!Y307)))))/2),(X279-((F$63/2)*COS(RADIANS(Profile!Y307))))),AJ278),0)</f>
        <v>#VALUE!:notNumber:For input string: "---"</v>
      </c>
      <c t="str" s="799" r="AK279">
        <f>IF((AK$15=TRUE),IF(ISNUMBER(Profile!Y307),IF(ISNUMBER(Profile!Y308),(((Y279+((F$63/2)*SIN(RADIANS(Profile!Y308))))+(Y279+((F$63/2)*SIN(RADIANS(Profile!Y307)))))/2),(Y279+((F$63/2)*SIN(RADIANS(Profile!Y307))))),AK278),0)</f>
        <v>#VALUE!:notNumber:For input string: "---"</v>
      </c>
      <c s="51" r="AL279"/>
      <c s="125" r="AM279"/>
    </row>
    <row r="280">
      <c s="125" r="A280"/>
      <c s="125" r="B280"/>
      <c s="125" r="C280"/>
      <c s="125" r="D280"/>
      <c s="125" r="E280"/>
      <c s="125" r="F280"/>
      <c s="125" r="G280"/>
      <c s="125" r="H280"/>
      <c s="125" r="I280"/>
      <c s="125" r="J280"/>
      <c s="125" r="K280"/>
      <c s="125" r="L280"/>
      <c s="125" r="M280"/>
      <c s="125" r="N280"/>
      <c s="125" r="O280"/>
      <c s="125" r="P280"/>
      <c s="125" r="Q280"/>
      <c s="125" r="R280"/>
      <c s="125" r="S280"/>
      <c s="822" r="T280"/>
      <c t="str" s="309" r="U280">
        <f>IF((Profile!L308&gt;0),Profile!L308,"")</f>
        <v/>
      </c>
      <c t="str" s="861" r="V280">
        <f>IF((Profile!O308&gt;0),Profile!O308,"---")</f>
        <v>---</v>
      </c>
      <c t="str" s="861" r="W280">
        <f>IF((Profile!Y308=0),IF((Profile!Y307=0),"---",IF((Profile!Y309=0),"---",Profile!Y308)),Profile!Y308)</f>
        <v>---</v>
      </c>
      <c s="239" r="X280">
        <f>AB280+X279</f>
        <v>0</v>
      </c>
      <c s="796" r="Y280">
        <f>AC280+Y279</f>
        <v>0</v>
      </c>
      <c s="702" r="Z280"/>
      <c s="289" r="AA280">
        <f>IF(Profile!Y308,IF((Profile!O308=0),0,(Profile!O308-MAX(Profile!O$44:O307))),0)</f>
        <v>0</v>
      </c>
      <c s="605" r="AB280">
        <f>SIN(RADIANS(Profile!Y308))*AA280</f>
        <v>0</v>
      </c>
      <c s="605" r="AC280">
        <f>COS(RADIANS(Profile!Y308))*AA280</f>
        <v>0</v>
      </c>
      <c s="348" r="AD280">
        <f>IF((AJ$15=TRUE),X280,NA())</f>
        <v>0</v>
      </c>
      <c s="348" r="AE280">
        <f>IF((AJ$15=TRUE),Y280,NA())</f>
        <v>0</v>
      </c>
      <c t="str" s="348" r="AF280">
        <f>IF(Profile!L308,Y280,NA())</f>
        <v>#N/A:explicit</v>
      </c>
      <c s="348" r="AG280">
        <f>Profile!T308*E$40</f>
        <v>0</v>
      </c>
      <c t="str" s="348" r="AH280">
        <f>IF((AK$15=TRUE),IF(ISNUMBER(Profile!Y308),IF(ISNUMBER(Profile!Y309),(((X280+((F$63/2)*COS(RADIANS(Profile!Y309))))+(X280+((F$63/2)*COS(RADIANS(Profile!Y308)))))/2),(X280+((F$63/2)*COS(RADIANS(Profile!Y308))))),AH279),0)</f>
        <v>#VALUE!:notNumber:For input string: "---"</v>
      </c>
      <c t="str" s="348" r="AI280">
        <f>IF((AK$15=TRUE),IF(ISNUMBER(Profile!Y308),IF(ISNUMBER(Profile!Y309),(((Y280-((F$63/2)*SIN(RADIANS(Profile!Y309))))+(Y280-((F$63/2)*SIN(RADIANS(Profile!Y308)))))/2),(Y280-((F$63/2)*SIN(RADIANS(Profile!Y308))))),AI279),0)</f>
        <v>#VALUE!:notNumber:For input string: "---"</v>
      </c>
      <c t="str" s="348" r="AJ280">
        <f>IF((AK$15=TRUE),IF(ISNUMBER(Profile!Y308),IF(ISNUMBER(Profile!Y309),(((X280-((F$63/2)*COS(RADIANS(Profile!Y309))))+(X280-((F$63/2)*COS(RADIANS(Profile!Y308)))))/2),(X280-((F$63/2)*COS(RADIANS(Profile!Y308))))),AJ279),0)</f>
        <v>#VALUE!:notNumber:For input string: "---"</v>
      </c>
      <c t="str" s="799" r="AK280">
        <f>IF((AK$15=TRUE),IF(ISNUMBER(Profile!Y308),IF(ISNUMBER(Profile!Y309),(((Y280+((F$63/2)*SIN(RADIANS(Profile!Y309))))+(Y280+((F$63/2)*SIN(RADIANS(Profile!Y308)))))/2),(Y280+((F$63/2)*SIN(RADIANS(Profile!Y308))))),AK279),0)</f>
        <v>#VALUE!:notNumber:For input string: "---"</v>
      </c>
      <c s="51" r="AL280"/>
      <c s="125" r="AM280"/>
    </row>
    <row r="281">
      <c s="125" r="A281"/>
      <c s="125" r="B281"/>
      <c s="125" r="C281"/>
      <c s="125" r="D281"/>
      <c s="125" r="E281"/>
      <c s="125" r="F281"/>
      <c s="125" r="G281"/>
      <c s="125" r="H281"/>
      <c s="125" r="I281"/>
      <c s="125" r="J281"/>
      <c s="125" r="K281"/>
      <c s="125" r="L281"/>
      <c s="125" r="M281"/>
      <c s="125" r="N281"/>
      <c s="125" r="O281"/>
      <c s="125" r="P281"/>
      <c s="125" r="Q281"/>
      <c s="125" r="R281"/>
      <c s="125" r="S281"/>
      <c s="822" r="T281"/>
      <c t="str" s="309" r="U281">
        <f>IF((Profile!L309&gt;0),Profile!L309,"")</f>
        <v/>
      </c>
      <c t="str" s="861" r="V281">
        <f>IF((Profile!O309&gt;0),Profile!O309,"---")</f>
        <v>---</v>
      </c>
      <c t="str" s="861" r="W281">
        <f>IF((Profile!Y309=0),IF((Profile!Y308=0),"---",IF((Profile!Y310=0),"---",Profile!Y309)),Profile!Y309)</f>
        <v>---</v>
      </c>
      <c s="239" r="X281">
        <f>AB281+X280</f>
        <v>0</v>
      </c>
      <c s="796" r="Y281">
        <f>AC281+Y280</f>
        <v>0</v>
      </c>
      <c s="702" r="Z281"/>
      <c s="289" r="AA281">
        <f>IF(Profile!Y309,IF((Profile!O309=0),0,(Profile!O309-MAX(Profile!O$44:O308))),0)</f>
        <v>0</v>
      </c>
      <c s="605" r="AB281">
        <f>SIN(RADIANS(Profile!Y309))*AA281</f>
        <v>0</v>
      </c>
      <c s="605" r="AC281">
        <f>COS(RADIANS(Profile!Y309))*AA281</f>
        <v>0</v>
      </c>
      <c s="348" r="AD281">
        <f>IF((AJ$15=TRUE),X281,NA())</f>
        <v>0</v>
      </c>
      <c s="348" r="AE281">
        <f>IF((AJ$15=TRUE),Y281,NA())</f>
        <v>0</v>
      </c>
      <c t="str" s="348" r="AF281">
        <f>IF(Profile!L309,Y281,NA())</f>
        <v>#N/A:explicit</v>
      </c>
      <c s="348" r="AG281">
        <f>Profile!T309*E$40</f>
        <v>0</v>
      </c>
      <c t="str" s="348" r="AH281">
        <f>IF((AK$15=TRUE),IF(ISNUMBER(Profile!Y309),IF(ISNUMBER(Profile!Y310),(((X281+((F$63/2)*COS(RADIANS(Profile!Y310))))+(X281+((F$63/2)*COS(RADIANS(Profile!Y309)))))/2),(X281+((F$63/2)*COS(RADIANS(Profile!Y309))))),AH280),0)</f>
        <v>#VALUE!:notNumber:For input string: "---"</v>
      </c>
      <c t="str" s="348" r="AI281">
        <f>IF((AK$15=TRUE),IF(ISNUMBER(Profile!Y309),IF(ISNUMBER(Profile!Y310),(((Y281-((F$63/2)*SIN(RADIANS(Profile!Y310))))+(Y281-((F$63/2)*SIN(RADIANS(Profile!Y309)))))/2),(Y281-((F$63/2)*SIN(RADIANS(Profile!Y309))))),AI280),0)</f>
        <v>#VALUE!:notNumber:For input string: "---"</v>
      </c>
      <c t="str" s="348" r="AJ281">
        <f>IF((AK$15=TRUE),IF(ISNUMBER(Profile!Y309),IF(ISNUMBER(Profile!Y310),(((X281-((F$63/2)*COS(RADIANS(Profile!Y310))))+(X281-((F$63/2)*COS(RADIANS(Profile!Y309)))))/2),(X281-((F$63/2)*COS(RADIANS(Profile!Y309))))),AJ280),0)</f>
        <v>#VALUE!:notNumber:For input string: "---"</v>
      </c>
      <c t="str" s="799" r="AK281">
        <f>IF((AK$15=TRUE),IF(ISNUMBER(Profile!Y309),IF(ISNUMBER(Profile!Y310),(((Y281+((F$63/2)*SIN(RADIANS(Profile!Y310))))+(Y281+((F$63/2)*SIN(RADIANS(Profile!Y309)))))/2),(Y281+((F$63/2)*SIN(RADIANS(Profile!Y309))))),AK280),0)</f>
        <v>#VALUE!:notNumber:For input string: "---"</v>
      </c>
      <c s="51" r="AL281"/>
      <c s="125" r="AM281"/>
    </row>
    <row r="282">
      <c s="125" r="A282"/>
      <c s="125" r="B282"/>
      <c s="125" r="C282"/>
      <c s="125" r="D282"/>
      <c s="125" r="E282"/>
      <c s="125" r="F282"/>
      <c s="125" r="G282"/>
      <c s="125" r="H282"/>
      <c s="125" r="I282"/>
      <c s="125" r="J282"/>
      <c s="125" r="K282"/>
      <c s="125" r="L282"/>
      <c s="125" r="M282"/>
      <c s="125" r="N282"/>
      <c s="125" r="O282"/>
      <c s="125" r="P282"/>
      <c s="125" r="Q282"/>
      <c s="125" r="R282"/>
      <c s="125" r="S282"/>
      <c s="822" r="T282"/>
      <c t="str" s="309" r="U282">
        <f>IF((Profile!L310&gt;0),Profile!L310,"")</f>
        <v/>
      </c>
      <c t="str" s="861" r="V282">
        <f>IF((Profile!O310&gt;0),Profile!O310,"---")</f>
        <v>---</v>
      </c>
      <c t="str" s="861" r="W282">
        <f>IF((Profile!Y310=0),IF((Profile!Y309=0),"---",IF((Profile!Y311=0),"---",Profile!Y310)),Profile!Y310)</f>
        <v>---</v>
      </c>
      <c s="239" r="X282">
        <f>AB282+X281</f>
        <v>0</v>
      </c>
      <c s="796" r="Y282">
        <f>AC282+Y281</f>
        <v>0</v>
      </c>
      <c s="702" r="Z282"/>
      <c s="289" r="AA282">
        <f>IF(Profile!Y310,IF((Profile!O310=0),0,(Profile!O310-MAX(Profile!O$44:O309))),0)</f>
        <v>0</v>
      </c>
      <c s="605" r="AB282">
        <f>SIN(RADIANS(Profile!Y310))*AA282</f>
        <v>0</v>
      </c>
      <c s="605" r="AC282">
        <f>COS(RADIANS(Profile!Y310))*AA282</f>
        <v>0</v>
      </c>
      <c s="348" r="AD282">
        <f>IF((AJ$15=TRUE),X282,NA())</f>
        <v>0</v>
      </c>
      <c s="348" r="AE282">
        <f>IF((AJ$15=TRUE),Y282,NA())</f>
        <v>0</v>
      </c>
      <c t="str" s="348" r="AF282">
        <f>IF(Profile!L310,Y282,NA())</f>
        <v>#N/A:explicit</v>
      </c>
      <c s="348" r="AG282">
        <f>Profile!T310*E$40</f>
        <v>0</v>
      </c>
      <c t="str" s="348" r="AH282">
        <f>IF((AK$15=TRUE),IF(ISNUMBER(Profile!Y310),IF(ISNUMBER(Profile!Y311),(((X282+((F$63/2)*COS(RADIANS(Profile!Y311))))+(X282+((F$63/2)*COS(RADIANS(Profile!Y310)))))/2),(X282+((F$63/2)*COS(RADIANS(Profile!Y310))))),AH281),0)</f>
        <v>#VALUE!:notNumber:For input string: "---"</v>
      </c>
      <c t="str" s="348" r="AI282">
        <f>IF((AK$15=TRUE),IF(ISNUMBER(Profile!Y310),IF(ISNUMBER(Profile!Y311),(((Y282-((F$63/2)*SIN(RADIANS(Profile!Y311))))+(Y282-((F$63/2)*SIN(RADIANS(Profile!Y310)))))/2),(Y282-((F$63/2)*SIN(RADIANS(Profile!Y310))))),AI281),0)</f>
        <v>#VALUE!:notNumber:For input string: "---"</v>
      </c>
      <c t="str" s="348" r="AJ282">
        <f>IF((AK$15=TRUE),IF(ISNUMBER(Profile!Y310),IF(ISNUMBER(Profile!Y311),(((X282-((F$63/2)*COS(RADIANS(Profile!Y311))))+(X282-((F$63/2)*COS(RADIANS(Profile!Y310)))))/2),(X282-((F$63/2)*COS(RADIANS(Profile!Y310))))),AJ281),0)</f>
        <v>#VALUE!:notNumber:For input string: "---"</v>
      </c>
      <c t="str" s="799" r="AK282">
        <f>IF((AK$15=TRUE),IF(ISNUMBER(Profile!Y310),IF(ISNUMBER(Profile!Y311),(((Y282+((F$63/2)*SIN(RADIANS(Profile!Y311))))+(Y282+((F$63/2)*SIN(RADIANS(Profile!Y310)))))/2),(Y282+((F$63/2)*SIN(RADIANS(Profile!Y310))))),AK281),0)</f>
        <v>#VALUE!:notNumber:For input string: "---"</v>
      </c>
      <c s="51" r="AL282"/>
      <c s="125" r="AM282"/>
    </row>
    <row r="283">
      <c s="125" r="A283"/>
      <c s="125" r="B283"/>
      <c s="125" r="C283"/>
      <c s="125" r="D283"/>
      <c s="125" r="E283"/>
      <c s="125" r="F283"/>
      <c s="125" r="G283"/>
      <c s="125" r="H283"/>
      <c s="125" r="I283"/>
      <c s="125" r="J283"/>
      <c s="125" r="K283"/>
      <c s="125" r="L283"/>
      <c s="125" r="M283"/>
      <c s="125" r="N283"/>
      <c s="125" r="O283"/>
      <c s="125" r="P283"/>
      <c s="125" r="Q283"/>
      <c s="125" r="R283"/>
      <c s="125" r="S283"/>
      <c s="822" r="T283"/>
      <c t="str" s="309" r="U283">
        <f>IF((Profile!L311&gt;0),Profile!L311,"")</f>
        <v/>
      </c>
      <c t="str" s="861" r="V283">
        <f>IF((Profile!O311&gt;0),Profile!O311,"---")</f>
        <v>---</v>
      </c>
      <c t="str" s="861" r="W283">
        <f>IF((Profile!Y311=0),IF((Profile!Y310=0),"---",IF((Profile!Y312=0),"---",Profile!Y311)),Profile!Y311)</f>
        <v>---</v>
      </c>
      <c s="239" r="X283">
        <f>AB283+X282</f>
        <v>0</v>
      </c>
      <c s="796" r="Y283">
        <f>AC283+Y282</f>
        <v>0</v>
      </c>
      <c s="702" r="Z283"/>
      <c s="289" r="AA283">
        <f>IF(Profile!Y311,IF((Profile!O311=0),0,(Profile!O311-MAX(Profile!O$44:O310))),0)</f>
        <v>0</v>
      </c>
      <c s="605" r="AB283">
        <f>SIN(RADIANS(Profile!Y311))*AA283</f>
        <v>0</v>
      </c>
      <c s="605" r="AC283">
        <f>COS(RADIANS(Profile!Y311))*AA283</f>
        <v>0</v>
      </c>
      <c s="348" r="AD283">
        <f>IF((AJ$15=TRUE),X283,NA())</f>
        <v>0</v>
      </c>
      <c s="348" r="AE283">
        <f>IF((AJ$15=TRUE),Y283,NA())</f>
        <v>0</v>
      </c>
      <c t="str" s="348" r="AF283">
        <f>IF(Profile!L311,Y283,NA())</f>
        <v>#N/A:explicit</v>
      </c>
      <c s="348" r="AG283">
        <f>Profile!T311*E$40</f>
        <v>0</v>
      </c>
      <c t="str" s="348" r="AH283">
        <f>IF((AK$15=TRUE),IF(ISNUMBER(Profile!Y311),IF(ISNUMBER(Profile!Y312),(((X283+((F$63/2)*COS(RADIANS(Profile!Y312))))+(X283+((F$63/2)*COS(RADIANS(Profile!Y311)))))/2),(X283+((F$63/2)*COS(RADIANS(Profile!Y311))))),AH282),0)</f>
        <v>#VALUE!:notNumber:For input string: "---"</v>
      </c>
      <c t="str" s="348" r="AI283">
        <f>IF((AK$15=TRUE),IF(ISNUMBER(Profile!Y311),IF(ISNUMBER(Profile!Y312),(((Y283-((F$63/2)*SIN(RADIANS(Profile!Y312))))+(Y283-((F$63/2)*SIN(RADIANS(Profile!Y311)))))/2),(Y283-((F$63/2)*SIN(RADIANS(Profile!Y311))))),AI282),0)</f>
        <v>#VALUE!:notNumber:For input string: "---"</v>
      </c>
      <c t="str" s="348" r="AJ283">
        <f>IF((AK$15=TRUE),IF(ISNUMBER(Profile!Y311),IF(ISNUMBER(Profile!Y312),(((X283-((F$63/2)*COS(RADIANS(Profile!Y312))))+(X283-((F$63/2)*COS(RADIANS(Profile!Y311)))))/2),(X283-((F$63/2)*COS(RADIANS(Profile!Y311))))),AJ282),0)</f>
        <v>#VALUE!:notNumber:For input string: "---"</v>
      </c>
      <c t="str" s="799" r="AK283">
        <f>IF((AK$15=TRUE),IF(ISNUMBER(Profile!Y311),IF(ISNUMBER(Profile!Y312),(((Y283+((F$63/2)*SIN(RADIANS(Profile!Y312))))+(Y283+((F$63/2)*SIN(RADIANS(Profile!Y311)))))/2),(Y283+((F$63/2)*SIN(RADIANS(Profile!Y311))))),AK282),0)</f>
        <v>#VALUE!:notNumber:For input string: "---"</v>
      </c>
      <c s="51" r="AL283"/>
      <c s="125" r="AM283"/>
    </row>
    <row r="284">
      <c s="125" r="A284"/>
      <c s="125" r="B284"/>
      <c s="125" r="C284"/>
      <c s="125" r="D284"/>
      <c s="125" r="E284"/>
      <c s="125" r="F284"/>
      <c s="125" r="G284"/>
      <c s="125" r="H284"/>
      <c s="125" r="I284"/>
      <c s="125" r="J284"/>
      <c s="125" r="K284"/>
      <c s="125" r="L284"/>
      <c s="125" r="M284"/>
      <c s="125" r="N284"/>
      <c s="125" r="O284"/>
      <c s="125" r="P284"/>
      <c s="125" r="Q284"/>
      <c s="125" r="R284"/>
      <c s="125" r="S284"/>
      <c s="822" r="T284"/>
      <c t="str" s="309" r="U284">
        <f>IF((Profile!L312&gt;0),Profile!L312,"")</f>
        <v/>
      </c>
      <c t="str" s="861" r="V284">
        <f>IF((Profile!O312&gt;0),Profile!O312,"---")</f>
        <v>---</v>
      </c>
      <c t="str" s="861" r="W284">
        <f>IF((Profile!Y312=0),IF((Profile!Y311=0),"---",IF((Profile!Y313=0),"---",Profile!Y312)),Profile!Y312)</f>
        <v>---</v>
      </c>
      <c s="239" r="X284">
        <f>AB284+X283</f>
        <v>0</v>
      </c>
      <c s="796" r="Y284">
        <f>AC284+Y283</f>
        <v>0</v>
      </c>
      <c s="702" r="Z284"/>
      <c s="289" r="AA284">
        <f>IF(Profile!Y312,IF((Profile!O312=0),0,(Profile!O312-MAX(Profile!O$44:O311))),0)</f>
        <v>0</v>
      </c>
      <c s="605" r="AB284">
        <f>SIN(RADIANS(Profile!Y312))*AA284</f>
        <v>0</v>
      </c>
      <c s="605" r="AC284">
        <f>COS(RADIANS(Profile!Y312))*AA284</f>
        <v>0</v>
      </c>
      <c s="348" r="AD284">
        <f>IF((AJ$15=TRUE),X284,NA())</f>
        <v>0</v>
      </c>
      <c s="348" r="AE284">
        <f>IF((AJ$15=TRUE),Y284,NA())</f>
        <v>0</v>
      </c>
      <c t="str" s="348" r="AF284">
        <f>IF(Profile!L312,Y284,NA())</f>
        <v>#N/A:explicit</v>
      </c>
      <c s="348" r="AG284">
        <f>Profile!T312*E$40</f>
        <v>0</v>
      </c>
      <c t="str" s="348" r="AH284">
        <f>IF((AK$15=TRUE),IF(ISNUMBER(Profile!Y312),IF(ISNUMBER(Profile!Y313),(((X284+((F$63/2)*COS(RADIANS(Profile!Y313))))+(X284+((F$63/2)*COS(RADIANS(Profile!Y312)))))/2),(X284+((F$63/2)*COS(RADIANS(Profile!Y312))))),AH283),0)</f>
        <v>#VALUE!:notNumber:For input string: "---"</v>
      </c>
      <c t="str" s="348" r="AI284">
        <f>IF((AK$15=TRUE),IF(ISNUMBER(Profile!Y312),IF(ISNUMBER(Profile!Y313),(((Y284-((F$63/2)*SIN(RADIANS(Profile!Y313))))+(Y284-((F$63/2)*SIN(RADIANS(Profile!Y312)))))/2),(Y284-((F$63/2)*SIN(RADIANS(Profile!Y312))))),AI283),0)</f>
        <v>#VALUE!:notNumber:For input string: "---"</v>
      </c>
      <c t="str" s="348" r="AJ284">
        <f>IF((AK$15=TRUE),IF(ISNUMBER(Profile!Y312),IF(ISNUMBER(Profile!Y313),(((X284-((F$63/2)*COS(RADIANS(Profile!Y313))))+(X284-((F$63/2)*COS(RADIANS(Profile!Y312)))))/2),(X284-((F$63/2)*COS(RADIANS(Profile!Y312))))),AJ283),0)</f>
        <v>#VALUE!:notNumber:For input string: "---"</v>
      </c>
      <c t="str" s="799" r="AK284">
        <f>IF((AK$15=TRUE),IF(ISNUMBER(Profile!Y312),IF(ISNUMBER(Profile!Y313),(((Y284+((F$63/2)*SIN(RADIANS(Profile!Y313))))+(Y284+((F$63/2)*SIN(RADIANS(Profile!Y312)))))/2),(Y284+((F$63/2)*SIN(RADIANS(Profile!Y312))))),AK283),0)</f>
        <v>#VALUE!:notNumber:For input string: "---"</v>
      </c>
      <c s="51" r="AL284"/>
      <c s="125" r="AM284"/>
    </row>
    <row r="285">
      <c s="125" r="A285"/>
      <c s="125" r="B285"/>
      <c s="125" r="C285"/>
      <c s="125" r="D285"/>
      <c s="125" r="E285"/>
      <c s="125" r="F285"/>
      <c s="125" r="G285"/>
      <c s="125" r="H285"/>
      <c s="125" r="I285"/>
      <c s="125" r="J285"/>
      <c s="125" r="K285"/>
      <c s="125" r="L285"/>
      <c s="125" r="M285"/>
      <c s="125" r="N285"/>
      <c s="125" r="O285"/>
      <c s="125" r="P285"/>
      <c s="125" r="Q285"/>
      <c s="125" r="R285"/>
      <c s="125" r="S285"/>
      <c s="822" r="T285"/>
      <c t="str" s="309" r="U285">
        <f>IF((Profile!L313&gt;0),Profile!L313,"")</f>
        <v/>
      </c>
      <c t="str" s="861" r="V285">
        <f>IF((Profile!O313&gt;0),Profile!O313,"---")</f>
        <v>---</v>
      </c>
      <c t="str" s="861" r="W285">
        <f>IF((Profile!Y313=0),IF((Profile!Y312=0),"---",IF((Profile!Y314=0),"---",Profile!Y313)),Profile!Y313)</f>
        <v>---</v>
      </c>
      <c s="239" r="X285">
        <f>AB285+X284</f>
        <v>0</v>
      </c>
      <c s="796" r="Y285">
        <f>AC285+Y284</f>
        <v>0</v>
      </c>
      <c s="702" r="Z285"/>
      <c s="289" r="AA285">
        <f>IF(Profile!Y313,IF((Profile!O313=0),0,(Profile!O313-MAX(Profile!O$44:O312))),0)</f>
        <v>0</v>
      </c>
      <c s="605" r="AB285">
        <f>SIN(RADIANS(Profile!Y313))*AA285</f>
        <v>0</v>
      </c>
      <c s="605" r="AC285">
        <f>COS(RADIANS(Profile!Y313))*AA285</f>
        <v>0</v>
      </c>
      <c s="348" r="AD285">
        <f>IF((AJ$15=TRUE),X285,NA())</f>
        <v>0</v>
      </c>
      <c s="348" r="AE285">
        <f>IF((AJ$15=TRUE),Y285,NA())</f>
        <v>0</v>
      </c>
      <c t="str" s="348" r="AF285">
        <f>IF(Profile!L313,Y285,NA())</f>
        <v>#N/A:explicit</v>
      </c>
      <c s="348" r="AG285">
        <f>Profile!T313*E$40</f>
        <v>0</v>
      </c>
      <c t="str" s="348" r="AH285">
        <f>IF((AK$15=TRUE),IF(ISNUMBER(Profile!Y313),IF(ISNUMBER(Profile!Y314),(((X285+((F$63/2)*COS(RADIANS(Profile!Y314))))+(X285+((F$63/2)*COS(RADIANS(Profile!Y313)))))/2),(X285+((F$63/2)*COS(RADIANS(Profile!Y313))))),AH284),0)</f>
        <v>#VALUE!:notNumber:For input string: "---"</v>
      </c>
      <c t="str" s="348" r="AI285">
        <f>IF((AK$15=TRUE),IF(ISNUMBER(Profile!Y313),IF(ISNUMBER(Profile!Y314),(((Y285-((F$63/2)*SIN(RADIANS(Profile!Y314))))+(Y285-((F$63/2)*SIN(RADIANS(Profile!Y313)))))/2),(Y285-((F$63/2)*SIN(RADIANS(Profile!Y313))))),AI284),0)</f>
        <v>#VALUE!:notNumber:For input string: "---"</v>
      </c>
      <c t="str" s="348" r="AJ285">
        <f>IF((AK$15=TRUE),IF(ISNUMBER(Profile!Y313),IF(ISNUMBER(Profile!Y314),(((X285-((F$63/2)*COS(RADIANS(Profile!Y314))))+(X285-((F$63/2)*COS(RADIANS(Profile!Y313)))))/2),(X285-((F$63/2)*COS(RADIANS(Profile!Y313))))),AJ284),0)</f>
        <v>#VALUE!:notNumber:For input string: "---"</v>
      </c>
      <c t="str" s="799" r="AK285">
        <f>IF((AK$15=TRUE),IF(ISNUMBER(Profile!Y313),IF(ISNUMBER(Profile!Y314),(((Y285+((F$63/2)*SIN(RADIANS(Profile!Y314))))+(Y285+((F$63/2)*SIN(RADIANS(Profile!Y313)))))/2),(Y285+((F$63/2)*SIN(RADIANS(Profile!Y313))))),AK284),0)</f>
        <v>#VALUE!:notNumber:For input string: "---"</v>
      </c>
      <c s="51" r="AL285"/>
      <c s="125" r="AM285"/>
    </row>
    <row r="286">
      <c s="125" r="A286"/>
      <c s="125" r="B286"/>
      <c s="125" r="C286"/>
      <c s="125" r="D286"/>
      <c s="125" r="E286"/>
      <c s="125" r="F286"/>
      <c s="125" r="G286"/>
      <c s="125" r="H286"/>
      <c s="125" r="I286"/>
      <c s="125" r="J286"/>
      <c s="125" r="K286"/>
      <c s="125" r="L286"/>
      <c s="125" r="M286"/>
      <c s="125" r="N286"/>
      <c s="125" r="O286"/>
      <c s="125" r="P286"/>
      <c s="125" r="Q286"/>
      <c s="125" r="R286"/>
      <c s="125" r="S286"/>
      <c s="822" r="T286"/>
      <c t="str" s="309" r="U286">
        <f>IF((Profile!L314&gt;0),Profile!L314,"")</f>
        <v/>
      </c>
      <c t="str" s="861" r="V286">
        <f>IF((Profile!O314&gt;0),Profile!O314,"---")</f>
        <v>---</v>
      </c>
      <c t="str" s="861" r="W286">
        <f>IF((Profile!Y314=0),IF((Profile!Y313=0),"---",IF((Profile!Y315=0),"---",Profile!Y314)),Profile!Y314)</f>
        <v>---</v>
      </c>
      <c s="239" r="X286">
        <f>AB286+X285</f>
        <v>0</v>
      </c>
      <c s="796" r="Y286">
        <f>AC286+Y285</f>
        <v>0</v>
      </c>
      <c s="702" r="Z286"/>
      <c s="289" r="AA286">
        <f>IF(Profile!Y314,IF((Profile!O314=0),0,(Profile!O314-MAX(Profile!O$44:O313))),0)</f>
        <v>0</v>
      </c>
      <c s="605" r="AB286">
        <f>SIN(RADIANS(Profile!Y314))*AA286</f>
        <v>0</v>
      </c>
      <c s="605" r="AC286">
        <f>COS(RADIANS(Profile!Y314))*AA286</f>
        <v>0</v>
      </c>
      <c s="348" r="AD286">
        <f>IF((AJ$15=TRUE),X286,NA())</f>
        <v>0</v>
      </c>
      <c s="348" r="AE286">
        <f>IF((AJ$15=TRUE),Y286,NA())</f>
        <v>0</v>
      </c>
      <c t="str" s="348" r="AF286">
        <f>IF(Profile!L314,Y286,NA())</f>
        <v>#N/A:explicit</v>
      </c>
      <c s="348" r="AG286">
        <f>Profile!T314*E$40</f>
        <v>0</v>
      </c>
      <c t="str" s="348" r="AH286">
        <f>IF((AK$15=TRUE),IF(ISNUMBER(Profile!Y314),IF(ISNUMBER(Profile!Y315),(((X286+((F$63/2)*COS(RADIANS(Profile!Y315))))+(X286+((F$63/2)*COS(RADIANS(Profile!Y314)))))/2),(X286+((F$63/2)*COS(RADIANS(Profile!Y314))))),AH285),0)</f>
        <v>#VALUE!:notNumber:For input string: "---"</v>
      </c>
      <c t="str" s="348" r="AI286">
        <f>IF((AK$15=TRUE),IF(ISNUMBER(Profile!Y314),IF(ISNUMBER(Profile!Y315),(((Y286-((F$63/2)*SIN(RADIANS(Profile!Y315))))+(Y286-((F$63/2)*SIN(RADIANS(Profile!Y314)))))/2),(Y286-((F$63/2)*SIN(RADIANS(Profile!Y314))))),AI285),0)</f>
        <v>#VALUE!:notNumber:For input string: "---"</v>
      </c>
      <c t="str" s="348" r="AJ286">
        <f>IF((AK$15=TRUE),IF(ISNUMBER(Profile!Y314),IF(ISNUMBER(Profile!Y315),(((X286-((F$63/2)*COS(RADIANS(Profile!Y315))))+(X286-((F$63/2)*COS(RADIANS(Profile!Y314)))))/2),(X286-((F$63/2)*COS(RADIANS(Profile!Y314))))),AJ285),0)</f>
        <v>#VALUE!:notNumber:For input string: "---"</v>
      </c>
      <c t="str" s="799" r="AK286">
        <f>IF((AK$15=TRUE),IF(ISNUMBER(Profile!Y314),IF(ISNUMBER(Profile!Y315),(((Y286+((F$63/2)*SIN(RADIANS(Profile!Y315))))+(Y286+((F$63/2)*SIN(RADIANS(Profile!Y314)))))/2),(Y286+((F$63/2)*SIN(RADIANS(Profile!Y314))))),AK285),0)</f>
        <v>#VALUE!:notNumber:For input string: "---"</v>
      </c>
      <c s="51" r="AL286"/>
      <c s="125" r="AM286"/>
    </row>
    <row r="287">
      <c s="125" r="A287"/>
      <c s="125" r="B287"/>
      <c s="125" r="C287"/>
      <c s="125" r="D287"/>
      <c s="125" r="E287"/>
      <c s="125" r="F287"/>
      <c s="125" r="G287"/>
      <c s="125" r="H287"/>
      <c s="125" r="I287"/>
      <c s="125" r="J287"/>
      <c s="125" r="K287"/>
      <c s="125" r="L287"/>
      <c s="125" r="M287"/>
      <c s="125" r="N287"/>
      <c s="125" r="O287"/>
      <c s="125" r="P287"/>
      <c s="125" r="Q287"/>
      <c s="125" r="R287"/>
      <c s="125" r="S287"/>
      <c s="822" r="T287"/>
      <c t="str" s="309" r="U287">
        <f>IF((Profile!L315&gt;0),Profile!L315,"")</f>
        <v/>
      </c>
      <c t="str" s="861" r="V287">
        <f>IF((Profile!O315&gt;0),Profile!O315,"---")</f>
        <v>---</v>
      </c>
      <c t="str" s="861" r="W287">
        <f>IF((Profile!Y315=0),IF((Profile!Y314=0),"---",IF((Profile!Y316=0),"---",Profile!Y315)),Profile!Y315)</f>
        <v>---</v>
      </c>
      <c s="239" r="X287">
        <f>AB287+X286</f>
        <v>0</v>
      </c>
      <c s="796" r="Y287">
        <f>AC287+Y286</f>
        <v>0</v>
      </c>
      <c s="702" r="Z287"/>
      <c s="289" r="AA287">
        <f>IF(Profile!Y315,IF((Profile!O315=0),0,(Profile!O315-MAX(Profile!O$44:O314))),0)</f>
        <v>0</v>
      </c>
      <c s="605" r="AB287">
        <f>SIN(RADIANS(Profile!Y315))*AA287</f>
        <v>0</v>
      </c>
      <c s="605" r="AC287">
        <f>COS(RADIANS(Profile!Y315))*AA287</f>
        <v>0</v>
      </c>
      <c s="348" r="AD287">
        <f>IF((AJ$15=TRUE),X287,NA())</f>
        <v>0</v>
      </c>
      <c s="348" r="AE287">
        <f>IF((AJ$15=TRUE),Y287,NA())</f>
        <v>0</v>
      </c>
      <c t="str" s="348" r="AF287">
        <f>IF(Profile!L315,Y287,NA())</f>
        <v>#N/A:explicit</v>
      </c>
      <c s="348" r="AG287">
        <f>Profile!T315*E$40</f>
        <v>0</v>
      </c>
      <c t="str" s="348" r="AH287">
        <f>IF((AK$15=TRUE),IF(ISNUMBER(Profile!Y315),IF(ISNUMBER(Profile!Y316),(((X287+((F$63/2)*COS(RADIANS(Profile!Y316))))+(X287+((F$63/2)*COS(RADIANS(Profile!Y315)))))/2),(X287+((F$63/2)*COS(RADIANS(Profile!Y315))))),AH286),0)</f>
        <v>#VALUE!:notNumber:For input string: "---"</v>
      </c>
      <c t="str" s="348" r="AI287">
        <f>IF((AK$15=TRUE),IF(ISNUMBER(Profile!Y315),IF(ISNUMBER(Profile!Y316),(((Y287-((F$63/2)*SIN(RADIANS(Profile!Y316))))+(Y287-((F$63/2)*SIN(RADIANS(Profile!Y315)))))/2),(Y287-((F$63/2)*SIN(RADIANS(Profile!Y315))))),AI286),0)</f>
        <v>#VALUE!:notNumber:For input string: "---"</v>
      </c>
      <c t="str" s="348" r="AJ287">
        <f>IF((AK$15=TRUE),IF(ISNUMBER(Profile!Y315),IF(ISNUMBER(Profile!Y316),(((X287-((F$63/2)*COS(RADIANS(Profile!Y316))))+(X287-((F$63/2)*COS(RADIANS(Profile!Y315)))))/2),(X287-((F$63/2)*COS(RADIANS(Profile!Y315))))),AJ286),0)</f>
        <v>#VALUE!:notNumber:For input string: "---"</v>
      </c>
      <c t="str" s="799" r="AK287">
        <f>IF((AK$15=TRUE),IF(ISNUMBER(Profile!Y315),IF(ISNUMBER(Profile!Y316),(((Y287+((F$63/2)*SIN(RADIANS(Profile!Y316))))+(Y287+((F$63/2)*SIN(RADIANS(Profile!Y315)))))/2),(Y287+((F$63/2)*SIN(RADIANS(Profile!Y315))))),AK286),0)</f>
        <v>#VALUE!:notNumber:For input string: "---"</v>
      </c>
      <c s="51" r="AL287"/>
      <c s="125" r="AM287"/>
    </row>
    <row r="288">
      <c s="125" r="A288"/>
      <c s="125" r="B288"/>
      <c s="125" r="C288"/>
      <c s="125" r="D288"/>
      <c s="125" r="E288"/>
      <c s="125" r="F288"/>
      <c s="125" r="G288"/>
      <c s="125" r="H288"/>
      <c s="125" r="I288"/>
      <c s="125" r="J288"/>
      <c s="125" r="K288"/>
      <c s="125" r="L288"/>
      <c s="125" r="M288"/>
      <c s="125" r="N288"/>
      <c s="125" r="O288"/>
      <c s="125" r="P288"/>
      <c s="125" r="Q288"/>
      <c s="125" r="R288"/>
      <c s="125" r="S288"/>
      <c s="822" r="T288"/>
      <c t="str" s="309" r="U288">
        <f>IF((Profile!L316&gt;0),Profile!L316,"")</f>
        <v/>
      </c>
      <c t="str" s="861" r="V288">
        <f>IF((Profile!O316&gt;0),Profile!O316,"---")</f>
        <v>---</v>
      </c>
      <c t="str" s="861" r="W288">
        <f>IF((Profile!Y316=0),IF((Profile!Y315=0),"---",IF((Profile!Y317=0),"---",Profile!Y316)),Profile!Y316)</f>
        <v>---</v>
      </c>
      <c s="239" r="X288">
        <f>AB288+X287</f>
        <v>0</v>
      </c>
      <c s="796" r="Y288">
        <f>AC288+Y287</f>
        <v>0</v>
      </c>
      <c s="702" r="Z288"/>
      <c s="289" r="AA288">
        <f>IF(Profile!Y316,IF((Profile!O316=0),0,(Profile!O316-MAX(Profile!O$44:O315))),0)</f>
        <v>0</v>
      </c>
      <c s="605" r="AB288">
        <f>SIN(RADIANS(Profile!Y316))*AA288</f>
        <v>0</v>
      </c>
      <c s="605" r="AC288">
        <f>COS(RADIANS(Profile!Y316))*AA288</f>
        <v>0</v>
      </c>
      <c s="348" r="AD288">
        <f>IF((AJ$15=TRUE),X288,NA())</f>
        <v>0</v>
      </c>
      <c s="348" r="AE288">
        <f>IF((AJ$15=TRUE),Y288,NA())</f>
        <v>0</v>
      </c>
      <c t="str" s="348" r="AF288">
        <f>IF(Profile!L316,Y288,NA())</f>
        <v>#N/A:explicit</v>
      </c>
      <c s="348" r="AG288">
        <f>Profile!T316*E$40</f>
        <v>0</v>
      </c>
      <c t="str" s="348" r="AH288">
        <f>IF((AK$15=TRUE),IF(ISNUMBER(Profile!Y316),IF(ISNUMBER(Profile!Y317),(((X288+((F$63/2)*COS(RADIANS(Profile!Y317))))+(X288+((F$63/2)*COS(RADIANS(Profile!Y316)))))/2),(X288+((F$63/2)*COS(RADIANS(Profile!Y316))))),AH287),0)</f>
        <v>#VALUE!:notNumber:For input string: "---"</v>
      </c>
      <c t="str" s="348" r="AI288">
        <f>IF((AK$15=TRUE),IF(ISNUMBER(Profile!Y316),IF(ISNUMBER(Profile!Y317),(((Y288-((F$63/2)*SIN(RADIANS(Profile!Y317))))+(Y288-((F$63/2)*SIN(RADIANS(Profile!Y316)))))/2),(Y288-((F$63/2)*SIN(RADIANS(Profile!Y316))))),AI287),0)</f>
        <v>#VALUE!:notNumber:For input string: "---"</v>
      </c>
      <c t="str" s="348" r="AJ288">
        <f>IF((AK$15=TRUE),IF(ISNUMBER(Profile!Y316),IF(ISNUMBER(Profile!Y317),(((X288-((F$63/2)*COS(RADIANS(Profile!Y317))))+(X288-((F$63/2)*COS(RADIANS(Profile!Y316)))))/2),(X288-((F$63/2)*COS(RADIANS(Profile!Y316))))),AJ287),0)</f>
        <v>#VALUE!:notNumber:For input string: "---"</v>
      </c>
      <c t="str" s="799" r="AK288">
        <f>IF((AK$15=TRUE),IF(ISNUMBER(Profile!Y316),IF(ISNUMBER(Profile!Y317),(((Y288+((F$63/2)*SIN(RADIANS(Profile!Y317))))+(Y288+((F$63/2)*SIN(RADIANS(Profile!Y316)))))/2),(Y288+((F$63/2)*SIN(RADIANS(Profile!Y316))))),AK287),0)</f>
        <v>#VALUE!:notNumber:For input string: "---"</v>
      </c>
      <c s="51" r="AL288"/>
      <c s="125" r="AM288"/>
    </row>
    <row r="289">
      <c s="125" r="A289"/>
      <c s="125" r="B289"/>
      <c s="125" r="C289"/>
      <c s="125" r="D289"/>
      <c s="125" r="E289"/>
      <c s="125" r="F289"/>
      <c s="125" r="G289"/>
      <c s="125" r="H289"/>
      <c s="125" r="I289"/>
      <c s="125" r="J289"/>
      <c s="125" r="K289"/>
      <c s="125" r="L289"/>
      <c s="125" r="M289"/>
      <c s="125" r="N289"/>
      <c s="125" r="O289"/>
      <c s="125" r="P289"/>
      <c s="125" r="Q289"/>
      <c s="125" r="R289"/>
      <c s="125" r="S289"/>
      <c s="822" r="T289"/>
      <c t="str" s="309" r="U289">
        <f>IF((Profile!L317&gt;0),Profile!L317,"")</f>
        <v/>
      </c>
      <c t="str" s="861" r="V289">
        <f>IF((Profile!O317&gt;0),Profile!O317,"---")</f>
        <v>---</v>
      </c>
      <c t="str" s="861" r="W289">
        <f>IF((Profile!Y317=0),IF((Profile!Y316=0),"---",IF((Profile!Y318=0),"---",Profile!Y317)),Profile!Y317)</f>
        <v>---</v>
      </c>
      <c s="239" r="X289">
        <f>AB289+X288</f>
        <v>0</v>
      </c>
      <c s="796" r="Y289">
        <f>AC289+Y288</f>
        <v>0</v>
      </c>
      <c s="702" r="Z289"/>
      <c s="289" r="AA289">
        <f>IF(Profile!Y317,IF((Profile!O317=0),0,(Profile!O317-MAX(Profile!O$44:O316))),0)</f>
        <v>0</v>
      </c>
      <c s="605" r="AB289">
        <f>SIN(RADIANS(Profile!Y317))*AA289</f>
        <v>0</v>
      </c>
      <c s="605" r="AC289">
        <f>COS(RADIANS(Profile!Y317))*AA289</f>
        <v>0</v>
      </c>
      <c s="348" r="AD289">
        <f>IF((AJ$15=TRUE),X289,NA())</f>
        <v>0</v>
      </c>
      <c s="348" r="AE289">
        <f>IF((AJ$15=TRUE),Y289,NA())</f>
        <v>0</v>
      </c>
      <c t="str" s="348" r="AF289">
        <f>IF(Profile!L317,Y289,NA())</f>
        <v>#N/A:explicit</v>
      </c>
      <c s="348" r="AG289">
        <f>Profile!T317*E$40</f>
        <v>0</v>
      </c>
      <c t="str" s="348" r="AH289">
        <f>IF((AK$15=TRUE),IF(ISNUMBER(Profile!Y317),IF(ISNUMBER(Profile!Y318),(((X289+((F$63/2)*COS(RADIANS(Profile!Y318))))+(X289+((F$63/2)*COS(RADIANS(Profile!Y317)))))/2),(X289+((F$63/2)*COS(RADIANS(Profile!Y317))))),AH288),0)</f>
        <v>#VALUE!:notNumber:For input string: "---"</v>
      </c>
      <c t="str" s="348" r="AI289">
        <f>IF((AK$15=TRUE),IF(ISNUMBER(Profile!Y317),IF(ISNUMBER(Profile!Y318),(((Y289-((F$63/2)*SIN(RADIANS(Profile!Y318))))+(Y289-((F$63/2)*SIN(RADIANS(Profile!Y317)))))/2),(Y289-((F$63/2)*SIN(RADIANS(Profile!Y317))))),AI288),0)</f>
        <v>#VALUE!:notNumber:For input string: "---"</v>
      </c>
      <c t="str" s="348" r="AJ289">
        <f>IF((AK$15=TRUE),IF(ISNUMBER(Profile!Y317),IF(ISNUMBER(Profile!Y318),(((X289-((F$63/2)*COS(RADIANS(Profile!Y318))))+(X289-((F$63/2)*COS(RADIANS(Profile!Y317)))))/2),(X289-((F$63/2)*COS(RADIANS(Profile!Y317))))),AJ288),0)</f>
        <v>#VALUE!:notNumber:For input string: "---"</v>
      </c>
      <c t="str" s="799" r="AK289">
        <f>IF((AK$15=TRUE),IF(ISNUMBER(Profile!Y317),IF(ISNUMBER(Profile!Y318),(((Y289+((F$63/2)*SIN(RADIANS(Profile!Y318))))+(Y289+((F$63/2)*SIN(RADIANS(Profile!Y317)))))/2),(Y289+((F$63/2)*SIN(RADIANS(Profile!Y317))))),AK288),0)</f>
        <v>#VALUE!:notNumber:For input string: "---"</v>
      </c>
      <c s="51" r="AL289"/>
      <c s="125" r="AM289"/>
    </row>
    <row r="290">
      <c s="125" r="A290"/>
      <c s="125" r="B290"/>
      <c s="125" r="C290"/>
      <c s="125" r="D290"/>
      <c s="125" r="E290"/>
      <c s="125" r="F290"/>
      <c s="125" r="G290"/>
      <c s="125" r="H290"/>
      <c s="125" r="I290"/>
      <c s="125" r="J290"/>
      <c s="125" r="K290"/>
      <c s="125" r="L290"/>
      <c s="125" r="M290"/>
      <c s="125" r="N290"/>
      <c s="125" r="O290"/>
      <c s="125" r="P290"/>
      <c s="125" r="Q290"/>
      <c s="125" r="R290"/>
      <c s="125" r="S290"/>
      <c s="822" r="T290"/>
      <c t="str" s="309" r="U290">
        <f>IF((Profile!L318&gt;0),Profile!L318,"")</f>
        <v/>
      </c>
      <c t="str" s="861" r="V290">
        <f>IF((Profile!O318&gt;0),Profile!O318,"---")</f>
        <v>---</v>
      </c>
      <c t="str" s="861" r="W290">
        <f>IF((Profile!Y318=0),IF((Profile!Y317=0),"---",IF((Profile!Y319=0),"---",Profile!Y318)),Profile!Y318)</f>
        <v>---</v>
      </c>
      <c s="239" r="X290">
        <f>AB290+X289</f>
        <v>0</v>
      </c>
      <c s="796" r="Y290">
        <f>AC290+Y289</f>
        <v>0</v>
      </c>
      <c s="702" r="Z290"/>
      <c s="289" r="AA290">
        <f>IF(Profile!Y318,IF((Profile!O318=0),0,(Profile!O318-MAX(Profile!O$44:O317))),0)</f>
        <v>0</v>
      </c>
      <c s="605" r="AB290">
        <f>SIN(RADIANS(Profile!Y318))*AA290</f>
        <v>0</v>
      </c>
      <c s="605" r="AC290">
        <f>COS(RADIANS(Profile!Y318))*AA290</f>
        <v>0</v>
      </c>
      <c s="348" r="AD290">
        <f>IF((AJ$15=TRUE),X290,NA())</f>
        <v>0</v>
      </c>
      <c s="348" r="AE290">
        <f>IF((AJ$15=TRUE),Y290,NA())</f>
        <v>0</v>
      </c>
      <c t="str" s="348" r="AF290">
        <f>IF(Profile!L318,Y290,NA())</f>
        <v>#N/A:explicit</v>
      </c>
      <c s="348" r="AG290">
        <f>Profile!T318*E$40</f>
        <v>0</v>
      </c>
      <c t="str" s="348" r="AH290">
        <f>IF((AK$15=TRUE),IF(ISNUMBER(Profile!Y318),IF(ISNUMBER(Profile!Y319),(((X290+((F$63/2)*COS(RADIANS(Profile!Y319))))+(X290+((F$63/2)*COS(RADIANS(Profile!Y318)))))/2),(X290+((F$63/2)*COS(RADIANS(Profile!Y318))))),AH289),0)</f>
        <v>#VALUE!:notNumber:For input string: "---"</v>
      </c>
      <c t="str" s="348" r="AI290">
        <f>IF((AK$15=TRUE),IF(ISNUMBER(Profile!Y318),IF(ISNUMBER(Profile!Y319),(((Y290-((F$63/2)*SIN(RADIANS(Profile!Y319))))+(Y290-((F$63/2)*SIN(RADIANS(Profile!Y318)))))/2),(Y290-((F$63/2)*SIN(RADIANS(Profile!Y318))))),AI289),0)</f>
        <v>#VALUE!:notNumber:For input string: "---"</v>
      </c>
      <c t="str" s="348" r="AJ290">
        <f>IF((AK$15=TRUE),IF(ISNUMBER(Profile!Y318),IF(ISNUMBER(Profile!Y319),(((X290-((F$63/2)*COS(RADIANS(Profile!Y319))))+(X290-((F$63/2)*COS(RADIANS(Profile!Y318)))))/2),(X290-((F$63/2)*COS(RADIANS(Profile!Y318))))),AJ289),0)</f>
        <v>#VALUE!:notNumber:For input string: "---"</v>
      </c>
      <c t="str" s="799" r="AK290">
        <f>IF((AK$15=TRUE),IF(ISNUMBER(Profile!Y318),IF(ISNUMBER(Profile!Y319),(((Y290+((F$63/2)*SIN(RADIANS(Profile!Y319))))+(Y290+((F$63/2)*SIN(RADIANS(Profile!Y318)))))/2),(Y290+((F$63/2)*SIN(RADIANS(Profile!Y318))))),AK289),0)</f>
        <v>#VALUE!:notNumber:For input string: "---"</v>
      </c>
      <c s="51" r="AL290"/>
      <c s="125" r="AM290"/>
    </row>
    <row r="291">
      <c s="125" r="A291"/>
      <c s="125" r="B291"/>
      <c s="125" r="C291"/>
      <c s="125" r="D291"/>
      <c s="125" r="E291"/>
      <c s="125" r="F291"/>
      <c s="125" r="G291"/>
      <c s="125" r="H291"/>
      <c s="125" r="I291"/>
      <c s="125" r="J291"/>
      <c s="125" r="K291"/>
      <c s="125" r="L291"/>
      <c s="125" r="M291"/>
      <c s="125" r="N291"/>
      <c s="125" r="O291"/>
      <c s="125" r="P291"/>
      <c s="125" r="Q291"/>
      <c s="125" r="R291"/>
      <c s="125" r="S291"/>
      <c s="822" r="T291"/>
      <c t="str" s="309" r="U291">
        <f>IF((Profile!L319&gt;0),Profile!L319,"")</f>
        <v/>
      </c>
      <c t="str" s="861" r="V291">
        <f>IF((Profile!O319&gt;0),Profile!O319,"---")</f>
        <v>---</v>
      </c>
      <c t="str" s="861" r="W291">
        <f>IF((Profile!Y319=0),IF((Profile!Y318=0),"---",IF((Profile!Y320=0),"---",Profile!Y319)),Profile!Y319)</f>
        <v>---</v>
      </c>
      <c s="239" r="X291">
        <f>AB291+X290</f>
        <v>0</v>
      </c>
      <c s="796" r="Y291">
        <f>AC291+Y290</f>
        <v>0</v>
      </c>
      <c s="702" r="Z291"/>
      <c s="289" r="AA291">
        <f>IF(Profile!Y319,IF((Profile!O319=0),0,(Profile!O319-MAX(Profile!O$44:O318))),0)</f>
        <v>0</v>
      </c>
      <c s="605" r="AB291">
        <f>SIN(RADIANS(Profile!Y319))*AA291</f>
        <v>0</v>
      </c>
      <c s="605" r="AC291">
        <f>COS(RADIANS(Profile!Y319))*AA291</f>
        <v>0</v>
      </c>
      <c s="348" r="AD291">
        <f>IF((AJ$15=TRUE),X291,NA())</f>
        <v>0</v>
      </c>
      <c s="348" r="AE291">
        <f>IF((AJ$15=TRUE),Y291,NA())</f>
        <v>0</v>
      </c>
      <c t="str" s="348" r="AF291">
        <f>IF(Profile!L319,Y291,NA())</f>
        <v>#N/A:explicit</v>
      </c>
      <c s="348" r="AG291">
        <f>Profile!T319*E$40</f>
        <v>0</v>
      </c>
      <c t="str" s="348" r="AH291">
        <f>IF((AK$15=TRUE),IF(ISNUMBER(Profile!Y319),IF(ISNUMBER(Profile!Y320),(((X291+((F$63/2)*COS(RADIANS(Profile!Y320))))+(X291+((F$63/2)*COS(RADIANS(Profile!Y319)))))/2),(X291+((F$63/2)*COS(RADIANS(Profile!Y319))))),AH290),0)</f>
        <v>#VALUE!:notNumber:For input string: "---"</v>
      </c>
      <c t="str" s="348" r="AI291">
        <f>IF((AK$15=TRUE),IF(ISNUMBER(Profile!Y319),IF(ISNUMBER(Profile!Y320),(((Y291-((F$63/2)*SIN(RADIANS(Profile!Y320))))+(Y291-((F$63/2)*SIN(RADIANS(Profile!Y319)))))/2),(Y291-((F$63/2)*SIN(RADIANS(Profile!Y319))))),AI290),0)</f>
        <v>#VALUE!:notNumber:For input string: "---"</v>
      </c>
      <c t="str" s="348" r="AJ291">
        <f>IF((AK$15=TRUE),IF(ISNUMBER(Profile!Y319),IF(ISNUMBER(Profile!Y320),(((X291-((F$63/2)*COS(RADIANS(Profile!Y320))))+(X291-((F$63/2)*COS(RADIANS(Profile!Y319)))))/2),(X291-((F$63/2)*COS(RADIANS(Profile!Y319))))),AJ290),0)</f>
        <v>#VALUE!:notNumber:For input string: "---"</v>
      </c>
      <c t="str" s="799" r="AK291">
        <f>IF((AK$15=TRUE),IF(ISNUMBER(Profile!Y319),IF(ISNUMBER(Profile!Y320),(((Y291+((F$63/2)*SIN(RADIANS(Profile!Y320))))+(Y291+((F$63/2)*SIN(RADIANS(Profile!Y319)))))/2),(Y291+((F$63/2)*SIN(RADIANS(Profile!Y319))))),AK290),0)</f>
        <v>#VALUE!:notNumber:For input string: "---"</v>
      </c>
      <c s="51" r="AL291"/>
      <c s="125" r="AM291"/>
    </row>
    <row r="292">
      <c s="125" r="A292"/>
      <c s="125" r="B292"/>
      <c s="125" r="C292"/>
      <c s="125" r="D292"/>
      <c s="125" r="E292"/>
      <c s="125" r="F292"/>
      <c s="125" r="G292"/>
      <c s="125" r="H292"/>
      <c s="125" r="I292"/>
      <c s="125" r="J292"/>
      <c s="125" r="K292"/>
      <c s="125" r="L292"/>
      <c s="125" r="M292"/>
      <c s="125" r="N292"/>
      <c s="125" r="O292"/>
      <c s="125" r="P292"/>
      <c s="125" r="Q292"/>
      <c s="125" r="R292"/>
      <c s="125" r="S292"/>
      <c s="822" r="T292"/>
      <c t="str" s="309" r="U292">
        <f>IF((Profile!L320&gt;0),Profile!L320,"")</f>
        <v/>
      </c>
      <c t="str" s="861" r="V292">
        <f>IF((Profile!O320&gt;0),Profile!O320,"---")</f>
        <v>---</v>
      </c>
      <c t="str" s="861" r="W292">
        <f>IF((Profile!Y320=0),IF((Profile!Y319=0),"---",IF((Profile!Y321=0),"---",Profile!Y320)),Profile!Y320)</f>
        <v>---</v>
      </c>
      <c s="239" r="X292">
        <f>AB292+X291</f>
        <v>0</v>
      </c>
      <c s="796" r="Y292">
        <f>AC292+Y291</f>
        <v>0</v>
      </c>
      <c s="702" r="Z292"/>
      <c s="289" r="AA292">
        <f>IF(Profile!Y320,IF((Profile!O320=0),0,(Profile!O320-MAX(Profile!O$44:O319))),0)</f>
        <v>0</v>
      </c>
      <c s="605" r="AB292">
        <f>SIN(RADIANS(Profile!Y320))*AA292</f>
        <v>0</v>
      </c>
      <c s="605" r="AC292">
        <f>COS(RADIANS(Profile!Y320))*AA292</f>
        <v>0</v>
      </c>
      <c s="348" r="AD292">
        <f>IF((AJ$15=TRUE),X292,NA())</f>
        <v>0</v>
      </c>
      <c s="348" r="AE292">
        <f>IF((AJ$15=TRUE),Y292,NA())</f>
        <v>0</v>
      </c>
      <c t="str" s="348" r="AF292">
        <f>IF(Profile!L320,Y292,NA())</f>
        <v>#N/A:explicit</v>
      </c>
      <c s="348" r="AG292">
        <f>Profile!T320*E$40</f>
        <v>0</v>
      </c>
      <c t="str" s="348" r="AH292">
        <f>IF((AK$15=TRUE),IF(ISNUMBER(Profile!Y320),IF(ISNUMBER(Profile!Y321),(((X292+((F$63/2)*COS(RADIANS(Profile!Y321))))+(X292+((F$63/2)*COS(RADIANS(Profile!Y320)))))/2),(X292+((F$63/2)*COS(RADIANS(Profile!Y320))))),AH291),0)</f>
        <v>#VALUE!:notNumber:For input string: "---"</v>
      </c>
      <c t="str" s="348" r="AI292">
        <f>IF((AK$15=TRUE),IF(ISNUMBER(Profile!Y320),IF(ISNUMBER(Profile!Y321),(((Y292-((F$63/2)*SIN(RADIANS(Profile!Y321))))+(Y292-((F$63/2)*SIN(RADIANS(Profile!Y320)))))/2),(Y292-((F$63/2)*SIN(RADIANS(Profile!Y320))))),AI291),0)</f>
        <v>#VALUE!:notNumber:For input string: "---"</v>
      </c>
      <c t="str" s="348" r="AJ292">
        <f>IF((AK$15=TRUE),IF(ISNUMBER(Profile!Y320),IF(ISNUMBER(Profile!Y321),(((X292-((F$63/2)*COS(RADIANS(Profile!Y321))))+(X292-((F$63/2)*COS(RADIANS(Profile!Y320)))))/2),(X292-((F$63/2)*COS(RADIANS(Profile!Y320))))),AJ291),0)</f>
        <v>#VALUE!:notNumber:For input string: "---"</v>
      </c>
      <c t="str" s="799" r="AK292">
        <f>IF((AK$15=TRUE),IF(ISNUMBER(Profile!Y320),IF(ISNUMBER(Profile!Y321),(((Y292+((F$63/2)*SIN(RADIANS(Profile!Y321))))+(Y292+((F$63/2)*SIN(RADIANS(Profile!Y320)))))/2),(Y292+((F$63/2)*SIN(RADIANS(Profile!Y320))))),AK291),0)</f>
        <v>#VALUE!:notNumber:For input string: "---"</v>
      </c>
      <c s="51" r="AL292"/>
      <c s="125" r="AM292"/>
    </row>
    <row r="293">
      <c s="125" r="A293"/>
      <c s="125" r="B293"/>
      <c s="125" r="C293"/>
      <c s="125" r="D293"/>
      <c s="125" r="E293"/>
      <c s="125" r="F293"/>
      <c s="125" r="G293"/>
      <c s="125" r="H293"/>
      <c s="125" r="I293"/>
      <c s="125" r="J293"/>
      <c s="125" r="K293"/>
      <c s="125" r="L293"/>
      <c s="125" r="M293"/>
      <c s="125" r="N293"/>
      <c s="125" r="O293"/>
      <c s="125" r="P293"/>
      <c s="125" r="Q293"/>
      <c s="125" r="R293"/>
      <c s="125" r="S293"/>
      <c s="822" r="T293"/>
      <c t="str" s="309" r="U293">
        <f>IF((Profile!L321&gt;0),Profile!L321,"")</f>
        <v/>
      </c>
      <c t="str" s="861" r="V293">
        <f>IF((Profile!O321&gt;0),Profile!O321,"---")</f>
        <v>---</v>
      </c>
      <c t="str" s="861" r="W293">
        <f>IF((Profile!Y321=0),IF((Profile!Y320=0),"---",IF((Profile!Y322=0),"---",Profile!Y321)),Profile!Y321)</f>
        <v>---</v>
      </c>
      <c s="239" r="X293">
        <f>AB293+X292</f>
        <v>0</v>
      </c>
      <c s="796" r="Y293">
        <f>AC293+Y292</f>
        <v>0</v>
      </c>
      <c s="702" r="Z293"/>
      <c s="289" r="AA293">
        <f>IF(Profile!Y321,IF((Profile!O321=0),0,(Profile!O321-MAX(Profile!O$44:O320))),0)</f>
        <v>0</v>
      </c>
      <c s="605" r="AB293">
        <f>SIN(RADIANS(Profile!Y321))*AA293</f>
        <v>0</v>
      </c>
      <c s="605" r="AC293">
        <f>COS(RADIANS(Profile!Y321))*AA293</f>
        <v>0</v>
      </c>
      <c s="348" r="AD293">
        <f>IF((AJ$15=TRUE),X293,NA())</f>
        <v>0</v>
      </c>
      <c s="348" r="AE293">
        <f>IF((AJ$15=TRUE),Y293,NA())</f>
        <v>0</v>
      </c>
      <c t="str" s="348" r="AF293">
        <f>IF(Profile!L321,Y293,NA())</f>
        <v>#N/A:explicit</v>
      </c>
      <c s="348" r="AG293">
        <f>Profile!T321*E$40</f>
        <v>0</v>
      </c>
      <c t="str" s="348" r="AH293">
        <f>IF((AK$15=TRUE),IF(ISNUMBER(Profile!Y321),IF(ISNUMBER(Profile!Y322),(((X293+((F$63/2)*COS(RADIANS(Profile!Y322))))+(X293+((F$63/2)*COS(RADIANS(Profile!Y321)))))/2),(X293+((F$63/2)*COS(RADIANS(Profile!Y321))))),AH292),0)</f>
        <v>#VALUE!:notNumber:For input string: "---"</v>
      </c>
      <c t="str" s="348" r="AI293">
        <f>IF((AK$15=TRUE),IF(ISNUMBER(Profile!Y321),IF(ISNUMBER(Profile!Y322),(((Y293-((F$63/2)*SIN(RADIANS(Profile!Y322))))+(Y293-((F$63/2)*SIN(RADIANS(Profile!Y321)))))/2),(Y293-((F$63/2)*SIN(RADIANS(Profile!Y321))))),AI292),0)</f>
        <v>#VALUE!:notNumber:For input string: "---"</v>
      </c>
      <c t="str" s="348" r="AJ293">
        <f>IF((AK$15=TRUE),IF(ISNUMBER(Profile!Y321),IF(ISNUMBER(Profile!Y322),(((X293-((F$63/2)*COS(RADIANS(Profile!Y322))))+(X293-((F$63/2)*COS(RADIANS(Profile!Y321)))))/2),(X293-((F$63/2)*COS(RADIANS(Profile!Y321))))),AJ292),0)</f>
        <v>#VALUE!:notNumber:For input string: "---"</v>
      </c>
      <c t="str" s="799" r="AK293">
        <f>IF((AK$15=TRUE),IF(ISNUMBER(Profile!Y321),IF(ISNUMBER(Profile!Y322),(((Y293+((F$63/2)*SIN(RADIANS(Profile!Y322))))+(Y293+((F$63/2)*SIN(RADIANS(Profile!Y321)))))/2),(Y293+((F$63/2)*SIN(RADIANS(Profile!Y321))))),AK292),0)</f>
        <v>#VALUE!:notNumber:For input string: "---"</v>
      </c>
      <c s="51" r="AL293"/>
      <c s="125" r="AM293"/>
    </row>
    <row r="294">
      <c s="125" r="A294"/>
      <c s="125" r="B294"/>
      <c s="125" r="C294"/>
      <c s="125" r="D294"/>
      <c s="125" r="E294"/>
      <c s="125" r="F294"/>
      <c s="125" r="G294"/>
      <c s="125" r="H294"/>
      <c s="125" r="I294"/>
      <c s="125" r="J294"/>
      <c s="125" r="K294"/>
      <c s="125" r="L294"/>
      <c s="125" r="M294"/>
      <c s="125" r="N294"/>
      <c s="125" r="O294"/>
      <c s="125" r="P294"/>
      <c s="125" r="Q294"/>
      <c s="125" r="R294"/>
      <c s="125" r="S294"/>
      <c s="822" r="T294"/>
      <c t="str" s="309" r="U294">
        <f>IF((Profile!L322&gt;0),Profile!L322,"")</f>
        <v/>
      </c>
      <c t="str" s="861" r="V294">
        <f>IF((Profile!O322&gt;0),Profile!O322,"---")</f>
        <v>---</v>
      </c>
      <c t="str" s="861" r="W294">
        <f>IF((Profile!Y322=0),IF((Profile!Y321=0),"---",IF((Profile!Y323=0),"---",Profile!Y322)),Profile!Y322)</f>
        <v>---</v>
      </c>
      <c s="239" r="X294">
        <f>AB294+X293</f>
        <v>0</v>
      </c>
      <c s="796" r="Y294">
        <f>AC294+Y293</f>
        <v>0</v>
      </c>
      <c s="702" r="Z294"/>
      <c s="289" r="AA294">
        <f>IF(Profile!Y322,IF((Profile!O322=0),0,(Profile!O322-MAX(Profile!O$44:O321))),0)</f>
        <v>0</v>
      </c>
      <c s="605" r="AB294">
        <f>SIN(RADIANS(Profile!Y322))*AA294</f>
        <v>0</v>
      </c>
      <c s="605" r="AC294">
        <f>COS(RADIANS(Profile!Y322))*AA294</f>
        <v>0</v>
      </c>
      <c s="348" r="AD294">
        <f>IF((AJ$15=TRUE),X294,NA())</f>
        <v>0</v>
      </c>
      <c s="348" r="AE294">
        <f>IF((AJ$15=TRUE),Y294,NA())</f>
        <v>0</v>
      </c>
      <c t="str" s="348" r="AF294">
        <f>IF(Profile!L322,Y294,NA())</f>
        <v>#N/A:explicit</v>
      </c>
      <c s="348" r="AG294">
        <f>Profile!T322*E$40</f>
        <v>0</v>
      </c>
      <c t="str" s="348" r="AH294">
        <f>IF((AK$15=TRUE),IF(ISNUMBER(Profile!Y322),IF(ISNUMBER(Profile!Y323),(((X294+((F$63/2)*COS(RADIANS(Profile!Y323))))+(X294+((F$63/2)*COS(RADIANS(Profile!Y322)))))/2),(X294+((F$63/2)*COS(RADIANS(Profile!Y322))))),AH293),0)</f>
        <v>#VALUE!:notNumber:For input string: "---"</v>
      </c>
      <c t="str" s="348" r="AI294">
        <f>IF((AK$15=TRUE),IF(ISNUMBER(Profile!Y322),IF(ISNUMBER(Profile!Y323),(((Y294-((F$63/2)*SIN(RADIANS(Profile!Y323))))+(Y294-((F$63/2)*SIN(RADIANS(Profile!Y322)))))/2),(Y294-((F$63/2)*SIN(RADIANS(Profile!Y322))))),AI293),0)</f>
        <v>#VALUE!:notNumber:For input string: "---"</v>
      </c>
      <c t="str" s="348" r="AJ294">
        <f>IF((AK$15=TRUE),IF(ISNUMBER(Profile!Y322),IF(ISNUMBER(Profile!Y323),(((X294-((F$63/2)*COS(RADIANS(Profile!Y323))))+(X294-((F$63/2)*COS(RADIANS(Profile!Y322)))))/2),(X294-((F$63/2)*COS(RADIANS(Profile!Y322))))),AJ293),0)</f>
        <v>#VALUE!:notNumber:For input string: "---"</v>
      </c>
      <c t="str" s="799" r="AK294">
        <f>IF((AK$15=TRUE),IF(ISNUMBER(Profile!Y322),IF(ISNUMBER(Profile!Y323),(((Y294+((F$63/2)*SIN(RADIANS(Profile!Y323))))+(Y294+((F$63/2)*SIN(RADIANS(Profile!Y322)))))/2),(Y294+((F$63/2)*SIN(RADIANS(Profile!Y322))))),AK293),0)</f>
        <v>#VALUE!:notNumber:For input string: "---"</v>
      </c>
      <c s="51" r="AL294"/>
      <c s="125" r="AM294"/>
    </row>
    <row r="295">
      <c s="125" r="A295"/>
      <c s="125" r="B295"/>
      <c s="125" r="C295"/>
      <c s="125" r="D295"/>
      <c s="125" r="E295"/>
      <c s="125" r="F295"/>
      <c s="125" r="G295"/>
      <c s="125" r="H295"/>
      <c s="125" r="I295"/>
      <c s="125" r="J295"/>
      <c s="125" r="K295"/>
      <c s="125" r="L295"/>
      <c s="125" r="M295"/>
      <c s="125" r="N295"/>
      <c s="125" r="O295"/>
      <c s="125" r="P295"/>
      <c s="125" r="Q295"/>
      <c s="125" r="R295"/>
      <c s="125" r="S295"/>
      <c s="822" r="T295"/>
      <c t="str" s="309" r="U295">
        <f>IF((Profile!L323&gt;0),Profile!L323,"")</f>
        <v/>
      </c>
      <c t="str" s="861" r="V295">
        <f>IF((Profile!O323&gt;0),Profile!O323,"---")</f>
        <v>---</v>
      </c>
      <c t="str" s="861" r="W295">
        <f>IF((Profile!Y323=0),IF((Profile!Y322=0),"---",IF((Profile!Y324=0),"---",Profile!Y323)),Profile!Y323)</f>
        <v>---</v>
      </c>
      <c s="239" r="X295">
        <f>AB295+X294</f>
        <v>0</v>
      </c>
      <c s="796" r="Y295">
        <f>AC295+Y294</f>
        <v>0</v>
      </c>
      <c s="702" r="Z295"/>
      <c s="289" r="AA295">
        <f>IF(Profile!Y323,IF((Profile!O323=0),0,(Profile!O323-MAX(Profile!O$44:O322))),0)</f>
        <v>0</v>
      </c>
      <c s="605" r="AB295">
        <f>SIN(RADIANS(Profile!Y323))*AA295</f>
        <v>0</v>
      </c>
      <c s="605" r="AC295">
        <f>COS(RADIANS(Profile!Y323))*AA295</f>
        <v>0</v>
      </c>
      <c s="348" r="AD295">
        <f>IF((AJ$15=TRUE),X295,NA())</f>
        <v>0</v>
      </c>
      <c s="348" r="AE295">
        <f>IF((AJ$15=TRUE),Y295,NA())</f>
        <v>0</v>
      </c>
      <c t="str" s="348" r="AF295">
        <f>IF(Profile!L323,Y295,NA())</f>
        <v>#N/A:explicit</v>
      </c>
      <c s="348" r="AG295">
        <f>Profile!T323*E$40</f>
        <v>0</v>
      </c>
      <c t="str" s="348" r="AH295">
        <f>IF((AK$15=TRUE),IF(ISNUMBER(Profile!Y323),IF(ISNUMBER(Profile!Y324),(((X295+((F$63/2)*COS(RADIANS(Profile!Y324))))+(X295+((F$63/2)*COS(RADIANS(Profile!Y323)))))/2),(X295+((F$63/2)*COS(RADIANS(Profile!Y323))))),AH294),0)</f>
        <v>#VALUE!:notNumber:For input string: "---"</v>
      </c>
      <c t="str" s="348" r="AI295">
        <f>IF((AK$15=TRUE),IF(ISNUMBER(Profile!Y323),IF(ISNUMBER(Profile!Y324),(((Y295-((F$63/2)*SIN(RADIANS(Profile!Y324))))+(Y295-((F$63/2)*SIN(RADIANS(Profile!Y323)))))/2),(Y295-((F$63/2)*SIN(RADIANS(Profile!Y323))))),AI294),0)</f>
        <v>#VALUE!:notNumber:For input string: "---"</v>
      </c>
      <c t="str" s="348" r="AJ295">
        <f>IF((AK$15=TRUE),IF(ISNUMBER(Profile!Y323),IF(ISNUMBER(Profile!Y324),(((X295-((F$63/2)*COS(RADIANS(Profile!Y324))))+(X295-((F$63/2)*COS(RADIANS(Profile!Y323)))))/2),(X295-((F$63/2)*COS(RADIANS(Profile!Y323))))),AJ294),0)</f>
        <v>#VALUE!:notNumber:For input string: "---"</v>
      </c>
      <c t="str" s="799" r="AK295">
        <f>IF((AK$15=TRUE),IF(ISNUMBER(Profile!Y323),IF(ISNUMBER(Profile!Y324),(((Y295+((F$63/2)*SIN(RADIANS(Profile!Y324))))+(Y295+((F$63/2)*SIN(RADIANS(Profile!Y323)))))/2),(Y295+((F$63/2)*SIN(RADIANS(Profile!Y323))))),AK294),0)</f>
        <v>#VALUE!:notNumber:For input string: "---"</v>
      </c>
      <c s="51" r="AL295"/>
      <c s="125" r="AM295"/>
    </row>
    <row r="296">
      <c s="125" r="A296"/>
      <c s="125" r="B296"/>
      <c s="125" r="C296"/>
      <c s="125" r="D296"/>
      <c s="125" r="E296"/>
      <c s="125" r="F296"/>
      <c s="125" r="G296"/>
      <c s="125" r="H296"/>
      <c s="125" r="I296"/>
      <c s="125" r="J296"/>
      <c s="125" r="K296"/>
      <c s="125" r="L296"/>
      <c s="125" r="M296"/>
      <c s="125" r="N296"/>
      <c s="125" r="O296"/>
      <c s="125" r="P296"/>
      <c s="125" r="Q296"/>
      <c s="125" r="R296"/>
      <c s="125" r="S296"/>
      <c s="822" r="T296"/>
      <c t="str" s="309" r="U296">
        <f>IF((Profile!L324&gt;0),Profile!L324,"")</f>
        <v/>
      </c>
      <c t="str" s="861" r="V296">
        <f>IF((Profile!O324&gt;0),Profile!O324,"---")</f>
        <v>---</v>
      </c>
      <c t="str" s="861" r="W296">
        <f>IF((Profile!Y324=0),IF((Profile!Y323=0),"---",IF((Profile!Y325=0),"---",Profile!Y324)),Profile!Y324)</f>
        <v>---</v>
      </c>
      <c s="239" r="X296">
        <f>AB296+X295</f>
        <v>0</v>
      </c>
      <c s="796" r="Y296">
        <f>AC296+Y295</f>
        <v>0</v>
      </c>
      <c s="702" r="Z296"/>
      <c s="289" r="AA296">
        <f>IF(Profile!Y324,IF((Profile!O324=0),0,(Profile!O324-MAX(Profile!O$44:O323))),0)</f>
        <v>0</v>
      </c>
      <c s="605" r="AB296">
        <f>SIN(RADIANS(Profile!Y324))*AA296</f>
        <v>0</v>
      </c>
      <c s="605" r="AC296">
        <f>COS(RADIANS(Profile!Y324))*AA296</f>
        <v>0</v>
      </c>
      <c s="348" r="AD296">
        <f>IF((AJ$15=TRUE),X296,NA())</f>
        <v>0</v>
      </c>
      <c s="348" r="AE296">
        <f>IF((AJ$15=TRUE),Y296,NA())</f>
        <v>0</v>
      </c>
      <c t="str" s="348" r="AF296">
        <f>IF(Profile!L324,Y296,NA())</f>
        <v>#N/A:explicit</v>
      </c>
      <c s="348" r="AG296">
        <f>Profile!T324*E$40</f>
        <v>0</v>
      </c>
      <c t="str" s="348" r="AH296">
        <f>IF((AK$15=TRUE),IF(ISNUMBER(Profile!Y324),IF(ISNUMBER(Profile!Y325),(((X296+((F$63/2)*COS(RADIANS(Profile!Y325))))+(X296+((F$63/2)*COS(RADIANS(Profile!Y324)))))/2),(X296+((F$63/2)*COS(RADIANS(Profile!Y324))))),AH295),0)</f>
        <v>#VALUE!:notNumber:For input string: "---"</v>
      </c>
      <c t="str" s="348" r="AI296">
        <f>IF((AK$15=TRUE),IF(ISNUMBER(Profile!Y324),IF(ISNUMBER(Profile!Y325),(((Y296-((F$63/2)*SIN(RADIANS(Profile!Y325))))+(Y296-((F$63/2)*SIN(RADIANS(Profile!Y324)))))/2),(Y296-((F$63/2)*SIN(RADIANS(Profile!Y324))))),AI295),0)</f>
        <v>#VALUE!:notNumber:For input string: "---"</v>
      </c>
      <c t="str" s="348" r="AJ296">
        <f>IF((AK$15=TRUE),IF(ISNUMBER(Profile!Y324),IF(ISNUMBER(Profile!Y325),(((X296-((F$63/2)*COS(RADIANS(Profile!Y325))))+(X296-((F$63/2)*COS(RADIANS(Profile!Y324)))))/2),(X296-((F$63/2)*COS(RADIANS(Profile!Y324))))),AJ295),0)</f>
        <v>#VALUE!:notNumber:For input string: "---"</v>
      </c>
      <c t="str" s="799" r="AK296">
        <f>IF((AK$15=TRUE),IF(ISNUMBER(Profile!Y324),IF(ISNUMBER(Profile!Y325),(((Y296+((F$63/2)*SIN(RADIANS(Profile!Y325))))+(Y296+((F$63/2)*SIN(RADIANS(Profile!Y324)))))/2),(Y296+((F$63/2)*SIN(RADIANS(Profile!Y324))))),AK295),0)</f>
        <v>#VALUE!:notNumber:For input string: "---"</v>
      </c>
      <c s="51" r="AL296"/>
      <c s="125" r="AM296"/>
    </row>
    <row r="297">
      <c s="125" r="A297"/>
      <c s="125" r="B297"/>
      <c s="125" r="C297"/>
      <c s="125" r="D297"/>
      <c s="125" r="E297"/>
      <c s="125" r="F297"/>
      <c s="125" r="G297"/>
      <c s="125" r="H297"/>
      <c s="125" r="I297"/>
      <c s="125" r="J297"/>
      <c s="125" r="K297"/>
      <c s="125" r="L297"/>
      <c s="125" r="M297"/>
      <c s="125" r="N297"/>
      <c s="125" r="O297"/>
      <c s="125" r="P297"/>
      <c s="125" r="Q297"/>
      <c s="125" r="R297"/>
      <c s="125" r="S297"/>
      <c s="822" r="T297"/>
      <c t="str" s="309" r="U297">
        <f>IF((Profile!L325&gt;0),Profile!L325,"")</f>
        <v/>
      </c>
      <c t="str" s="861" r="V297">
        <f>IF((Profile!O325&gt;0),Profile!O325,"---")</f>
        <v>---</v>
      </c>
      <c t="str" s="861" r="W297">
        <f>IF((Profile!Y325=0),IF((Profile!Y324=0),"---",IF((Profile!Y326=0),"---",Profile!Y325)),Profile!Y325)</f>
        <v>---</v>
      </c>
      <c s="239" r="X297">
        <f>AB297+X296</f>
        <v>0</v>
      </c>
      <c s="796" r="Y297">
        <f>AC297+Y296</f>
        <v>0</v>
      </c>
      <c s="702" r="Z297"/>
      <c s="289" r="AA297">
        <f>IF(Profile!Y325,IF((Profile!O325=0),0,(Profile!O325-MAX(Profile!O$44:O324))),0)</f>
        <v>0</v>
      </c>
      <c s="605" r="AB297">
        <f>SIN(RADIANS(Profile!Y325))*AA297</f>
        <v>0</v>
      </c>
      <c s="605" r="AC297">
        <f>COS(RADIANS(Profile!Y325))*AA297</f>
        <v>0</v>
      </c>
      <c s="348" r="AD297">
        <f>IF((AJ$15=TRUE),X297,NA())</f>
        <v>0</v>
      </c>
      <c s="348" r="AE297">
        <f>IF((AJ$15=TRUE),Y297,NA())</f>
        <v>0</v>
      </c>
      <c t="str" s="348" r="AF297">
        <f>IF(Profile!L325,Y297,NA())</f>
        <v>#N/A:explicit</v>
      </c>
      <c s="348" r="AG297">
        <f>Profile!T325*E$40</f>
        <v>0</v>
      </c>
      <c t="str" s="348" r="AH297">
        <f>IF((AK$15=TRUE),IF(ISNUMBER(Profile!Y325),IF(ISNUMBER(Profile!Y326),(((X297+((F$63/2)*COS(RADIANS(Profile!Y326))))+(X297+((F$63/2)*COS(RADIANS(Profile!Y325)))))/2),(X297+((F$63/2)*COS(RADIANS(Profile!Y325))))),AH296),0)</f>
        <v>#VALUE!:notNumber:For input string: "---"</v>
      </c>
      <c t="str" s="348" r="AI297">
        <f>IF((AK$15=TRUE),IF(ISNUMBER(Profile!Y325),IF(ISNUMBER(Profile!Y326),(((Y297-((F$63/2)*SIN(RADIANS(Profile!Y326))))+(Y297-((F$63/2)*SIN(RADIANS(Profile!Y325)))))/2),(Y297-((F$63/2)*SIN(RADIANS(Profile!Y325))))),AI296),0)</f>
        <v>#VALUE!:notNumber:For input string: "---"</v>
      </c>
      <c t="str" s="348" r="AJ297">
        <f>IF((AK$15=TRUE),IF(ISNUMBER(Profile!Y325),IF(ISNUMBER(Profile!Y326),(((X297-((F$63/2)*COS(RADIANS(Profile!Y326))))+(X297-((F$63/2)*COS(RADIANS(Profile!Y325)))))/2),(X297-((F$63/2)*COS(RADIANS(Profile!Y325))))),AJ296),0)</f>
        <v>#VALUE!:notNumber:For input string: "---"</v>
      </c>
      <c t="str" s="799" r="AK297">
        <f>IF((AK$15=TRUE),IF(ISNUMBER(Profile!Y325),IF(ISNUMBER(Profile!Y326),(((Y297+((F$63/2)*SIN(RADIANS(Profile!Y326))))+(Y297+((F$63/2)*SIN(RADIANS(Profile!Y325)))))/2),(Y297+((F$63/2)*SIN(RADIANS(Profile!Y325))))),AK296),0)</f>
        <v>#VALUE!:notNumber:For input string: "---"</v>
      </c>
      <c s="51" r="AL297"/>
      <c s="125" r="AM297"/>
    </row>
    <row r="298">
      <c s="125" r="A298"/>
      <c s="125" r="B298"/>
      <c s="125" r="C298"/>
      <c s="125" r="D298"/>
      <c s="125" r="E298"/>
      <c s="125" r="F298"/>
      <c s="125" r="G298"/>
      <c s="125" r="H298"/>
      <c s="125" r="I298"/>
      <c s="125" r="J298"/>
      <c s="125" r="K298"/>
      <c s="125" r="L298"/>
      <c s="125" r="M298"/>
      <c s="125" r="N298"/>
      <c s="125" r="O298"/>
      <c s="125" r="P298"/>
      <c s="125" r="Q298"/>
      <c s="125" r="R298"/>
      <c s="125" r="S298"/>
      <c s="822" r="T298"/>
      <c t="str" s="309" r="U298">
        <f>IF((Profile!L326&gt;0),Profile!L326,"")</f>
        <v/>
      </c>
      <c t="str" s="861" r="V298">
        <f>IF((Profile!O326&gt;0),Profile!O326,"---")</f>
        <v>---</v>
      </c>
      <c t="str" s="861" r="W298">
        <f>IF((Profile!Y326=0),IF((Profile!Y325=0),"---",IF((Profile!Y327=0),"---",Profile!Y326)),Profile!Y326)</f>
        <v>---</v>
      </c>
      <c s="239" r="X298">
        <f>AB298+X297</f>
        <v>0</v>
      </c>
      <c s="796" r="Y298">
        <f>AC298+Y297</f>
        <v>0</v>
      </c>
      <c s="702" r="Z298"/>
      <c s="289" r="AA298">
        <f>IF(Profile!Y326,IF((Profile!O326=0),0,(Profile!O326-MAX(Profile!O$44:O325))),0)</f>
        <v>0</v>
      </c>
      <c s="605" r="AB298">
        <f>SIN(RADIANS(Profile!Y326))*AA298</f>
        <v>0</v>
      </c>
      <c s="605" r="AC298">
        <f>COS(RADIANS(Profile!Y326))*AA298</f>
        <v>0</v>
      </c>
      <c s="348" r="AD298">
        <f>IF((AJ$15=TRUE),X298,NA())</f>
        <v>0</v>
      </c>
      <c s="348" r="AE298">
        <f>IF((AJ$15=TRUE),Y298,NA())</f>
        <v>0</v>
      </c>
      <c t="str" s="348" r="AF298">
        <f>IF(Profile!L326,Y298,NA())</f>
        <v>#N/A:explicit</v>
      </c>
      <c s="348" r="AG298">
        <f>Profile!T326*E$40</f>
        <v>0</v>
      </c>
      <c t="str" s="348" r="AH298">
        <f>IF((AK$15=TRUE),IF(ISNUMBER(Profile!Y326),IF(ISNUMBER(Profile!Y327),(((X298+((F$63/2)*COS(RADIANS(Profile!Y327))))+(X298+((F$63/2)*COS(RADIANS(Profile!Y326)))))/2),(X298+((F$63/2)*COS(RADIANS(Profile!Y326))))),AH297),0)</f>
        <v>#VALUE!:notNumber:For input string: "---"</v>
      </c>
      <c t="str" s="348" r="AI298">
        <f>IF((AK$15=TRUE),IF(ISNUMBER(Profile!Y326),IF(ISNUMBER(Profile!Y327),(((Y298-((F$63/2)*SIN(RADIANS(Profile!Y327))))+(Y298-((F$63/2)*SIN(RADIANS(Profile!Y326)))))/2),(Y298-((F$63/2)*SIN(RADIANS(Profile!Y326))))),AI297),0)</f>
        <v>#VALUE!:notNumber:For input string: "---"</v>
      </c>
      <c t="str" s="348" r="AJ298">
        <f>IF((AK$15=TRUE),IF(ISNUMBER(Profile!Y326),IF(ISNUMBER(Profile!Y327),(((X298-((F$63/2)*COS(RADIANS(Profile!Y327))))+(X298-((F$63/2)*COS(RADIANS(Profile!Y326)))))/2),(X298-((F$63/2)*COS(RADIANS(Profile!Y326))))),AJ297),0)</f>
        <v>#VALUE!:notNumber:For input string: "---"</v>
      </c>
      <c t="str" s="799" r="AK298">
        <f>IF((AK$15=TRUE),IF(ISNUMBER(Profile!Y326),IF(ISNUMBER(Profile!Y327),(((Y298+((F$63/2)*SIN(RADIANS(Profile!Y327))))+(Y298+((F$63/2)*SIN(RADIANS(Profile!Y326)))))/2),(Y298+((F$63/2)*SIN(RADIANS(Profile!Y326))))),AK297),0)</f>
        <v>#VALUE!:notNumber:For input string: "---"</v>
      </c>
      <c s="51" r="AL298"/>
      <c s="125" r="AM298"/>
    </row>
    <row r="299">
      <c s="125" r="A299"/>
      <c s="125" r="B299"/>
      <c s="125" r="C299"/>
      <c s="125" r="D299"/>
      <c s="125" r="E299"/>
      <c s="125" r="F299"/>
      <c s="125" r="G299"/>
      <c s="125" r="H299"/>
      <c s="125" r="I299"/>
      <c s="125" r="J299"/>
      <c s="125" r="K299"/>
      <c s="125" r="L299"/>
      <c s="125" r="M299"/>
      <c s="125" r="N299"/>
      <c s="125" r="O299"/>
      <c s="125" r="P299"/>
      <c s="125" r="Q299"/>
      <c s="125" r="R299"/>
      <c s="125" r="S299"/>
      <c s="822" r="T299"/>
      <c t="str" s="309" r="U299">
        <f>IF((Profile!L327&gt;0),Profile!L327,"")</f>
        <v/>
      </c>
      <c t="str" s="861" r="V299">
        <f>IF((Profile!O327&gt;0),Profile!O327,"---")</f>
        <v>---</v>
      </c>
      <c t="str" s="861" r="W299">
        <f>IF((Profile!Y327=0),IF((Profile!Y326=0),"---",IF((Profile!Y328=0),"---",Profile!Y327)),Profile!Y327)</f>
        <v>---</v>
      </c>
      <c s="239" r="X299">
        <f>AB299+X298</f>
        <v>0</v>
      </c>
      <c s="796" r="Y299">
        <f>AC299+Y298</f>
        <v>0</v>
      </c>
      <c s="702" r="Z299"/>
      <c s="289" r="AA299">
        <f>IF(Profile!Y327,IF((Profile!O327=0),0,(Profile!O327-MAX(Profile!O$44:O326))),0)</f>
        <v>0</v>
      </c>
      <c s="605" r="AB299">
        <f>SIN(RADIANS(Profile!Y327))*AA299</f>
        <v>0</v>
      </c>
      <c s="605" r="AC299">
        <f>COS(RADIANS(Profile!Y327))*AA299</f>
        <v>0</v>
      </c>
      <c s="348" r="AD299">
        <f>IF((AJ$15=TRUE),X299,NA())</f>
        <v>0</v>
      </c>
      <c s="348" r="AE299">
        <f>IF((AJ$15=TRUE),Y299,NA())</f>
        <v>0</v>
      </c>
      <c t="str" s="348" r="AF299">
        <f>IF(Profile!L327,Y299,NA())</f>
        <v>#N/A:explicit</v>
      </c>
      <c s="348" r="AG299">
        <f>Profile!T327*E$40</f>
        <v>0</v>
      </c>
      <c t="str" s="348" r="AH299">
        <f>IF((AK$15=TRUE),IF(ISNUMBER(Profile!Y327),IF(ISNUMBER(Profile!Y328),(((X299+((F$63/2)*COS(RADIANS(Profile!Y328))))+(X299+((F$63/2)*COS(RADIANS(Profile!Y327)))))/2),(X299+((F$63/2)*COS(RADIANS(Profile!Y327))))),AH298),0)</f>
        <v>#VALUE!:notNumber:For input string: "---"</v>
      </c>
      <c t="str" s="348" r="AI299">
        <f>IF((AK$15=TRUE),IF(ISNUMBER(Profile!Y327),IF(ISNUMBER(Profile!Y328),(((Y299-((F$63/2)*SIN(RADIANS(Profile!Y328))))+(Y299-((F$63/2)*SIN(RADIANS(Profile!Y327)))))/2),(Y299-((F$63/2)*SIN(RADIANS(Profile!Y327))))),AI298),0)</f>
        <v>#VALUE!:notNumber:For input string: "---"</v>
      </c>
      <c t="str" s="348" r="AJ299">
        <f>IF((AK$15=TRUE),IF(ISNUMBER(Profile!Y327),IF(ISNUMBER(Profile!Y328),(((X299-((F$63/2)*COS(RADIANS(Profile!Y328))))+(X299-((F$63/2)*COS(RADIANS(Profile!Y327)))))/2),(X299-((F$63/2)*COS(RADIANS(Profile!Y327))))),AJ298),0)</f>
        <v>#VALUE!:notNumber:For input string: "---"</v>
      </c>
      <c t="str" s="799" r="AK299">
        <f>IF((AK$15=TRUE),IF(ISNUMBER(Profile!Y327),IF(ISNUMBER(Profile!Y328),(((Y299+((F$63/2)*SIN(RADIANS(Profile!Y328))))+(Y299+((F$63/2)*SIN(RADIANS(Profile!Y327)))))/2),(Y299+((F$63/2)*SIN(RADIANS(Profile!Y327))))),AK298),0)</f>
        <v>#VALUE!:notNumber:For input string: "---"</v>
      </c>
      <c s="51" r="AL299"/>
      <c s="125" r="AM299"/>
    </row>
    <row r="300">
      <c s="125" r="A300"/>
      <c s="125" r="B300"/>
      <c s="125" r="C300"/>
      <c s="125" r="D300"/>
      <c s="125" r="E300"/>
      <c s="125" r="F300"/>
      <c s="125" r="G300"/>
      <c s="125" r="H300"/>
      <c s="125" r="I300"/>
      <c s="125" r="J300"/>
      <c s="125" r="K300"/>
      <c s="125" r="L300"/>
      <c s="125" r="M300"/>
      <c s="125" r="N300"/>
      <c s="125" r="O300"/>
      <c s="125" r="P300"/>
      <c s="125" r="Q300"/>
      <c s="125" r="R300"/>
      <c s="125" r="S300"/>
      <c s="822" r="T300"/>
      <c t="str" s="309" r="U300">
        <f>IF((Profile!L328&gt;0),Profile!L328,"")</f>
        <v/>
      </c>
      <c t="str" s="861" r="V300">
        <f>IF((Profile!O328&gt;0),Profile!O328,"---")</f>
        <v>---</v>
      </c>
      <c t="str" s="861" r="W300">
        <f>IF((Profile!Y328=0),IF((Profile!Y327=0),"---",IF((Profile!Y329=0),"---",Profile!Y328)),Profile!Y328)</f>
        <v>---</v>
      </c>
      <c s="239" r="X300">
        <f>AB300+X299</f>
        <v>0</v>
      </c>
      <c s="796" r="Y300">
        <f>AC300+Y299</f>
        <v>0</v>
      </c>
      <c s="702" r="Z300"/>
      <c s="289" r="AA300">
        <f>IF(Profile!Y328,IF((Profile!O328=0),0,(Profile!O328-MAX(Profile!O$44:O327))),0)</f>
        <v>0</v>
      </c>
      <c s="605" r="AB300">
        <f>SIN(RADIANS(Profile!Y328))*AA300</f>
        <v>0</v>
      </c>
      <c s="605" r="AC300">
        <f>COS(RADIANS(Profile!Y328))*AA300</f>
        <v>0</v>
      </c>
      <c s="348" r="AD300">
        <f>IF((AJ$15=TRUE),X300,NA())</f>
        <v>0</v>
      </c>
      <c s="348" r="AE300">
        <f>IF((AJ$15=TRUE),Y300,NA())</f>
        <v>0</v>
      </c>
      <c t="str" s="348" r="AF300">
        <f>IF(Profile!L328,Y300,NA())</f>
        <v>#N/A:explicit</v>
      </c>
      <c s="348" r="AG300">
        <f>Profile!T328*E$40</f>
        <v>0</v>
      </c>
      <c t="str" s="348" r="AH300">
        <f>IF((AK$15=TRUE),IF(ISNUMBER(Profile!Y328),IF(ISNUMBER(Profile!Y329),(((X300+((F$63/2)*COS(RADIANS(Profile!Y329))))+(X300+((F$63/2)*COS(RADIANS(Profile!Y328)))))/2),(X300+((F$63/2)*COS(RADIANS(Profile!Y328))))),AH299),0)</f>
        <v>#VALUE!:notNumber:For input string: "---"</v>
      </c>
      <c t="str" s="348" r="AI300">
        <f>IF((AK$15=TRUE),IF(ISNUMBER(Profile!Y328),IF(ISNUMBER(Profile!Y329),(((Y300-((F$63/2)*SIN(RADIANS(Profile!Y329))))+(Y300-((F$63/2)*SIN(RADIANS(Profile!Y328)))))/2),(Y300-((F$63/2)*SIN(RADIANS(Profile!Y328))))),AI299),0)</f>
        <v>#VALUE!:notNumber:For input string: "---"</v>
      </c>
      <c t="str" s="348" r="AJ300">
        <f>IF((AK$15=TRUE),IF(ISNUMBER(Profile!Y328),IF(ISNUMBER(Profile!Y329),(((X300-((F$63/2)*COS(RADIANS(Profile!Y329))))+(X300-((F$63/2)*COS(RADIANS(Profile!Y328)))))/2),(X300-((F$63/2)*COS(RADIANS(Profile!Y328))))),AJ299),0)</f>
        <v>#VALUE!:notNumber:For input string: "---"</v>
      </c>
      <c t="str" s="799" r="AK300">
        <f>IF((AK$15=TRUE),IF(ISNUMBER(Profile!Y328),IF(ISNUMBER(Profile!Y329),(((Y300+((F$63/2)*SIN(RADIANS(Profile!Y329))))+(Y300+((F$63/2)*SIN(RADIANS(Profile!Y328)))))/2),(Y300+((F$63/2)*SIN(RADIANS(Profile!Y328))))),AK299),0)</f>
        <v>#VALUE!:notNumber:For input string: "---"</v>
      </c>
      <c s="51" r="AL300"/>
      <c s="125" r="AM300"/>
    </row>
    <row r="301">
      <c s="125" r="A301"/>
      <c s="125" r="B301"/>
      <c s="125" r="C301"/>
      <c s="125" r="D301"/>
      <c s="125" r="E301"/>
      <c s="125" r="F301"/>
      <c s="125" r="G301"/>
      <c s="125" r="H301"/>
      <c s="125" r="I301"/>
      <c s="125" r="J301"/>
      <c s="125" r="K301"/>
      <c s="125" r="L301"/>
      <c s="125" r="M301"/>
      <c s="125" r="N301"/>
      <c s="125" r="O301"/>
      <c s="125" r="P301"/>
      <c s="125" r="Q301"/>
      <c s="125" r="R301"/>
      <c s="125" r="S301"/>
      <c s="822" r="T301"/>
      <c t="str" s="309" r="U301">
        <f>IF((Profile!L329&gt;0),Profile!L329,"")</f>
        <v/>
      </c>
      <c t="str" s="861" r="V301">
        <f>IF((Profile!O329&gt;0),Profile!O329,"---")</f>
        <v>---</v>
      </c>
      <c t="str" s="861" r="W301">
        <f>IF((Profile!Y329=0),IF((Profile!Y328=0),"---",IF((Profile!Y330=0),"---",Profile!Y329)),Profile!Y329)</f>
        <v>---</v>
      </c>
      <c s="239" r="X301">
        <f>AB301+X300</f>
        <v>0</v>
      </c>
      <c s="796" r="Y301">
        <f>AC301+Y300</f>
        <v>0</v>
      </c>
      <c s="702" r="Z301"/>
      <c s="289" r="AA301">
        <f>IF(Profile!Y329,IF((Profile!O329=0),0,(Profile!O329-MAX(Profile!O$44:O328))),0)</f>
        <v>0</v>
      </c>
      <c s="605" r="AB301">
        <f>SIN(RADIANS(Profile!Y329))*AA301</f>
        <v>0</v>
      </c>
      <c s="605" r="AC301">
        <f>COS(RADIANS(Profile!Y329))*AA301</f>
        <v>0</v>
      </c>
      <c s="348" r="AD301">
        <f>IF((AJ$15=TRUE),X301,NA())</f>
        <v>0</v>
      </c>
      <c s="348" r="AE301">
        <f>IF((AJ$15=TRUE),Y301,NA())</f>
        <v>0</v>
      </c>
      <c t="str" s="348" r="AF301">
        <f>IF(Profile!L329,Y301,NA())</f>
        <v>#N/A:explicit</v>
      </c>
      <c s="348" r="AG301">
        <f>Profile!T329*E$40</f>
        <v>0</v>
      </c>
      <c t="str" s="348" r="AH301">
        <f>IF((AK$15=TRUE),IF(ISNUMBER(Profile!Y329),IF(ISNUMBER(Profile!Y330),(((X301+((F$63/2)*COS(RADIANS(Profile!Y330))))+(X301+((F$63/2)*COS(RADIANS(Profile!Y329)))))/2),(X301+((F$63/2)*COS(RADIANS(Profile!Y329))))),AH300),0)</f>
        <v>#VALUE!:notNumber:For input string: "---"</v>
      </c>
      <c t="str" s="348" r="AI301">
        <f>IF((AK$15=TRUE),IF(ISNUMBER(Profile!Y329),IF(ISNUMBER(Profile!Y330),(((Y301-((F$63/2)*SIN(RADIANS(Profile!Y330))))+(Y301-((F$63/2)*SIN(RADIANS(Profile!Y329)))))/2),(Y301-((F$63/2)*SIN(RADIANS(Profile!Y329))))),AI300),0)</f>
        <v>#VALUE!:notNumber:For input string: "---"</v>
      </c>
      <c t="str" s="348" r="AJ301">
        <f>IF((AK$15=TRUE),IF(ISNUMBER(Profile!Y329),IF(ISNUMBER(Profile!Y330),(((X301-((F$63/2)*COS(RADIANS(Profile!Y330))))+(X301-((F$63/2)*COS(RADIANS(Profile!Y329)))))/2),(X301-((F$63/2)*COS(RADIANS(Profile!Y329))))),AJ300),0)</f>
        <v>#VALUE!:notNumber:For input string: "---"</v>
      </c>
      <c t="str" s="799" r="AK301">
        <f>IF((AK$15=TRUE),IF(ISNUMBER(Profile!Y329),IF(ISNUMBER(Profile!Y330),(((Y301+((F$63/2)*SIN(RADIANS(Profile!Y330))))+(Y301+((F$63/2)*SIN(RADIANS(Profile!Y329)))))/2),(Y301+((F$63/2)*SIN(RADIANS(Profile!Y329))))),AK300),0)</f>
        <v>#VALUE!:notNumber:For input string: "---"</v>
      </c>
      <c s="51" r="AL301"/>
      <c s="125" r="AM301"/>
    </row>
    <row r="302">
      <c s="125" r="A302"/>
      <c s="125" r="B302"/>
      <c s="125" r="C302"/>
      <c s="125" r="D302"/>
      <c s="125" r="E302"/>
      <c s="125" r="F302"/>
      <c s="125" r="G302"/>
      <c s="125" r="H302"/>
      <c s="125" r="I302"/>
      <c s="125" r="J302"/>
      <c s="125" r="K302"/>
      <c s="125" r="L302"/>
      <c s="125" r="M302"/>
      <c s="125" r="N302"/>
      <c s="125" r="O302"/>
      <c s="125" r="P302"/>
      <c s="125" r="Q302"/>
      <c s="125" r="R302"/>
      <c s="125" r="S302"/>
      <c s="822" r="T302"/>
      <c t="str" s="309" r="U302">
        <f>IF((Profile!L330&gt;0),Profile!L330,"")</f>
        <v/>
      </c>
      <c t="str" s="861" r="V302">
        <f>IF((Profile!O330&gt;0),Profile!O330,"---")</f>
        <v>---</v>
      </c>
      <c t="str" s="861" r="W302">
        <f>IF((Profile!Y330=0),IF((Profile!Y329=0),"---",IF((Profile!Y331=0),"---",Profile!Y330)),Profile!Y330)</f>
        <v>---</v>
      </c>
      <c s="239" r="X302">
        <f>AB302+X301</f>
        <v>0</v>
      </c>
      <c s="796" r="Y302">
        <f>AC302+Y301</f>
        <v>0</v>
      </c>
      <c s="702" r="Z302"/>
      <c s="289" r="AA302">
        <f>IF(Profile!Y330,IF((Profile!O330=0),0,(Profile!O330-MAX(Profile!O$44:O329))),0)</f>
        <v>0</v>
      </c>
      <c s="605" r="AB302">
        <f>SIN(RADIANS(Profile!Y330))*AA302</f>
        <v>0</v>
      </c>
      <c s="605" r="AC302">
        <f>COS(RADIANS(Profile!Y330))*AA302</f>
        <v>0</v>
      </c>
      <c s="348" r="AD302">
        <f>IF((AJ$15=TRUE),X302,NA())</f>
        <v>0</v>
      </c>
      <c s="348" r="AE302">
        <f>IF((AJ$15=TRUE),Y302,NA())</f>
        <v>0</v>
      </c>
      <c t="str" s="348" r="AF302">
        <f>IF(Profile!L330,Y302,NA())</f>
        <v>#N/A:explicit</v>
      </c>
      <c s="348" r="AG302">
        <f>Profile!T330*E$40</f>
        <v>0</v>
      </c>
      <c t="str" s="348" r="AH302">
        <f>IF((AK$15=TRUE),IF(ISNUMBER(Profile!Y330),IF(ISNUMBER(Profile!Y331),(((X302+((F$63/2)*COS(RADIANS(Profile!Y331))))+(X302+((F$63/2)*COS(RADIANS(Profile!Y330)))))/2),(X302+((F$63/2)*COS(RADIANS(Profile!Y330))))),AH301),0)</f>
        <v>#VALUE!:notNumber:For input string: "---"</v>
      </c>
      <c t="str" s="348" r="AI302">
        <f>IF((AK$15=TRUE),IF(ISNUMBER(Profile!Y330),IF(ISNUMBER(Profile!Y331),(((Y302-((F$63/2)*SIN(RADIANS(Profile!Y331))))+(Y302-((F$63/2)*SIN(RADIANS(Profile!Y330)))))/2),(Y302-((F$63/2)*SIN(RADIANS(Profile!Y330))))),AI301),0)</f>
        <v>#VALUE!:notNumber:For input string: "---"</v>
      </c>
      <c t="str" s="348" r="AJ302">
        <f>IF((AK$15=TRUE),IF(ISNUMBER(Profile!Y330),IF(ISNUMBER(Profile!Y331),(((X302-((F$63/2)*COS(RADIANS(Profile!Y331))))+(X302-((F$63/2)*COS(RADIANS(Profile!Y330)))))/2),(X302-((F$63/2)*COS(RADIANS(Profile!Y330))))),AJ301),0)</f>
        <v>#VALUE!:notNumber:For input string: "---"</v>
      </c>
      <c t="str" s="799" r="AK302">
        <f>IF((AK$15=TRUE),IF(ISNUMBER(Profile!Y330),IF(ISNUMBER(Profile!Y331),(((Y302+((F$63/2)*SIN(RADIANS(Profile!Y331))))+(Y302+((F$63/2)*SIN(RADIANS(Profile!Y330)))))/2),(Y302+((F$63/2)*SIN(RADIANS(Profile!Y330))))),AK301),0)</f>
        <v>#VALUE!:notNumber:For input string: "---"</v>
      </c>
      <c s="51" r="AL302"/>
      <c s="125" r="AM302"/>
    </row>
    <row r="303">
      <c s="125" r="A303"/>
      <c s="125" r="B303"/>
      <c s="125" r="C303"/>
      <c s="125" r="D303"/>
      <c s="125" r="E303"/>
      <c s="125" r="F303"/>
      <c s="125" r="G303"/>
      <c s="125" r="H303"/>
      <c s="125" r="I303"/>
      <c s="125" r="J303"/>
      <c s="125" r="K303"/>
      <c s="125" r="L303"/>
      <c s="125" r="M303"/>
      <c s="125" r="N303"/>
      <c s="125" r="O303"/>
      <c s="125" r="P303"/>
      <c s="125" r="Q303"/>
      <c s="125" r="R303"/>
      <c s="125" r="S303"/>
      <c s="822" r="T303"/>
      <c t="str" s="309" r="U303">
        <f>IF((Profile!L331&gt;0),Profile!L331,"")</f>
        <v/>
      </c>
      <c t="str" s="861" r="V303">
        <f>IF((Profile!O331&gt;0),Profile!O331,"---")</f>
        <v>---</v>
      </c>
      <c t="str" s="861" r="W303">
        <f>IF((Profile!Y331=0),IF((Profile!Y330=0),"---",IF((Profile!Y332=0),"---",Profile!Y331)),Profile!Y331)</f>
        <v>---</v>
      </c>
      <c s="239" r="X303">
        <f>AB303+X302</f>
        <v>0</v>
      </c>
      <c s="796" r="Y303">
        <f>AC303+Y302</f>
        <v>0</v>
      </c>
      <c s="702" r="Z303"/>
      <c s="289" r="AA303">
        <f>IF(Profile!Y331,IF((Profile!O331=0),0,(Profile!O331-MAX(Profile!O$44:O330))),0)</f>
        <v>0</v>
      </c>
      <c s="605" r="AB303">
        <f>SIN(RADIANS(Profile!Y331))*AA303</f>
        <v>0</v>
      </c>
      <c s="605" r="AC303">
        <f>COS(RADIANS(Profile!Y331))*AA303</f>
        <v>0</v>
      </c>
      <c s="348" r="AD303">
        <f>IF((AJ$15=TRUE),X303,NA())</f>
        <v>0</v>
      </c>
      <c s="348" r="AE303">
        <f>IF((AJ$15=TRUE),Y303,NA())</f>
        <v>0</v>
      </c>
      <c t="str" s="348" r="AF303">
        <f>IF(Profile!L331,Y303,NA())</f>
        <v>#N/A:explicit</v>
      </c>
      <c s="348" r="AG303">
        <f>Profile!T331*E$40</f>
        <v>0</v>
      </c>
      <c t="str" s="348" r="AH303">
        <f>IF((AK$15=TRUE),IF(ISNUMBER(Profile!Y331),IF(ISNUMBER(Profile!Y332),(((X303+((F$63/2)*COS(RADIANS(Profile!Y332))))+(X303+((F$63/2)*COS(RADIANS(Profile!Y331)))))/2),(X303+((F$63/2)*COS(RADIANS(Profile!Y331))))),AH302),0)</f>
        <v>#VALUE!:notNumber:For input string: "---"</v>
      </c>
      <c t="str" s="348" r="AI303">
        <f>IF((AK$15=TRUE),IF(ISNUMBER(Profile!Y331),IF(ISNUMBER(Profile!Y332),(((Y303-((F$63/2)*SIN(RADIANS(Profile!Y332))))+(Y303-((F$63/2)*SIN(RADIANS(Profile!Y331)))))/2),(Y303-((F$63/2)*SIN(RADIANS(Profile!Y331))))),AI302),0)</f>
        <v>#VALUE!:notNumber:For input string: "---"</v>
      </c>
      <c t="str" s="348" r="AJ303">
        <f>IF((AK$15=TRUE),IF(ISNUMBER(Profile!Y331),IF(ISNUMBER(Profile!Y332),(((X303-((F$63/2)*COS(RADIANS(Profile!Y332))))+(X303-((F$63/2)*COS(RADIANS(Profile!Y331)))))/2),(X303-((F$63/2)*COS(RADIANS(Profile!Y331))))),AJ302),0)</f>
        <v>#VALUE!:notNumber:For input string: "---"</v>
      </c>
      <c t="str" s="799" r="AK303">
        <f>IF((AK$15=TRUE),IF(ISNUMBER(Profile!Y331),IF(ISNUMBER(Profile!Y332),(((Y303+((F$63/2)*SIN(RADIANS(Profile!Y332))))+(Y303+((F$63/2)*SIN(RADIANS(Profile!Y331)))))/2),(Y303+((F$63/2)*SIN(RADIANS(Profile!Y331))))),AK302),0)</f>
        <v>#VALUE!:notNumber:For input string: "---"</v>
      </c>
      <c s="51" r="AL303"/>
      <c s="125" r="AM303"/>
    </row>
    <row r="304">
      <c s="125" r="A304"/>
      <c s="125" r="B304"/>
      <c s="125" r="C304"/>
      <c s="125" r="D304"/>
      <c s="125" r="E304"/>
      <c s="125" r="F304"/>
      <c s="125" r="G304"/>
      <c s="125" r="H304"/>
      <c s="125" r="I304"/>
      <c s="125" r="J304"/>
      <c s="125" r="K304"/>
      <c s="125" r="L304"/>
      <c s="125" r="M304"/>
      <c s="125" r="N304"/>
      <c s="125" r="O304"/>
      <c s="125" r="P304"/>
      <c s="125" r="Q304"/>
      <c s="125" r="R304"/>
      <c s="125" r="S304"/>
      <c s="822" r="T304"/>
      <c t="str" s="309" r="U304">
        <f>IF((Profile!L332&gt;0),Profile!L332,"")</f>
        <v/>
      </c>
      <c t="str" s="861" r="V304">
        <f>IF((Profile!O332&gt;0),Profile!O332,"---")</f>
        <v>---</v>
      </c>
      <c t="str" s="861" r="W304">
        <f>IF((Profile!Y332=0),IF((Profile!Y331=0),"---",IF((Profile!Y333=0),"---",Profile!Y332)),Profile!Y332)</f>
        <v>---</v>
      </c>
      <c s="239" r="X304">
        <f>AB304+X303</f>
        <v>0</v>
      </c>
      <c s="796" r="Y304">
        <f>AC304+Y303</f>
        <v>0</v>
      </c>
      <c s="702" r="Z304"/>
      <c s="289" r="AA304">
        <f>IF(Profile!Y332,IF((Profile!O332=0),0,(Profile!O332-MAX(Profile!O$44:O331))),0)</f>
        <v>0</v>
      </c>
      <c s="605" r="AB304">
        <f>SIN(RADIANS(Profile!Y332))*AA304</f>
        <v>0</v>
      </c>
      <c s="605" r="AC304">
        <f>COS(RADIANS(Profile!Y332))*AA304</f>
        <v>0</v>
      </c>
      <c s="348" r="AD304">
        <f>IF((AJ$15=TRUE),X304,NA())</f>
        <v>0</v>
      </c>
      <c s="348" r="AE304">
        <f>IF((AJ$15=TRUE),Y304,NA())</f>
        <v>0</v>
      </c>
      <c t="str" s="348" r="AF304">
        <f>IF(Profile!L332,Y304,NA())</f>
        <v>#N/A:explicit</v>
      </c>
      <c s="348" r="AG304">
        <f>Profile!T332*E$40</f>
        <v>0</v>
      </c>
      <c t="str" s="348" r="AH304">
        <f>IF((AK$15=TRUE),IF(ISNUMBER(Profile!Y332),IF(ISNUMBER(Profile!Y333),(((X304+((F$63/2)*COS(RADIANS(Profile!Y333))))+(X304+((F$63/2)*COS(RADIANS(Profile!Y332)))))/2),(X304+((F$63/2)*COS(RADIANS(Profile!Y332))))),AH303),0)</f>
        <v>#VALUE!:notNumber:For input string: "---"</v>
      </c>
      <c t="str" s="348" r="AI304">
        <f>IF((AK$15=TRUE),IF(ISNUMBER(Profile!Y332),IF(ISNUMBER(Profile!Y333),(((Y304-((F$63/2)*SIN(RADIANS(Profile!Y333))))+(Y304-((F$63/2)*SIN(RADIANS(Profile!Y332)))))/2),(Y304-((F$63/2)*SIN(RADIANS(Profile!Y332))))),AI303),0)</f>
        <v>#VALUE!:notNumber:For input string: "---"</v>
      </c>
      <c t="str" s="348" r="AJ304">
        <f>IF((AK$15=TRUE),IF(ISNUMBER(Profile!Y332),IF(ISNUMBER(Profile!Y333),(((X304-((F$63/2)*COS(RADIANS(Profile!Y333))))+(X304-((F$63/2)*COS(RADIANS(Profile!Y332)))))/2),(X304-((F$63/2)*COS(RADIANS(Profile!Y332))))),AJ303),0)</f>
        <v>#VALUE!:notNumber:For input string: "---"</v>
      </c>
      <c t="str" s="799" r="AK304">
        <f>IF((AK$15=TRUE),IF(ISNUMBER(Profile!Y332),IF(ISNUMBER(Profile!Y333),(((Y304+((F$63/2)*SIN(RADIANS(Profile!Y333))))+(Y304+((F$63/2)*SIN(RADIANS(Profile!Y332)))))/2),(Y304+((F$63/2)*SIN(RADIANS(Profile!Y332))))),AK303),0)</f>
        <v>#VALUE!:notNumber:For input string: "---"</v>
      </c>
      <c s="51" r="AL304"/>
      <c s="125" r="AM304"/>
    </row>
    <row r="305">
      <c s="125" r="A305"/>
      <c s="125" r="B305"/>
      <c s="125" r="C305"/>
      <c s="125" r="D305"/>
      <c s="125" r="E305"/>
      <c s="125" r="F305"/>
      <c s="125" r="G305"/>
      <c s="125" r="H305"/>
      <c s="125" r="I305"/>
      <c s="125" r="J305"/>
      <c s="125" r="K305"/>
      <c s="125" r="L305"/>
      <c s="125" r="M305"/>
      <c s="125" r="N305"/>
      <c s="125" r="O305"/>
      <c s="125" r="P305"/>
      <c s="125" r="Q305"/>
      <c s="125" r="R305"/>
      <c s="125" r="S305"/>
      <c s="822" r="T305"/>
      <c t="str" s="309" r="U305">
        <f>IF((Profile!L333&gt;0),Profile!L333,"")</f>
        <v/>
      </c>
      <c t="str" s="861" r="V305">
        <f>IF((Profile!O333&gt;0),Profile!O333,"---")</f>
        <v>---</v>
      </c>
      <c t="str" s="861" r="W305">
        <f>IF((Profile!Y333=0),IF((Profile!Y332=0),"---",IF((Profile!Y334=0),"---",Profile!Y333)),Profile!Y333)</f>
        <v>---</v>
      </c>
      <c s="239" r="X305">
        <f>AB305+X304</f>
        <v>0</v>
      </c>
      <c s="796" r="Y305">
        <f>AC305+Y304</f>
        <v>0</v>
      </c>
      <c s="702" r="Z305"/>
      <c s="289" r="AA305">
        <f>IF(Profile!Y333,IF((Profile!O333=0),0,(Profile!O333-MAX(Profile!O$44:O332))),0)</f>
        <v>0</v>
      </c>
      <c s="605" r="AB305">
        <f>SIN(RADIANS(Profile!Y333))*AA305</f>
        <v>0</v>
      </c>
      <c s="605" r="AC305">
        <f>COS(RADIANS(Profile!Y333))*AA305</f>
        <v>0</v>
      </c>
      <c s="348" r="AD305">
        <f>IF((AJ$15=TRUE),X305,NA())</f>
        <v>0</v>
      </c>
      <c s="348" r="AE305">
        <f>IF((AJ$15=TRUE),Y305,NA())</f>
        <v>0</v>
      </c>
      <c t="str" s="348" r="AF305">
        <f>IF(Profile!L333,Y305,NA())</f>
        <v>#N/A:explicit</v>
      </c>
      <c s="348" r="AG305">
        <f>Profile!T333*E$40</f>
        <v>0</v>
      </c>
      <c t="str" s="348" r="AH305">
        <f>IF((AK$15=TRUE),IF(ISNUMBER(Profile!Y333),IF(ISNUMBER(Profile!Y334),(((X305+((F$63/2)*COS(RADIANS(Profile!Y334))))+(X305+((F$63/2)*COS(RADIANS(Profile!Y333)))))/2),(X305+((F$63/2)*COS(RADIANS(Profile!Y333))))),AH304),0)</f>
        <v>#VALUE!:notNumber:For input string: "---"</v>
      </c>
      <c t="str" s="348" r="AI305">
        <f>IF((AK$15=TRUE),IF(ISNUMBER(Profile!Y333),IF(ISNUMBER(Profile!Y334),(((Y305-((F$63/2)*SIN(RADIANS(Profile!Y334))))+(Y305-((F$63/2)*SIN(RADIANS(Profile!Y333)))))/2),(Y305-((F$63/2)*SIN(RADIANS(Profile!Y333))))),AI304),0)</f>
        <v>#VALUE!:notNumber:For input string: "---"</v>
      </c>
      <c t="str" s="348" r="AJ305">
        <f>IF((AK$15=TRUE),IF(ISNUMBER(Profile!Y333),IF(ISNUMBER(Profile!Y334),(((X305-((F$63/2)*COS(RADIANS(Profile!Y334))))+(X305-((F$63/2)*COS(RADIANS(Profile!Y333)))))/2),(X305-((F$63/2)*COS(RADIANS(Profile!Y333))))),AJ304),0)</f>
        <v>#VALUE!:notNumber:For input string: "---"</v>
      </c>
      <c t="str" s="799" r="AK305">
        <f>IF((AK$15=TRUE),IF(ISNUMBER(Profile!Y333),IF(ISNUMBER(Profile!Y334),(((Y305+((F$63/2)*SIN(RADIANS(Profile!Y334))))+(Y305+((F$63/2)*SIN(RADIANS(Profile!Y333)))))/2),(Y305+((F$63/2)*SIN(RADIANS(Profile!Y333))))),AK304),0)</f>
        <v>#VALUE!:notNumber:For input string: "---"</v>
      </c>
      <c s="51" r="AL305"/>
      <c s="125" r="AM305"/>
    </row>
    <row r="306">
      <c s="125" r="A306"/>
      <c s="125" r="B306"/>
      <c s="125" r="C306"/>
      <c s="125" r="D306"/>
      <c s="125" r="E306"/>
      <c s="125" r="F306"/>
      <c s="125" r="G306"/>
      <c s="125" r="H306"/>
      <c s="125" r="I306"/>
      <c s="125" r="J306"/>
      <c s="125" r="K306"/>
      <c s="125" r="L306"/>
      <c s="125" r="M306"/>
      <c s="125" r="N306"/>
      <c s="125" r="O306"/>
      <c s="125" r="P306"/>
      <c s="125" r="Q306"/>
      <c s="125" r="R306"/>
      <c s="125" r="S306"/>
      <c s="822" r="T306"/>
      <c t="str" s="309" r="U306">
        <f>IF((Profile!L334&gt;0),Profile!L334,"")</f>
        <v/>
      </c>
      <c t="str" s="861" r="V306">
        <f>IF((Profile!O334&gt;0),Profile!O334,"---")</f>
        <v>---</v>
      </c>
      <c t="str" s="861" r="W306">
        <f>IF((Profile!Y334=0),IF((Profile!Y333=0),"---",IF((Profile!Y335=0),"---",Profile!Y334)),Profile!Y334)</f>
        <v>---</v>
      </c>
      <c s="239" r="X306">
        <f>AB306+X305</f>
        <v>0</v>
      </c>
      <c s="796" r="Y306">
        <f>AC306+Y305</f>
        <v>0</v>
      </c>
      <c s="702" r="Z306"/>
      <c s="289" r="AA306">
        <f>IF(Profile!Y334,IF((Profile!O334=0),0,(Profile!O334-MAX(Profile!O$44:O333))),0)</f>
        <v>0</v>
      </c>
      <c s="605" r="AB306">
        <f>SIN(RADIANS(Profile!Y334))*AA306</f>
        <v>0</v>
      </c>
      <c s="605" r="AC306">
        <f>COS(RADIANS(Profile!Y334))*AA306</f>
        <v>0</v>
      </c>
      <c s="348" r="AD306">
        <f>IF((AJ$15=TRUE),X306,NA())</f>
        <v>0</v>
      </c>
      <c s="348" r="AE306">
        <f>IF((AJ$15=TRUE),Y306,NA())</f>
        <v>0</v>
      </c>
      <c t="str" s="348" r="AF306">
        <f>IF(Profile!L334,Y306,NA())</f>
        <v>#N/A:explicit</v>
      </c>
      <c s="348" r="AG306">
        <f>Profile!T334*E$40</f>
        <v>0</v>
      </c>
      <c t="str" s="348" r="AH306">
        <f>IF((AK$15=TRUE),IF(ISNUMBER(Profile!Y334),IF(ISNUMBER(Profile!Y335),(((X306+((F$63/2)*COS(RADIANS(Profile!Y335))))+(X306+((F$63/2)*COS(RADIANS(Profile!Y334)))))/2),(X306+((F$63/2)*COS(RADIANS(Profile!Y334))))),AH305),0)</f>
        <v>#VALUE!:notNumber:For input string: "---"</v>
      </c>
      <c t="str" s="348" r="AI306">
        <f>IF((AK$15=TRUE),IF(ISNUMBER(Profile!Y334),IF(ISNUMBER(Profile!Y335),(((Y306-((F$63/2)*SIN(RADIANS(Profile!Y335))))+(Y306-((F$63/2)*SIN(RADIANS(Profile!Y334)))))/2),(Y306-((F$63/2)*SIN(RADIANS(Profile!Y334))))),AI305),0)</f>
        <v>#VALUE!:notNumber:For input string: "---"</v>
      </c>
      <c t="str" s="348" r="AJ306">
        <f>IF((AK$15=TRUE),IF(ISNUMBER(Profile!Y334),IF(ISNUMBER(Profile!Y335),(((X306-((F$63/2)*COS(RADIANS(Profile!Y335))))+(X306-((F$63/2)*COS(RADIANS(Profile!Y334)))))/2),(X306-((F$63/2)*COS(RADIANS(Profile!Y334))))),AJ305),0)</f>
        <v>#VALUE!:notNumber:For input string: "---"</v>
      </c>
      <c t="str" s="799" r="AK306">
        <f>IF((AK$15=TRUE),IF(ISNUMBER(Profile!Y334),IF(ISNUMBER(Profile!Y335),(((Y306+((F$63/2)*SIN(RADIANS(Profile!Y335))))+(Y306+((F$63/2)*SIN(RADIANS(Profile!Y334)))))/2),(Y306+((F$63/2)*SIN(RADIANS(Profile!Y334))))),AK305),0)</f>
        <v>#VALUE!:notNumber:For input string: "---"</v>
      </c>
      <c s="51" r="AL306"/>
      <c s="125" r="AM306"/>
    </row>
    <row r="307">
      <c s="125" r="A307"/>
      <c s="125" r="B307"/>
      <c s="125" r="C307"/>
      <c s="125" r="D307"/>
      <c s="125" r="E307"/>
      <c s="125" r="F307"/>
      <c s="125" r="G307"/>
      <c s="125" r="H307"/>
      <c s="125" r="I307"/>
      <c s="125" r="J307"/>
      <c s="125" r="K307"/>
      <c s="125" r="L307"/>
      <c s="125" r="M307"/>
      <c s="125" r="N307"/>
      <c s="125" r="O307"/>
      <c s="125" r="P307"/>
      <c s="125" r="Q307"/>
      <c s="125" r="R307"/>
      <c s="125" r="S307"/>
      <c s="822" r="T307"/>
      <c t="str" s="309" r="U307">
        <f>IF((Profile!L335&gt;0),Profile!L335,"")</f>
        <v/>
      </c>
      <c t="str" s="861" r="V307">
        <f>IF((Profile!O335&gt;0),Profile!O335,"---")</f>
        <v>---</v>
      </c>
      <c t="str" s="861" r="W307">
        <f>IF((Profile!Y335=0),IF((Profile!Y334=0),"---",IF((Profile!Y336=0),"---",Profile!Y335)),Profile!Y335)</f>
        <v>---</v>
      </c>
      <c s="239" r="X307">
        <f>AB307+X306</f>
        <v>0</v>
      </c>
      <c s="796" r="Y307">
        <f>AC307+Y306</f>
        <v>0</v>
      </c>
      <c s="702" r="Z307"/>
      <c s="289" r="AA307">
        <f>IF(Profile!Y335,IF((Profile!O335=0),0,(Profile!O335-MAX(Profile!O$44:O334))),0)</f>
        <v>0</v>
      </c>
      <c s="605" r="AB307">
        <f>SIN(RADIANS(Profile!Y335))*AA307</f>
        <v>0</v>
      </c>
      <c s="605" r="AC307">
        <f>COS(RADIANS(Profile!Y335))*AA307</f>
        <v>0</v>
      </c>
      <c s="348" r="AD307">
        <f>IF((AJ$15=TRUE),X307,NA())</f>
        <v>0</v>
      </c>
      <c s="348" r="AE307">
        <f>IF((AJ$15=TRUE),Y307,NA())</f>
        <v>0</v>
      </c>
      <c t="str" s="348" r="AF307">
        <f>IF(Profile!L335,Y307,NA())</f>
        <v>#N/A:explicit</v>
      </c>
      <c s="348" r="AG307">
        <f>Profile!T335*E$40</f>
        <v>0</v>
      </c>
      <c t="str" s="348" r="AH307">
        <f>IF((AK$15=TRUE),IF(ISNUMBER(Profile!Y335),IF(ISNUMBER(Profile!Y336),(((X307+((F$63/2)*COS(RADIANS(Profile!Y336))))+(X307+((F$63/2)*COS(RADIANS(Profile!Y335)))))/2),(X307+((F$63/2)*COS(RADIANS(Profile!Y335))))),AH306),0)</f>
        <v>#VALUE!:notNumber:For input string: "---"</v>
      </c>
      <c t="str" s="348" r="AI307">
        <f>IF((AK$15=TRUE),IF(ISNUMBER(Profile!Y335),IF(ISNUMBER(Profile!Y336),(((Y307-((F$63/2)*SIN(RADIANS(Profile!Y336))))+(Y307-((F$63/2)*SIN(RADIANS(Profile!Y335)))))/2),(Y307-((F$63/2)*SIN(RADIANS(Profile!Y335))))),AI306),0)</f>
        <v>#VALUE!:notNumber:For input string: "---"</v>
      </c>
      <c t="str" s="348" r="AJ307">
        <f>IF((AK$15=TRUE),IF(ISNUMBER(Profile!Y335),IF(ISNUMBER(Profile!Y336),(((X307-((F$63/2)*COS(RADIANS(Profile!Y336))))+(X307-((F$63/2)*COS(RADIANS(Profile!Y335)))))/2),(X307-((F$63/2)*COS(RADIANS(Profile!Y335))))),AJ306),0)</f>
        <v>#VALUE!:notNumber:For input string: "---"</v>
      </c>
      <c t="str" s="799" r="AK307">
        <f>IF((AK$15=TRUE),IF(ISNUMBER(Profile!Y335),IF(ISNUMBER(Profile!Y336),(((Y307+((F$63/2)*SIN(RADIANS(Profile!Y336))))+(Y307+((F$63/2)*SIN(RADIANS(Profile!Y335)))))/2),(Y307+((F$63/2)*SIN(RADIANS(Profile!Y335))))),AK306),0)</f>
        <v>#VALUE!:notNumber:For input string: "---"</v>
      </c>
      <c s="51" r="AL307"/>
      <c s="125" r="AM307"/>
    </row>
    <row r="308">
      <c s="125" r="A308"/>
      <c s="125" r="B308"/>
      <c s="125" r="C308"/>
      <c s="125" r="D308"/>
      <c s="125" r="E308"/>
      <c s="125" r="F308"/>
      <c s="125" r="G308"/>
      <c s="125" r="H308"/>
      <c s="125" r="I308"/>
      <c s="125" r="J308"/>
      <c s="125" r="K308"/>
      <c s="125" r="L308"/>
      <c s="125" r="M308"/>
      <c s="125" r="N308"/>
      <c s="125" r="O308"/>
      <c s="125" r="P308"/>
      <c s="125" r="Q308"/>
      <c s="125" r="R308"/>
      <c s="125" r="S308"/>
      <c s="822" r="T308"/>
      <c t="str" s="309" r="U308">
        <f>IF((Profile!L336&gt;0),Profile!L336,"")</f>
        <v/>
      </c>
      <c t="str" s="861" r="V308">
        <f>IF((Profile!O336&gt;0),Profile!O336,"---")</f>
        <v>---</v>
      </c>
      <c t="str" s="861" r="W308">
        <f>IF((Profile!Y336=0),IF((Profile!Y335=0),"---",IF((Profile!Y337=0),"---",Profile!Y336)),Profile!Y336)</f>
        <v>---</v>
      </c>
      <c s="239" r="X308">
        <f>AB308+X307</f>
        <v>0</v>
      </c>
      <c s="796" r="Y308">
        <f>AC308+Y307</f>
        <v>0</v>
      </c>
      <c s="702" r="Z308"/>
      <c s="289" r="AA308">
        <f>IF(Profile!Y336,IF((Profile!O336=0),0,(Profile!O336-MAX(Profile!O$44:O335))),0)</f>
        <v>0</v>
      </c>
      <c s="605" r="AB308">
        <f>SIN(RADIANS(Profile!Y336))*AA308</f>
        <v>0</v>
      </c>
      <c s="605" r="AC308">
        <f>COS(RADIANS(Profile!Y336))*AA308</f>
        <v>0</v>
      </c>
      <c s="348" r="AD308">
        <f>IF((AJ$15=TRUE),X308,NA())</f>
        <v>0</v>
      </c>
      <c s="348" r="AE308">
        <f>IF((AJ$15=TRUE),Y308,NA())</f>
        <v>0</v>
      </c>
      <c t="str" s="348" r="AF308">
        <f>IF(Profile!L336,Y308,NA())</f>
        <v>#N/A:explicit</v>
      </c>
      <c s="348" r="AG308">
        <f>Profile!T336*E$40</f>
        <v>0</v>
      </c>
      <c t="str" s="348" r="AH308">
        <f>IF((AK$15=TRUE),IF(ISNUMBER(Profile!Y336),IF(ISNUMBER(Profile!Y337),(((X308+((F$63/2)*COS(RADIANS(Profile!Y337))))+(X308+((F$63/2)*COS(RADIANS(Profile!Y336)))))/2),(X308+((F$63/2)*COS(RADIANS(Profile!Y336))))),AH307),0)</f>
        <v>#VALUE!:notNumber:For input string: "---"</v>
      </c>
      <c t="str" s="348" r="AI308">
        <f>IF((AK$15=TRUE),IF(ISNUMBER(Profile!Y336),IF(ISNUMBER(Profile!Y337),(((Y308-((F$63/2)*SIN(RADIANS(Profile!Y337))))+(Y308-((F$63/2)*SIN(RADIANS(Profile!Y336)))))/2),(Y308-((F$63/2)*SIN(RADIANS(Profile!Y336))))),AI307),0)</f>
        <v>#VALUE!:notNumber:For input string: "---"</v>
      </c>
      <c t="str" s="348" r="AJ308">
        <f>IF((AK$15=TRUE),IF(ISNUMBER(Profile!Y336),IF(ISNUMBER(Profile!Y337),(((X308-((F$63/2)*COS(RADIANS(Profile!Y337))))+(X308-((F$63/2)*COS(RADIANS(Profile!Y336)))))/2),(X308-((F$63/2)*COS(RADIANS(Profile!Y336))))),AJ307),0)</f>
        <v>#VALUE!:notNumber:For input string: "---"</v>
      </c>
      <c t="str" s="799" r="AK308">
        <f>IF((AK$15=TRUE),IF(ISNUMBER(Profile!Y336),IF(ISNUMBER(Profile!Y337),(((Y308+((F$63/2)*SIN(RADIANS(Profile!Y337))))+(Y308+((F$63/2)*SIN(RADIANS(Profile!Y336)))))/2),(Y308+((F$63/2)*SIN(RADIANS(Profile!Y336))))),AK307),0)</f>
        <v>#VALUE!:notNumber:For input string: "---"</v>
      </c>
      <c s="51" r="AL308"/>
      <c s="125" r="AM308"/>
    </row>
    <row r="309">
      <c s="125" r="A309"/>
      <c s="125" r="B309"/>
      <c s="125" r="C309"/>
      <c s="125" r="D309"/>
      <c s="125" r="E309"/>
      <c s="125" r="F309"/>
      <c s="125" r="G309"/>
      <c s="125" r="H309"/>
      <c s="125" r="I309"/>
      <c s="125" r="J309"/>
      <c s="125" r="K309"/>
      <c s="125" r="L309"/>
      <c s="125" r="M309"/>
      <c s="125" r="N309"/>
      <c s="125" r="O309"/>
      <c s="125" r="P309"/>
      <c s="125" r="Q309"/>
      <c s="125" r="R309"/>
      <c s="125" r="S309"/>
      <c s="822" r="T309"/>
      <c t="str" s="309" r="U309">
        <f>IF((Profile!L337&gt;0),Profile!L337,"")</f>
        <v/>
      </c>
      <c t="str" s="861" r="V309">
        <f>IF((Profile!O337&gt;0),Profile!O337,"---")</f>
        <v>---</v>
      </c>
      <c t="str" s="861" r="W309">
        <f>IF((Profile!Y337=0),IF((Profile!Y336=0),"---",IF((Profile!Y338=0),"---",Profile!Y337)),Profile!Y337)</f>
        <v>---</v>
      </c>
      <c s="239" r="X309">
        <f>AB309+X308</f>
        <v>0</v>
      </c>
      <c s="796" r="Y309">
        <f>AC309+Y308</f>
        <v>0</v>
      </c>
      <c s="702" r="Z309"/>
      <c s="289" r="AA309">
        <f>IF(Profile!Y337,IF((Profile!O337=0),0,(Profile!O337-MAX(Profile!O$44:O336))),0)</f>
        <v>0</v>
      </c>
      <c s="605" r="AB309">
        <f>SIN(RADIANS(Profile!Y337))*AA309</f>
        <v>0</v>
      </c>
      <c s="605" r="AC309">
        <f>COS(RADIANS(Profile!Y337))*AA309</f>
        <v>0</v>
      </c>
      <c s="348" r="AD309">
        <f>IF((AJ$15=TRUE),X309,NA())</f>
        <v>0</v>
      </c>
      <c s="348" r="AE309">
        <f>IF((AJ$15=TRUE),Y309,NA())</f>
        <v>0</v>
      </c>
      <c t="str" s="348" r="AF309">
        <f>IF(Profile!L337,Y309,NA())</f>
        <v>#N/A:explicit</v>
      </c>
      <c s="348" r="AG309">
        <f>Profile!T337*E$40</f>
        <v>0</v>
      </c>
      <c t="str" s="348" r="AH309">
        <f>IF((AK$15=TRUE),IF(ISNUMBER(Profile!Y337),IF(ISNUMBER(Profile!Y338),(((X309+((F$63/2)*COS(RADIANS(Profile!Y338))))+(X309+((F$63/2)*COS(RADIANS(Profile!Y337)))))/2),(X309+((F$63/2)*COS(RADIANS(Profile!Y337))))),AH308),0)</f>
        <v>#VALUE!:notNumber:For input string: "---"</v>
      </c>
      <c t="str" s="348" r="AI309">
        <f>IF((AK$15=TRUE),IF(ISNUMBER(Profile!Y337),IF(ISNUMBER(Profile!Y338),(((Y309-((F$63/2)*SIN(RADIANS(Profile!Y338))))+(Y309-((F$63/2)*SIN(RADIANS(Profile!Y337)))))/2),(Y309-((F$63/2)*SIN(RADIANS(Profile!Y337))))),AI308),0)</f>
        <v>#VALUE!:notNumber:For input string: "---"</v>
      </c>
      <c t="str" s="348" r="AJ309">
        <f>IF((AK$15=TRUE),IF(ISNUMBER(Profile!Y337),IF(ISNUMBER(Profile!Y338),(((X309-((F$63/2)*COS(RADIANS(Profile!Y338))))+(X309-((F$63/2)*COS(RADIANS(Profile!Y337)))))/2),(X309-((F$63/2)*COS(RADIANS(Profile!Y337))))),AJ308),0)</f>
        <v>#VALUE!:notNumber:For input string: "---"</v>
      </c>
      <c t="str" s="799" r="AK309">
        <f>IF((AK$15=TRUE),IF(ISNUMBER(Profile!Y337),IF(ISNUMBER(Profile!Y338),(((Y309+((F$63/2)*SIN(RADIANS(Profile!Y338))))+(Y309+((F$63/2)*SIN(RADIANS(Profile!Y337)))))/2),(Y309+((F$63/2)*SIN(RADIANS(Profile!Y337))))),AK308),0)</f>
        <v>#VALUE!:notNumber:For input string: "---"</v>
      </c>
      <c s="51" r="AL309"/>
      <c s="125" r="AM309"/>
    </row>
    <row r="310">
      <c s="125" r="A310"/>
      <c s="125" r="B310"/>
      <c s="125" r="C310"/>
      <c s="125" r="D310"/>
      <c s="125" r="E310"/>
      <c s="125" r="F310"/>
      <c s="125" r="G310"/>
      <c s="125" r="H310"/>
      <c s="125" r="I310"/>
      <c s="125" r="J310"/>
      <c s="125" r="K310"/>
      <c s="125" r="L310"/>
      <c s="125" r="M310"/>
      <c s="125" r="N310"/>
      <c s="125" r="O310"/>
      <c s="125" r="P310"/>
      <c s="125" r="Q310"/>
      <c s="125" r="R310"/>
      <c s="125" r="S310"/>
      <c s="822" r="T310"/>
      <c t="str" s="309" r="U310">
        <f>IF((Profile!L338&gt;0),Profile!L338,"")</f>
        <v/>
      </c>
      <c t="str" s="861" r="V310">
        <f>IF((Profile!O338&gt;0),Profile!O338,"---")</f>
        <v>---</v>
      </c>
      <c t="str" s="861" r="W310">
        <f>IF((Profile!Y338=0),IF((Profile!Y337=0),"---",IF((Profile!Y339=0),"---",Profile!Y338)),Profile!Y338)</f>
        <v>---</v>
      </c>
      <c s="239" r="X310">
        <f>AB310+X309</f>
        <v>0</v>
      </c>
      <c s="796" r="Y310">
        <f>AC310+Y309</f>
        <v>0</v>
      </c>
      <c s="702" r="Z310"/>
      <c s="289" r="AA310">
        <f>IF(Profile!Y338,IF((Profile!O338=0),0,(Profile!O338-MAX(Profile!O$44:O337))),0)</f>
        <v>0</v>
      </c>
      <c s="605" r="AB310">
        <f>SIN(RADIANS(Profile!Y338))*AA310</f>
        <v>0</v>
      </c>
      <c s="605" r="AC310">
        <f>COS(RADIANS(Profile!Y338))*AA310</f>
        <v>0</v>
      </c>
      <c s="348" r="AD310">
        <f>IF((AJ$15=TRUE),X310,NA())</f>
        <v>0</v>
      </c>
      <c s="348" r="AE310">
        <f>IF((AJ$15=TRUE),Y310,NA())</f>
        <v>0</v>
      </c>
      <c t="str" s="348" r="AF310">
        <f>IF(Profile!L338,Y310,NA())</f>
        <v>#N/A:explicit</v>
      </c>
      <c s="348" r="AG310">
        <f>Profile!T338*E$40</f>
        <v>0</v>
      </c>
      <c t="str" s="348" r="AH310">
        <f>IF((AK$15=TRUE),IF(ISNUMBER(Profile!Y338),IF(ISNUMBER(Profile!Y339),(((X310+((F$63/2)*COS(RADIANS(Profile!Y339))))+(X310+((F$63/2)*COS(RADIANS(Profile!Y338)))))/2),(X310+((F$63/2)*COS(RADIANS(Profile!Y338))))),AH309),0)</f>
        <v>#VALUE!:notNumber:For input string: "---"</v>
      </c>
      <c t="str" s="348" r="AI310">
        <f>IF((AK$15=TRUE),IF(ISNUMBER(Profile!Y338),IF(ISNUMBER(Profile!Y339),(((Y310-((F$63/2)*SIN(RADIANS(Profile!Y339))))+(Y310-((F$63/2)*SIN(RADIANS(Profile!Y338)))))/2),(Y310-((F$63/2)*SIN(RADIANS(Profile!Y338))))),AI309),0)</f>
        <v>#VALUE!:notNumber:For input string: "---"</v>
      </c>
      <c t="str" s="348" r="AJ310">
        <f>IF((AK$15=TRUE),IF(ISNUMBER(Profile!Y338),IF(ISNUMBER(Profile!Y339),(((X310-((F$63/2)*COS(RADIANS(Profile!Y339))))+(X310-((F$63/2)*COS(RADIANS(Profile!Y338)))))/2),(X310-((F$63/2)*COS(RADIANS(Profile!Y338))))),AJ309),0)</f>
        <v>#VALUE!:notNumber:For input string: "---"</v>
      </c>
      <c t="str" s="799" r="AK310">
        <f>IF((AK$15=TRUE),IF(ISNUMBER(Profile!Y338),IF(ISNUMBER(Profile!Y339),(((Y310+((F$63/2)*SIN(RADIANS(Profile!Y339))))+(Y310+((F$63/2)*SIN(RADIANS(Profile!Y338)))))/2),(Y310+((F$63/2)*SIN(RADIANS(Profile!Y338))))),AK309),0)</f>
        <v>#VALUE!:notNumber:For input string: "---"</v>
      </c>
      <c s="51" r="AL310"/>
      <c s="125" r="AM310"/>
    </row>
    <row r="311">
      <c s="125" r="A311"/>
      <c s="125" r="B311"/>
      <c s="125" r="C311"/>
      <c s="125" r="D311"/>
      <c s="125" r="E311"/>
      <c s="125" r="F311"/>
      <c s="125" r="G311"/>
      <c s="125" r="H311"/>
      <c s="125" r="I311"/>
      <c s="125" r="J311"/>
      <c s="125" r="K311"/>
      <c s="125" r="L311"/>
      <c s="125" r="M311"/>
      <c s="125" r="N311"/>
      <c s="125" r="O311"/>
      <c s="125" r="P311"/>
      <c s="125" r="Q311"/>
      <c s="125" r="R311"/>
      <c s="125" r="S311"/>
      <c s="822" r="T311"/>
      <c t="str" s="309" r="U311">
        <f>IF((Profile!L339&gt;0),Profile!L339,"")</f>
        <v/>
      </c>
      <c t="str" s="861" r="V311">
        <f>IF((Profile!O339&gt;0),Profile!O339,"---")</f>
        <v>---</v>
      </c>
      <c t="str" s="861" r="W311">
        <f>IF((Profile!Y339=0),IF((Profile!Y338=0),"---",IF((Profile!Y340=0),"---",Profile!Y339)),Profile!Y339)</f>
        <v>---</v>
      </c>
      <c s="239" r="X311">
        <f>AB311+X310</f>
        <v>0</v>
      </c>
      <c s="796" r="Y311">
        <f>AC311+Y310</f>
        <v>0</v>
      </c>
      <c s="702" r="Z311"/>
      <c s="289" r="AA311">
        <f>IF(Profile!Y339,IF((Profile!O339=0),0,(Profile!O339-MAX(Profile!O$44:O338))),0)</f>
        <v>0</v>
      </c>
      <c s="605" r="AB311">
        <f>SIN(RADIANS(Profile!Y339))*AA311</f>
        <v>0</v>
      </c>
      <c s="605" r="AC311">
        <f>COS(RADIANS(Profile!Y339))*AA311</f>
        <v>0</v>
      </c>
      <c s="348" r="AD311">
        <f>IF((AJ$15=TRUE),X311,NA())</f>
        <v>0</v>
      </c>
      <c s="348" r="AE311">
        <f>IF((AJ$15=TRUE),Y311,NA())</f>
        <v>0</v>
      </c>
      <c t="str" s="348" r="AF311">
        <f>IF(Profile!L339,Y311,NA())</f>
        <v>#N/A:explicit</v>
      </c>
      <c s="348" r="AG311">
        <f>Profile!T339*E$40</f>
        <v>0</v>
      </c>
      <c t="str" s="348" r="AH311">
        <f>IF((AK$15=TRUE),IF(ISNUMBER(Profile!Y339),IF(ISNUMBER(Profile!Y340),(((X311+((F$63/2)*COS(RADIANS(Profile!Y340))))+(X311+((F$63/2)*COS(RADIANS(Profile!Y339)))))/2),(X311+((F$63/2)*COS(RADIANS(Profile!Y339))))),AH310),0)</f>
        <v>#VALUE!:notNumber:For input string: "---"</v>
      </c>
      <c t="str" s="348" r="AI311">
        <f>IF((AK$15=TRUE),IF(ISNUMBER(Profile!Y339),IF(ISNUMBER(Profile!Y340),(((Y311-((F$63/2)*SIN(RADIANS(Profile!Y340))))+(Y311-((F$63/2)*SIN(RADIANS(Profile!Y339)))))/2),(Y311-((F$63/2)*SIN(RADIANS(Profile!Y339))))),AI310),0)</f>
        <v>#VALUE!:notNumber:For input string: "---"</v>
      </c>
      <c t="str" s="348" r="AJ311">
        <f>IF((AK$15=TRUE),IF(ISNUMBER(Profile!Y339),IF(ISNUMBER(Profile!Y340),(((X311-((F$63/2)*COS(RADIANS(Profile!Y340))))+(X311-((F$63/2)*COS(RADIANS(Profile!Y339)))))/2),(X311-((F$63/2)*COS(RADIANS(Profile!Y339))))),AJ310),0)</f>
        <v>#VALUE!:notNumber:For input string: "---"</v>
      </c>
      <c t="str" s="799" r="AK311">
        <f>IF((AK$15=TRUE),IF(ISNUMBER(Profile!Y339),IF(ISNUMBER(Profile!Y340),(((Y311+((F$63/2)*SIN(RADIANS(Profile!Y340))))+(Y311+((F$63/2)*SIN(RADIANS(Profile!Y339)))))/2),(Y311+((F$63/2)*SIN(RADIANS(Profile!Y339))))),AK310),0)</f>
        <v>#VALUE!:notNumber:For input string: "---"</v>
      </c>
      <c s="51" r="AL311"/>
      <c s="125" r="AM311"/>
    </row>
    <row r="312">
      <c s="125" r="A312"/>
      <c s="125" r="B312"/>
      <c s="125" r="C312"/>
      <c s="125" r="D312"/>
      <c s="125" r="E312"/>
      <c s="125" r="F312"/>
      <c s="125" r="G312"/>
      <c s="125" r="H312"/>
      <c s="125" r="I312"/>
      <c s="125" r="J312"/>
      <c s="125" r="K312"/>
      <c s="125" r="L312"/>
      <c s="125" r="M312"/>
      <c s="125" r="N312"/>
      <c s="125" r="O312"/>
      <c s="125" r="P312"/>
      <c s="125" r="Q312"/>
      <c s="125" r="R312"/>
      <c s="125" r="S312"/>
      <c s="822" r="T312"/>
      <c t="str" s="309" r="U312">
        <f>IF((Profile!L340&gt;0),Profile!L340,"")</f>
        <v/>
      </c>
      <c t="str" s="861" r="V312">
        <f>IF((Profile!O340&gt;0),Profile!O340,"---")</f>
        <v>---</v>
      </c>
      <c t="str" s="861" r="W312">
        <f>IF((Profile!Y340=0),IF((Profile!Y339=0),"---",IF((Profile!Y341=0),"---",Profile!Y340)),Profile!Y340)</f>
        <v>---</v>
      </c>
      <c s="239" r="X312">
        <f>AB312+X311</f>
        <v>0</v>
      </c>
      <c s="796" r="Y312">
        <f>AC312+Y311</f>
        <v>0</v>
      </c>
      <c s="702" r="Z312"/>
      <c s="289" r="AA312">
        <f>IF(Profile!Y340,IF((Profile!O340=0),0,(Profile!O340-MAX(Profile!O$44:O339))),0)</f>
        <v>0</v>
      </c>
      <c s="605" r="AB312">
        <f>SIN(RADIANS(Profile!Y340))*AA312</f>
        <v>0</v>
      </c>
      <c s="605" r="AC312">
        <f>COS(RADIANS(Profile!Y340))*AA312</f>
        <v>0</v>
      </c>
      <c s="348" r="AD312">
        <f>IF((AJ$15=TRUE),X312,NA())</f>
        <v>0</v>
      </c>
      <c s="348" r="AE312">
        <f>IF((AJ$15=TRUE),Y312,NA())</f>
        <v>0</v>
      </c>
      <c t="str" s="348" r="AF312">
        <f>IF(Profile!L340,Y312,NA())</f>
        <v>#N/A:explicit</v>
      </c>
      <c s="348" r="AG312">
        <f>Profile!T340*E$40</f>
        <v>0</v>
      </c>
      <c t="str" s="348" r="AH312">
        <f>IF((AK$15=TRUE),IF(ISNUMBER(Profile!Y340),IF(ISNUMBER(Profile!Y341),(((X312+((F$63/2)*COS(RADIANS(Profile!Y341))))+(X312+((F$63/2)*COS(RADIANS(Profile!Y340)))))/2),(X312+((F$63/2)*COS(RADIANS(Profile!Y340))))),AH311),0)</f>
        <v>#VALUE!:notNumber:For input string: "---"</v>
      </c>
      <c t="str" s="348" r="AI312">
        <f>IF((AK$15=TRUE),IF(ISNUMBER(Profile!Y340),IF(ISNUMBER(Profile!Y341),(((Y312-((F$63/2)*SIN(RADIANS(Profile!Y341))))+(Y312-((F$63/2)*SIN(RADIANS(Profile!Y340)))))/2),(Y312-((F$63/2)*SIN(RADIANS(Profile!Y340))))),AI311),0)</f>
        <v>#VALUE!:notNumber:For input string: "---"</v>
      </c>
      <c t="str" s="348" r="AJ312">
        <f>IF((AK$15=TRUE),IF(ISNUMBER(Profile!Y340),IF(ISNUMBER(Profile!Y341),(((X312-((F$63/2)*COS(RADIANS(Profile!Y341))))+(X312-((F$63/2)*COS(RADIANS(Profile!Y340)))))/2),(X312-((F$63/2)*COS(RADIANS(Profile!Y340))))),AJ311),0)</f>
        <v>#VALUE!:notNumber:For input string: "---"</v>
      </c>
      <c t="str" s="799" r="AK312">
        <f>IF((AK$15=TRUE),IF(ISNUMBER(Profile!Y340),IF(ISNUMBER(Profile!Y341),(((Y312+((F$63/2)*SIN(RADIANS(Profile!Y341))))+(Y312+((F$63/2)*SIN(RADIANS(Profile!Y340)))))/2),(Y312+((F$63/2)*SIN(RADIANS(Profile!Y340))))),AK311),0)</f>
        <v>#VALUE!:notNumber:For input string: "---"</v>
      </c>
      <c s="51" r="AL312"/>
      <c s="125" r="AM312"/>
    </row>
    <row r="313">
      <c s="125" r="A313"/>
      <c s="125" r="B313"/>
      <c s="125" r="C313"/>
      <c s="125" r="D313"/>
      <c s="125" r="E313"/>
      <c s="125" r="F313"/>
      <c s="125" r="G313"/>
      <c s="125" r="H313"/>
      <c s="125" r="I313"/>
      <c s="125" r="J313"/>
      <c s="125" r="K313"/>
      <c s="125" r="L313"/>
      <c s="125" r="M313"/>
      <c s="125" r="N313"/>
      <c s="125" r="O313"/>
      <c s="125" r="P313"/>
      <c s="125" r="Q313"/>
      <c s="125" r="R313"/>
      <c s="125" r="S313"/>
      <c s="822" r="T313"/>
      <c t="str" s="309" r="U313">
        <f>IF((Profile!L341&gt;0),Profile!L341,"")</f>
        <v/>
      </c>
      <c t="str" s="861" r="V313">
        <f>IF((Profile!O341&gt;0),Profile!O341,"---")</f>
        <v>---</v>
      </c>
      <c t="str" s="861" r="W313">
        <f>IF((Profile!Y341=0),IF((Profile!Y340=0),"---",IF((Profile!Y342=0),"---",Profile!Y341)),Profile!Y341)</f>
        <v>---</v>
      </c>
      <c s="239" r="X313">
        <f>AB313+X312</f>
        <v>0</v>
      </c>
      <c s="796" r="Y313">
        <f>AC313+Y312</f>
        <v>0</v>
      </c>
      <c s="702" r="Z313"/>
      <c s="289" r="AA313">
        <f>IF(Profile!Y341,IF((Profile!O341=0),0,(Profile!O341-MAX(Profile!O$44:O340))),0)</f>
        <v>0</v>
      </c>
      <c s="605" r="AB313">
        <f>SIN(RADIANS(Profile!Y341))*AA313</f>
        <v>0</v>
      </c>
      <c s="605" r="AC313">
        <f>COS(RADIANS(Profile!Y341))*AA313</f>
        <v>0</v>
      </c>
      <c s="348" r="AD313">
        <f>IF((AJ$15=TRUE),X313,NA())</f>
        <v>0</v>
      </c>
      <c s="348" r="AE313">
        <f>IF((AJ$15=TRUE),Y313,NA())</f>
        <v>0</v>
      </c>
      <c t="str" s="348" r="AF313">
        <f>IF(Profile!L341,Y313,NA())</f>
        <v>#N/A:explicit</v>
      </c>
      <c s="348" r="AG313">
        <f>Profile!T341*E$40</f>
        <v>0</v>
      </c>
      <c t="str" s="348" r="AH313">
        <f>IF((AK$15=TRUE),IF(ISNUMBER(Profile!Y341),IF(ISNUMBER(Profile!Y342),(((X313+((F$63/2)*COS(RADIANS(Profile!Y342))))+(X313+((F$63/2)*COS(RADIANS(Profile!Y341)))))/2),(X313+((F$63/2)*COS(RADIANS(Profile!Y341))))),AH312),0)</f>
        <v>#VALUE!:notNumber:For input string: "---"</v>
      </c>
      <c t="str" s="348" r="AI313">
        <f>IF((AK$15=TRUE),IF(ISNUMBER(Profile!Y341),IF(ISNUMBER(Profile!Y342),(((Y313-((F$63/2)*SIN(RADIANS(Profile!Y342))))+(Y313-((F$63/2)*SIN(RADIANS(Profile!Y341)))))/2),(Y313-((F$63/2)*SIN(RADIANS(Profile!Y341))))),AI312),0)</f>
        <v>#VALUE!:notNumber:For input string: "---"</v>
      </c>
      <c t="str" s="348" r="AJ313">
        <f>IF((AK$15=TRUE),IF(ISNUMBER(Profile!Y341),IF(ISNUMBER(Profile!Y342),(((X313-((F$63/2)*COS(RADIANS(Profile!Y342))))+(X313-((F$63/2)*COS(RADIANS(Profile!Y341)))))/2),(X313-((F$63/2)*COS(RADIANS(Profile!Y341))))),AJ312),0)</f>
        <v>#VALUE!:notNumber:For input string: "---"</v>
      </c>
      <c t="str" s="799" r="AK313">
        <f>IF((AK$15=TRUE),IF(ISNUMBER(Profile!Y341),IF(ISNUMBER(Profile!Y342),(((Y313+((F$63/2)*SIN(RADIANS(Profile!Y342))))+(Y313+((F$63/2)*SIN(RADIANS(Profile!Y341)))))/2),(Y313+((F$63/2)*SIN(RADIANS(Profile!Y341))))),AK312),0)</f>
        <v>#VALUE!:notNumber:For input string: "---"</v>
      </c>
      <c s="51" r="AL313"/>
      <c s="125" r="AM313"/>
    </row>
    <row r="314">
      <c s="125" r="A314"/>
      <c s="125" r="B314"/>
      <c s="125" r="C314"/>
      <c s="125" r="D314"/>
      <c s="125" r="E314"/>
      <c s="125" r="F314"/>
      <c s="125" r="G314"/>
      <c s="125" r="H314"/>
      <c s="125" r="I314"/>
      <c s="125" r="J314"/>
      <c s="125" r="K314"/>
      <c s="125" r="L314"/>
      <c s="125" r="M314"/>
      <c s="125" r="N314"/>
      <c s="125" r="O314"/>
      <c s="125" r="P314"/>
      <c s="125" r="Q314"/>
      <c s="125" r="R314"/>
      <c s="125" r="S314"/>
      <c s="822" r="T314"/>
      <c t="str" s="309" r="U314">
        <f>IF((Profile!L342&gt;0),Profile!L342,"")</f>
        <v/>
      </c>
      <c t="str" s="861" r="V314">
        <f>IF((Profile!O342&gt;0),Profile!O342,"---")</f>
        <v>---</v>
      </c>
      <c t="str" s="861" r="W314">
        <f>IF((Profile!Y342=0),IF((Profile!Y341=0),"---",IF((Profile!Y343=0),"---",Profile!Y342)),Profile!Y342)</f>
        <v>---</v>
      </c>
      <c s="239" r="X314">
        <f>AB314+X313</f>
        <v>0</v>
      </c>
      <c s="796" r="Y314">
        <f>AC314+Y313</f>
        <v>0</v>
      </c>
      <c s="702" r="Z314"/>
      <c s="289" r="AA314">
        <f>IF(Profile!Y342,IF((Profile!O342=0),0,(Profile!O342-MAX(Profile!O$44:O341))),0)</f>
        <v>0</v>
      </c>
      <c s="605" r="AB314">
        <f>SIN(RADIANS(Profile!Y342))*AA314</f>
        <v>0</v>
      </c>
      <c s="605" r="AC314">
        <f>COS(RADIANS(Profile!Y342))*AA314</f>
        <v>0</v>
      </c>
      <c s="348" r="AD314">
        <f>IF((AJ$15=TRUE),X314,NA())</f>
        <v>0</v>
      </c>
      <c s="348" r="AE314">
        <f>IF((AJ$15=TRUE),Y314,NA())</f>
        <v>0</v>
      </c>
      <c t="str" s="348" r="AF314">
        <f>IF(Profile!L342,Y314,NA())</f>
        <v>#N/A:explicit</v>
      </c>
      <c s="348" r="AG314">
        <f>Profile!T342*E$40</f>
        <v>0</v>
      </c>
      <c t="str" s="348" r="AH314">
        <f>IF((AK$15=TRUE),IF(ISNUMBER(Profile!Y342),IF(ISNUMBER(Profile!Y343),(((X314+((F$63/2)*COS(RADIANS(Profile!Y343))))+(X314+((F$63/2)*COS(RADIANS(Profile!Y342)))))/2),(X314+((F$63/2)*COS(RADIANS(Profile!Y342))))),AH313),0)</f>
        <v>#VALUE!:notNumber:For input string: "---"</v>
      </c>
      <c t="str" s="348" r="AI314">
        <f>IF((AK$15=TRUE),IF(ISNUMBER(Profile!Y342),IF(ISNUMBER(Profile!Y343),(((Y314-((F$63/2)*SIN(RADIANS(Profile!Y343))))+(Y314-((F$63/2)*SIN(RADIANS(Profile!Y342)))))/2),(Y314-((F$63/2)*SIN(RADIANS(Profile!Y342))))),AI313),0)</f>
        <v>#VALUE!:notNumber:For input string: "---"</v>
      </c>
      <c t="str" s="348" r="AJ314">
        <f>IF((AK$15=TRUE),IF(ISNUMBER(Profile!Y342),IF(ISNUMBER(Profile!Y343),(((X314-((F$63/2)*COS(RADIANS(Profile!Y343))))+(X314-((F$63/2)*COS(RADIANS(Profile!Y342)))))/2),(X314-((F$63/2)*COS(RADIANS(Profile!Y342))))),AJ313),0)</f>
        <v>#VALUE!:notNumber:For input string: "---"</v>
      </c>
      <c t="str" s="799" r="AK314">
        <f>IF((AK$15=TRUE),IF(ISNUMBER(Profile!Y342),IF(ISNUMBER(Profile!Y343),(((Y314+((F$63/2)*SIN(RADIANS(Profile!Y343))))+(Y314+((F$63/2)*SIN(RADIANS(Profile!Y342)))))/2),(Y314+((F$63/2)*SIN(RADIANS(Profile!Y342))))),AK313),0)</f>
        <v>#VALUE!:notNumber:For input string: "---"</v>
      </c>
      <c s="51" r="AL314"/>
      <c s="125" r="AM314"/>
    </row>
    <row r="315">
      <c s="125" r="A315"/>
      <c s="125" r="B315"/>
      <c s="125" r="C315"/>
      <c s="125" r="D315"/>
      <c s="125" r="E315"/>
      <c s="125" r="F315"/>
      <c s="125" r="G315"/>
      <c s="125" r="H315"/>
      <c s="125" r="I315"/>
      <c s="125" r="J315"/>
      <c s="125" r="K315"/>
      <c s="125" r="L315"/>
      <c s="125" r="M315"/>
      <c s="125" r="N315"/>
      <c s="125" r="O315"/>
      <c s="125" r="P315"/>
      <c s="125" r="Q315"/>
      <c s="125" r="R315"/>
      <c s="125" r="S315"/>
      <c s="822" r="T315"/>
      <c t="str" s="309" r="U315">
        <f>IF((Profile!L343&gt;0),Profile!L343,"")</f>
        <v/>
      </c>
      <c t="str" s="861" r="V315">
        <f>IF((Profile!O343&gt;0),Profile!O343,"---")</f>
        <v>---</v>
      </c>
      <c t="str" s="861" r="W315">
        <f>IF((Profile!Y343=0),IF((Profile!Y342=0),"---",IF((Profile!Y344=0),"---",Profile!Y343)),Profile!Y343)</f>
        <v>---</v>
      </c>
      <c s="239" r="X315">
        <f>AB315+X314</f>
        <v>0</v>
      </c>
      <c s="796" r="Y315">
        <f>AC315+Y314</f>
        <v>0</v>
      </c>
      <c s="702" r="Z315"/>
      <c s="289" r="AA315">
        <f>IF(Profile!Y343,IF((Profile!O343=0),0,(Profile!O343-MAX(Profile!O$44:O342))),0)</f>
        <v>0</v>
      </c>
      <c s="605" r="AB315">
        <f>SIN(RADIANS(Profile!Y343))*AA315</f>
        <v>0</v>
      </c>
      <c s="605" r="AC315">
        <f>COS(RADIANS(Profile!Y343))*AA315</f>
        <v>0</v>
      </c>
      <c s="348" r="AD315">
        <f>IF((AJ$15=TRUE),X315,NA())</f>
        <v>0</v>
      </c>
      <c s="348" r="AE315">
        <f>IF((AJ$15=TRUE),Y315,NA())</f>
        <v>0</v>
      </c>
      <c t="str" s="348" r="AF315">
        <f>IF(Profile!L343,Y315,NA())</f>
        <v>#N/A:explicit</v>
      </c>
      <c s="348" r="AG315">
        <f>Profile!T343*E$40</f>
        <v>0</v>
      </c>
      <c t="str" s="348" r="AH315">
        <f>IF((AK$15=TRUE),IF(ISNUMBER(Profile!Y343),IF(ISNUMBER(Profile!Y344),(((X315+((F$63/2)*COS(RADIANS(Profile!Y344))))+(X315+((F$63/2)*COS(RADIANS(Profile!Y343)))))/2),(X315+((F$63/2)*COS(RADIANS(Profile!Y343))))),AH314),0)</f>
        <v>#VALUE!:notNumber:For input string: "---"</v>
      </c>
      <c t="str" s="348" r="AI315">
        <f>IF((AK$15=TRUE),IF(ISNUMBER(Profile!Y343),IF(ISNUMBER(Profile!Y344),(((Y315-((F$63/2)*SIN(RADIANS(Profile!Y344))))+(Y315-((F$63/2)*SIN(RADIANS(Profile!Y343)))))/2),(Y315-((F$63/2)*SIN(RADIANS(Profile!Y343))))),AI314),0)</f>
        <v>#VALUE!:notNumber:For input string: "---"</v>
      </c>
      <c t="str" s="348" r="AJ315">
        <f>IF((AK$15=TRUE),IF(ISNUMBER(Profile!Y343),IF(ISNUMBER(Profile!Y344),(((X315-((F$63/2)*COS(RADIANS(Profile!Y344))))+(X315-((F$63/2)*COS(RADIANS(Profile!Y343)))))/2),(X315-((F$63/2)*COS(RADIANS(Profile!Y343))))),AJ314),0)</f>
        <v>#VALUE!:notNumber:For input string: "---"</v>
      </c>
      <c t="str" s="799" r="AK315">
        <f>IF((AK$15=TRUE),IF(ISNUMBER(Profile!Y343),IF(ISNUMBER(Profile!Y344),(((Y315+((F$63/2)*SIN(RADIANS(Profile!Y344))))+(Y315+((F$63/2)*SIN(RADIANS(Profile!Y343)))))/2),(Y315+((F$63/2)*SIN(RADIANS(Profile!Y343))))),AK314),0)</f>
        <v>#VALUE!:notNumber:For input string: "---"</v>
      </c>
      <c s="51" r="AL315"/>
      <c s="125" r="AM315"/>
    </row>
    <row r="316">
      <c s="125" r="A316"/>
      <c s="125" r="B316"/>
      <c s="125" r="C316"/>
      <c s="125" r="D316"/>
      <c s="125" r="E316"/>
      <c s="125" r="F316"/>
      <c s="125" r="G316"/>
      <c s="125" r="H316"/>
      <c s="125" r="I316"/>
      <c s="125" r="J316"/>
      <c s="125" r="K316"/>
      <c s="125" r="L316"/>
      <c s="125" r="M316"/>
      <c s="125" r="N316"/>
      <c s="125" r="O316"/>
      <c s="125" r="P316"/>
      <c s="125" r="Q316"/>
      <c s="125" r="R316"/>
      <c s="125" r="S316"/>
      <c s="822" r="T316"/>
      <c t="str" s="309" r="U316">
        <f>IF((Profile!L344&gt;0),Profile!L344,"")</f>
        <v/>
      </c>
      <c t="str" s="861" r="V316">
        <f>IF((Profile!O344&gt;0),Profile!O344,"---")</f>
        <v>---</v>
      </c>
      <c t="str" s="861" r="W316">
        <f>IF((Profile!Y344=0),IF((Profile!Y343=0),"---",IF((Profile!Y345=0),"---",Profile!Y344)),Profile!Y344)</f>
        <v>---</v>
      </c>
      <c s="239" r="X316">
        <f>AB316+X315</f>
        <v>0</v>
      </c>
      <c s="796" r="Y316">
        <f>AC316+Y315</f>
        <v>0</v>
      </c>
      <c s="702" r="Z316"/>
      <c s="289" r="AA316">
        <f>IF(Profile!Y344,IF((Profile!O344=0),0,(Profile!O344-MAX(Profile!O$44:O343))),0)</f>
        <v>0</v>
      </c>
      <c s="605" r="AB316">
        <f>SIN(RADIANS(Profile!Y344))*AA316</f>
        <v>0</v>
      </c>
      <c s="605" r="AC316">
        <f>COS(RADIANS(Profile!Y344))*AA316</f>
        <v>0</v>
      </c>
      <c s="348" r="AD316">
        <f>IF((AJ$15=TRUE),X316,NA())</f>
        <v>0</v>
      </c>
      <c s="348" r="AE316">
        <f>IF((AJ$15=TRUE),Y316,NA())</f>
        <v>0</v>
      </c>
      <c t="str" s="348" r="AF316">
        <f>IF(Profile!L344,Y316,NA())</f>
        <v>#N/A:explicit</v>
      </c>
      <c s="348" r="AG316">
        <f>Profile!T344*E$40</f>
        <v>0</v>
      </c>
      <c t="str" s="348" r="AH316">
        <f>IF((AK$15=TRUE),IF(ISNUMBER(Profile!Y344),IF(ISNUMBER(Profile!Y345),(((X316+((F$63/2)*COS(RADIANS(Profile!Y345))))+(X316+((F$63/2)*COS(RADIANS(Profile!Y344)))))/2),(X316+((F$63/2)*COS(RADIANS(Profile!Y344))))),AH315),0)</f>
        <v>#VALUE!:notNumber:For input string: "---"</v>
      </c>
      <c t="str" s="348" r="AI316">
        <f>IF((AK$15=TRUE),IF(ISNUMBER(Profile!Y344),IF(ISNUMBER(Profile!Y345),(((Y316-((F$63/2)*SIN(RADIANS(Profile!Y345))))+(Y316-((F$63/2)*SIN(RADIANS(Profile!Y344)))))/2),(Y316-((F$63/2)*SIN(RADIANS(Profile!Y344))))),AI315),0)</f>
        <v>#VALUE!:notNumber:For input string: "---"</v>
      </c>
      <c t="str" s="348" r="AJ316">
        <f>IF((AK$15=TRUE),IF(ISNUMBER(Profile!Y344),IF(ISNUMBER(Profile!Y345),(((X316-((F$63/2)*COS(RADIANS(Profile!Y345))))+(X316-((F$63/2)*COS(RADIANS(Profile!Y344)))))/2),(X316-((F$63/2)*COS(RADIANS(Profile!Y344))))),AJ315),0)</f>
        <v>#VALUE!:notNumber:For input string: "---"</v>
      </c>
      <c t="str" s="799" r="AK316">
        <f>IF((AK$15=TRUE),IF(ISNUMBER(Profile!Y344),IF(ISNUMBER(Profile!Y345),(((Y316+((F$63/2)*SIN(RADIANS(Profile!Y345))))+(Y316+((F$63/2)*SIN(RADIANS(Profile!Y344)))))/2),(Y316+((F$63/2)*SIN(RADIANS(Profile!Y344))))),AK315),0)</f>
        <v>#VALUE!:notNumber:For input string: "---"</v>
      </c>
      <c s="51" r="AL316"/>
      <c s="125" r="AM316"/>
    </row>
    <row r="317">
      <c s="125" r="A317"/>
      <c s="125" r="B317"/>
      <c s="125" r="C317"/>
      <c s="125" r="D317"/>
      <c s="125" r="E317"/>
      <c s="125" r="F317"/>
      <c s="125" r="G317"/>
      <c s="125" r="H317"/>
      <c s="125" r="I317"/>
      <c s="125" r="J317"/>
      <c s="125" r="K317"/>
      <c s="125" r="L317"/>
      <c s="125" r="M317"/>
      <c s="125" r="N317"/>
      <c s="125" r="O317"/>
      <c s="125" r="P317"/>
      <c s="125" r="Q317"/>
      <c s="125" r="R317"/>
      <c s="125" r="S317"/>
      <c s="822" r="T317"/>
      <c t="str" s="309" r="U317">
        <f>IF((Profile!L345&gt;0),Profile!L345,"")</f>
        <v/>
      </c>
      <c t="str" s="861" r="V317">
        <f>IF((Profile!O345&gt;0),Profile!O345,"---")</f>
        <v>---</v>
      </c>
      <c t="str" s="861" r="W317">
        <f>IF((Profile!Y345=0),IF((Profile!Y344=0),"---",IF((Profile!Y346=0),"---",Profile!Y345)),Profile!Y345)</f>
        <v>---</v>
      </c>
      <c s="239" r="X317">
        <f>AB317+X316</f>
        <v>0</v>
      </c>
      <c s="796" r="Y317">
        <f>AC317+Y316</f>
        <v>0</v>
      </c>
      <c s="702" r="Z317"/>
      <c s="289" r="AA317">
        <f>IF(Profile!Y345,IF((Profile!O345=0),0,(Profile!O345-MAX(Profile!O$44:O344))),0)</f>
        <v>0</v>
      </c>
      <c s="605" r="AB317">
        <f>SIN(RADIANS(Profile!Y345))*AA317</f>
        <v>0</v>
      </c>
      <c s="605" r="AC317">
        <f>COS(RADIANS(Profile!Y345))*AA317</f>
        <v>0</v>
      </c>
      <c s="348" r="AD317">
        <f>IF((AJ$15=TRUE),X317,NA())</f>
        <v>0</v>
      </c>
      <c s="348" r="AE317">
        <f>IF((AJ$15=TRUE),Y317,NA())</f>
        <v>0</v>
      </c>
      <c t="str" s="348" r="AF317">
        <f>IF(Profile!L345,Y317,NA())</f>
        <v>#N/A:explicit</v>
      </c>
      <c s="348" r="AG317">
        <f>Profile!T345*E$40</f>
        <v>0</v>
      </c>
      <c t="str" s="348" r="AH317">
        <f>IF((AK$15=TRUE),IF(ISNUMBER(Profile!Y345),IF(ISNUMBER(Profile!Y346),(((X317+((F$63/2)*COS(RADIANS(Profile!Y346))))+(X317+((F$63/2)*COS(RADIANS(Profile!Y345)))))/2),(X317+((F$63/2)*COS(RADIANS(Profile!Y345))))),AH316),0)</f>
        <v>#VALUE!:notNumber:For input string: "---"</v>
      </c>
      <c t="str" s="348" r="AI317">
        <f>IF((AK$15=TRUE),IF(ISNUMBER(Profile!Y345),IF(ISNUMBER(Profile!Y346),(((Y317-((F$63/2)*SIN(RADIANS(Profile!Y346))))+(Y317-((F$63/2)*SIN(RADIANS(Profile!Y345)))))/2),(Y317-((F$63/2)*SIN(RADIANS(Profile!Y345))))),AI316),0)</f>
        <v>#VALUE!:notNumber:For input string: "---"</v>
      </c>
      <c t="str" s="348" r="AJ317">
        <f>IF((AK$15=TRUE),IF(ISNUMBER(Profile!Y345),IF(ISNUMBER(Profile!Y346),(((X317-((F$63/2)*COS(RADIANS(Profile!Y346))))+(X317-((F$63/2)*COS(RADIANS(Profile!Y345)))))/2),(X317-((F$63/2)*COS(RADIANS(Profile!Y345))))),AJ316),0)</f>
        <v>#VALUE!:notNumber:For input string: "---"</v>
      </c>
      <c t="str" s="799" r="AK317">
        <f>IF((AK$15=TRUE),IF(ISNUMBER(Profile!Y345),IF(ISNUMBER(Profile!Y346),(((Y317+((F$63/2)*SIN(RADIANS(Profile!Y346))))+(Y317+((F$63/2)*SIN(RADIANS(Profile!Y345)))))/2),(Y317+((F$63/2)*SIN(RADIANS(Profile!Y345))))),AK316),0)</f>
        <v>#VALUE!:notNumber:For input string: "---"</v>
      </c>
      <c s="51" r="AL317"/>
      <c s="125" r="AM317"/>
    </row>
    <row r="318">
      <c s="125" r="A318"/>
      <c s="125" r="B318"/>
      <c s="125" r="C318"/>
      <c s="125" r="D318"/>
      <c s="125" r="E318"/>
      <c s="125" r="F318"/>
      <c s="125" r="G318"/>
      <c s="125" r="H318"/>
      <c s="125" r="I318"/>
      <c s="125" r="J318"/>
      <c s="125" r="K318"/>
      <c s="125" r="L318"/>
      <c s="125" r="M318"/>
      <c s="125" r="N318"/>
      <c s="125" r="O318"/>
      <c s="125" r="P318"/>
      <c s="125" r="Q318"/>
      <c s="125" r="R318"/>
      <c s="125" r="S318"/>
      <c s="822" r="T318"/>
      <c t="str" s="309" r="U318">
        <f>IF((Profile!L346&gt;0),Profile!L346,"")</f>
        <v/>
      </c>
      <c t="str" s="861" r="V318">
        <f>IF((Profile!O346&gt;0),Profile!O346,"---")</f>
        <v>---</v>
      </c>
      <c t="str" s="861" r="W318">
        <f>IF((Profile!Y346=0),IF((Profile!Y345=0),"---",IF((Profile!Y347=0),"---",Profile!Y346)),Profile!Y346)</f>
        <v>---</v>
      </c>
      <c s="239" r="X318">
        <f>AB318+X317</f>
        <v>0</v>
      </c>
      <c s="796" r="Y318">
        <f>AC318+Y317</f>
        <v>0</v>
      </c>
      <c s="702" r="Z318"/>
      <c s="289" r="AA318">
        <f>IF(Profile!Y346,IF((Profile!O346=0),0,(Profile!O346-MAX(Profile!O$44:O345))),0)</f>
        <v>0</v>
      </c>
      <c s="605" r="AB318">
        <f>SIN(RADIANS(Profile!Y346))*AA318</f>
        <v>0</v>
      </c>
      <c s="605" r="AC318">
        <f>COS(RADIANS(Profile!Y346))*AA318</f>
        <v>0</v>
      </c>
      <c s="348" r="AD318">
        <f>IF((AJ$15=TRUE),X318,NA())</f>
        <v>0</v>
      </c>
      <c s="348" r="AE318">
        <f>IF((AJ$15=TRUE),Y318,NA())</f>
        <v>0</v>
      </c>
      <c t="str" s="348" r="AF318">
        <f>IF(Profile!L346,Y318,NA())</f>
        <v>#N/A:explicit</v>
      </c>
      <c s="348" r="AG318">
        <f>Profile!T346*E$40</f>
        <v>0</v>
      </c>
      <c t="str" s="348" r="AH318">
        <f>IF((AK$15=TRUE),IF(ISNUMBER(Profile!Y346),IF(ISNUMBER(Profile!Y347),(((X318+((F$63/2)*COS(RADIANS(Profile!Y347))))+(X318+((F$63/2)*COS(RADIANS(Profile!Y346)))))/2),(X318+((F$63/2)*COS(RADIANS(Profile!Y346))))),AH317),0)</f>
        <v>#VALUE!:notNumber:For input string: "---"</v>
      </c>
      <c t="str" s="348" r="AI318">
        <f>IF((AK$15=TRUE),IF(ISNUMBER(Profile!Y346),IF(ISNUMBER(Profile!Y347),(((Y318-((F$63/2)*SIN(RADIANS(Profile!Y347))))+(Y318-((F$63/2)*SIN(RADIANS(Profile!Y346)))))/2),(Y318-((F$63/2)*SIN(RADIANS(Profile!Y346))))),AI317),0)</f>
        <v>#VALUE!:notNumber:For input string: "---"</v>
      </c>
      <c t="str" s="348" r="AJ318">
        <f>IF((AK$15=TRUE),IF(ISNUMBER(Profile!Y346),IF(ISNUMBER(Profile!Y347),(((X318-((F$63/2)*COS(RADIANS(Profile!Y347))))+(X318-((F$63/2)*COS(RADIANS(Profile!Y346)))))/2),(X318-((F$63/2)*COS(RADIANS(Profile!Y346))))),AJ317),0)</f>
        <v>#VALUE!:notNumber:For input string: "---"</v>
      </c>
      <c t="str" s="799" r="AK318">
        <f>IF((AK$15=TRUE),IF(ISNUMBER(Profile!Y346),IF(ISNUMBER(Profile!Y347),(((Y318+((F$63/2)*SIN(RADIANS(Profile!Y347))))+(Y318+((F$63/2)*SIN(RADIANS(Profile!Y346)))))/2),(Y318+((F$63/2)*SIN(RADIANS(Profile!Y346))))),AK317),0)</f>
        <v>#VALUE!:notNumber:For input string: "---"</v>
      </c>
      <c s="51" r="AL318"/>
      <c s="125" r="AM318"/>
    </row>
    <row r="319">
      <c s="125" r="A319"/>
      <c s="125" r="B319"/>
      <c s="125" r="C319"/>
      <c s="125" r="D319"/>
      <c s="125" r="E319"/>
      <c s="125" r="F319"/>
      <c s="125" r="G319"/>
      <c s="125" r="H319"/>
      <c s="125" r="I319"/>
      <c s="125" r="J319"/>
      <c s="125" r="K319"/>
      <c s="125" r="L319"/>
      <c s="125" r="M319"/>
      <c s="125" r="N319"/>
      <c s="125" r="O319"/>
      <c s="125" r="P319"/>
      <c s="125" r="Q319"/>
      <c s="125" r="R319"/>
      <c s="125" r="S319"/>
      <c s="822" r="T319"/>
      <c t="str" s="309" r="U319">
        <f>IF((Profile!L347&gt;0),Profile!L347,"")</f>
        <v/>
      </c>
      <c t="str" s="861" r="V319">
        <f>IF((Profile!O347&gt;0),Profile!O347,"---")</f>
        <v>---</v>
      </c>
      <c t="str" s="861" r="W319">
        <f>IF((Profile!Y347=0),IF((Profile!Y346=0),"---",IF((Profile!Y348=0),"---",Profile!Y347)),Profile!Y347)</f>
        <v>---</v>
      </c>
      <c s="239" r="X319">
        <f>AB319+X318</f>
        <v>0</v>
      </c>
      <c s="796" r="Y319">
        <f>AC319+Y318</f>
        <v>0</v>
      </c>
      <c s="702" r="Z319"/>
      <c s="289" r="AA319">
        <f>IF(Profile!Y347,IF((Profile!O347=0),0,(Profile!O347-MAX(Profile!O$44:O346))),0)</f>
        <v>0</v>
      </c>
      <c s="605" r="AB319">
        <f>SIN(RADIANS(Profile!Y347))*AA319</f>
        <v>0</v>
      </c>
      <c s="605" r="AC319">
        <f>COS(RADIANS(Profile!Y347))*AA319</f>
        <v>0</v>
      </c>
      <c s="348" r="AD319">
        <f>IF((AJ$15=TRUE),X319,NA())</f>
        <v>0</v>
      </c>
      <c s="348" r="AE319">
        <f>IF((AJ$15=TRUE),Y319,NA())</f>
        <v>0</v>
      </c>
      <c t="str" s="348" r="AF319">
        <f>IF(Profile!L347,Y319,NA())</f>
        <v>#N/A:explicit</v>
      </c>
      <c s="348" r="AG319">
        <f>Profile!T347*E$40</f>
        <v>0</v>
      </c>
      <c t="str" s="348" r="AH319">
        <f>IF((AK$15=TRUE),IF(ISNUMBER(Profile!Y347),IF(ISNUMBER(Profile!Y348),(((X319+((F$63/2)*COS(RADIANS(Profile!Y348))))+(X319+((F$63/2)*COS(RADIANS(Profile!Y347)))))/2),(X319+((F$63/2)*COS(RADIANS(Profile!Y347))))),AH318),0)</f>
        <v>#VALUE!:notNumber:For input string: "---"</v>
      </c>
      <c t="str" s="348" r="AI319">
        <f>IF((AK$15=TRUE),IF(ISNUMBER(Profile!Y347),IF(ISNUMBER(Profile!Y348),(((Y319-((F$63/2)*SIN(RADIANS(Profile!Y348))))+(Y319-((F$63/2)*SIN(RADIANS(Profile!Y347)))))/2),(Y319-((F$63/2)*SIN(RADIANS(Profile!Y347))))),AI318),0)</f>
        <v>#VALUE!:notNumber:For input string: "---"</v>
      </c>
      <c t="str" s="348" r="AJ319">
        <f>IF((AK$15=TRUE),IF(ISNUMBER(Profile!Y347),IF(ISNUMBER(Profile!Y348),(((X319-((F$63/2)*COS(RADIANS(Profile!Y348))))+(X319-((F$63/2)*COS(RADIANS(Profile!Y347)))))/2),(X319-((F$63/2)*COS(RADIANS(Profile!Y347))))),AJ318),0)</f>
        <v>#VALUE!:notNumber:For input string: "---"</v>
      </c>
      <c t="str" s="799" r="AK319">
        <f>IF((AK$15=TRUE),IF(ISNUMBER(Profile!Y347),IF(ISNUMBER(Profile!Y348),(((Y319+((F$63/2)*SIN(RADIANS(Profile!Y348))))+(Y319+((F$63/2)*SIN(RADIANS(Profile!Y347)))))/2),(Y319+((F$63/2)*SIN(RADIANS(Profile!Y347))))),AK318),0)</f>
        <v>#VALUE!:notNumber:For input string: "---"</v>
      </c>
      <c s="51" r="AL319"/>
      <c s="125" r="AM319"/>
    </row>
    <row r="320">
      <c s="125" r="A320"/>
      <c s="125" r="B320"/>
      <c s="125" r="C320"/>
      <c s="125" r="D320"/>
      <c s="125" r="E320"/>
      <c s="125" r="F320"/>
      <c s="125" r="G320"/>
      <c s="125" r="H320"/>
      <c s="125" r="I320"/>
      <c s="125" r="J320"/>
      <c s="125" r="K320"/>
      <c s="125" r="L320"/>
      <c s="125" r="M320"/>
      <c s="125" r="N320"/>
      <c s="125" r="O320"/>
      <c s="125" r="P320"/>
      <c s="125" r="Q320"/>
      <c s="125" r="R320"/>
      <c s="125" r="S320"/>
      <c s="822" r="T320"/>
      <c t="str" s="309" r="U320">
        <f>IF((Profile!L348&gt;0),Profile!L348,"")</f>
        <v/>
      </c>
      <c t="str" s="861" r="V320">
        <f>IF((Profile!O348&gt;0),Profile!O348,"---")</f>
        <v>---</v>
      </c>
      <c t="str" s="861" r="W320">
        <f>IF((Profile!Y348=0),IF((Profile!Y347=0),"---",IF((Profile!Y349=0),"---",Profile!Y348)),Profile!Y348)</f>
        <v>---</v>
      </c>
      <c s="239" r="X320">
        <f>AB320+X319</f>
        <v>0</v>
      </c>
      <c s="796" r="Y320">
        <f>AC320+Y319</f>
        <v>0</v>
      </c>
      <c s="702" r="Z320"/>
      <c s="289" r="AA320">
        <f>IF(Profile!Y348,IF((Profile!O348=0),0,(Profile!O348-MAX(Profile!O$44:O347))),0)</f>
        <v>0</v>
      </c>
      <c s="605" r="AB320">
        <f>SIN(RADIANS(Profile!Y348))*AA320</f>
        <v>0</v>
      </c>
      <c s="605" r="AC320">
        <f>COS(RADIANS(Profile!Y348))*AA320</f>
        <v>0</v>
      </c>
      <c s="348" r="AD320">
        <f>IF((AJ$15=TRUE),X320,NA())</f>
        <v>0</v>
      </c>
      <c s="348" r="AE320">
        <f>IF((AJ$15=TRUE),Y320,NA())</f>
        <v>0</v>
      </c>
      <c t="str" s="348" r="AF320">
        <f>IF(Profile!L348,Y320,NA())</f>
        <v>#N/A:explicit</v>
      </c>
      <c s="348" r="AG320">
        <f>Profile!T348*E$40</f>
        <v>0</v>
      </c>
      <c t="str" s="348" r="AH320">
        <f>IF((AK$15=TRUE),IF(ISNUMBER(Profile!Y348),IF(ISNUMBER(Profile!Y349),(((X320+((F$63/2)*COS(RADIANS(Profile!Y349))))+(X320+((F$63/2)*COS(RADIANS(Profile!Y348)))))/2),(X320+((F$63/2)*COS(RADIANS(Profile!Y348))))),AH319),0)</f>
        <v>#VALUE!:notNumber:For input string: "---"</v>
      </c>
      <c t="str" s="348" r="AI320">
        <f>IF((AK$15=TRUE),IF(ISNUMBER(Profile!Y348),IF(ISNUMBER(Profile!Y349),(((Y320-((F$63/2)*SIN(RADIANS(Profile!Y349))))+(Y320-((F$63/2)*SIN(RADIANS(Profile!Y348)))))/2),(Y320-((F$63/2)*SIN(RADIANS(Profile!Y348))))),AI319),0)</f>
        <v>#VALUE!:notNumber:For input string: "---"</v>
      </c>
      <c t="str" s="348" r="AJ320">
        <f>IF((AK$15=TRUE),IF(ISNUMBER(Profile!Y348),IF(ISNUMBER(Profile!Y349),(((X320-((F$63/2)*COS(RADIANS(Profile!Y349))))+(X320-((F$63/2)*COS(RADIANS(Profile!Y348)))))/2),(X320-((F$63/2)*COS(RADIANS(Profile!Y348))))),AJ319),0)</f>
        <v>#VALUE!:notNumber:For input string: "---"</v>
      </c>
      <c t="str" s="799" r="AK320">
        <f>IF((AK$15=TRUE),IF(ISNUMBER(Profile!Y348),IF(ISNUMBER(Profile!Y349),(((Y320+((F$63/2)*SIN(RADIANS(Profile!Y349))))+(Y320+((F$63/2)*SIN(RADIANS(Profile!Y348)))))/2),(Y320+((F$63/2)*SIN(RADIANS(Profile!Y348))))),AK319),0)</f>
        <v>#VALUE!:notNumber:For input string: "---"</v>
      </c>
      <c s="51" r="AL320"/>
      <c s="125" r="AM320"/>
    </row>
    <row r="321">
      <c s="125" r="A321"/>
      <c s="125" r="B321"/>
      <c s="125" r="C321"/>
      <c s="125" r="D321"/>
      <c s="125" r="E321"/>
      <c s="125" r="F321"/>
      <c s="125" r="G321"/>
      <c s="125" r="H321"/>
      <c s="125" r="I321"/>
      <c s="125" r="J321"/>
      <c s="125" r="K321"/>
      <c s="125" r="L321"/>
      <c s="125" r="M321"/>
      <c s="125" r="N321"/>
      <c s="125" r="O321"/>
      <c s="125" r="P321"/>
      <c s="125" r="Q321"/>
      <c s="125" r="R321"/>
      <c s="125" r="S321"/>
      <c s="822" r="T321"/>
      <c t="str" s="309" r="U321">
        <f>IF((Profile!L349&gt;0),Profile!L349,"")</f>
        <v/>
      </c>
      <c t="str" s="861" r="V321">
        <f>IF((Profile!O349&gt;0),Profile!O349,"---")</f>
        <v>---</v>
      </c>
      <c t="str" s="861" r="W321">
        <f>IF((Profile!Y349=0),IF((Profile!Y348=0),"---",IF((Profile!Y350=0),"---",Profile!Y349)),Profile!Y349)</f>
        <v>---</v>
      </c>
      <c s="239" r="X321">
        <f>AB321+X320</f>
        <v>0</v>
      </c>
      <c s="796" r="Y321">
        <f>AC321+Y320</f>
        <v>0</v>
      </c>
      <c s="702" r="Z321"/>
      <c s="289" r="AA321">
        <f>IF(Profile!Y349,IF((Profile!O349=0),0,(Profile!O349-MAX(Profile!O$44:O348))),0)</f>
        <v>0</v>
      </c>
      <c s="605" r="AB321">
        <f>SIN(RADIANS(Profile!Y349))*AA321</f>
        <v>0</v>
      </c>
      <c s="605" r="AC321">
        <f>COS(RADIANS(Profile!Y349))*AA321</f>
        <v>0</v>
      </c>
      <c s="348" r="AD321">
        <f>IF((AJ$15=TRUE),X321,NA())</f>
        <v>0</v>
      </c>
      <c s="348" r="AE321">
        <f>IF((AJ$15=TRUE),Y321,NA())</f>
        <v>0</v>
      </c>
      <c t="str" s="348" r="AF321">
        <f>IF(Profile!L349,Y321,NA())</f>
        <v>#N/A:explicit</v>
      </c>
      <c s="348" r="AG321">
        <f>Profile!T349*E$40</f>
        <v>0</v>
      </c>
      <c t="str" s="348" r="AH321">
        <f>IF((AK$15=TRUE),IF(ISNUMBER(Profile!Y349),IF(ISNUMBER(Profile!Y350),(((X321+((F$63/2)*COS(RADIANS(Profile!Y350))))+(X321+((F$63/2)*COS(RADIANS(Profile!Y349)))))/2),(X321+((F$63/2)*COS(RADIANS(Profile!Y349))))),AH320),0)</f>
        <v>#VALUE!:notNumber:For input string: "---"</v>
      </c>
      <c t="str" s="348" r="AI321">
        <f>IF((AK$15=TRUE),IF(ISNUMBER(Profile!Y349),IF(ISNUMBER(Profile!Y350),(((Y321-((F$63/2)*SIN(RADIANS(Profile!Y350))))+(Y321-((F$63/2)*SIN(RADIANS(Profile!Y349)))))/2),(Y321-((F$63/2)*SIN(RADIANS(Profile!Y349))))),AI320),0)</f>
        <v>#VALUE!:notNumber:For input string: "---"</v>
      </c>
      <c t="str" s="348" r="AJ321">
        <f>IF((AK$15=TRUE),IF(ISNUMBER(Profile!Y349),IF(ISNUMBER(Profile!Y350),(((X321-((F$63/2)*COS(RADIANS(Profile!Y350))))+(X321-((F$63/2)*COS(RADIANS(Profile!Y349)))))/2),(X321-((F$63/2)*COS(RADIANS(Profile!Y349))))),AJ320),0)</f>
        <v>#VALUE!:notNumber:For input string: "---"</v>
      </c>
      <c t="str" s="799" r="AK321">
        <f>IF((AK$15=TRUE),IF(ISNUMBER(Profile!Y349),IF(ISNUMBER(Profile!Y350),(((Y321+((F$63/2)*SIN(RADIANS(Profile!Y350))))+(Y321+((F$63/2)*SIN(RADIANS(Profile!Y349)))))/2),(Y321+((F$63/2)*SIN(RADIANS(Profile!Y349))))),AK320),0)</f>
        <v>#VALUE!:notNumber:For input string: "---"</v>
      </c>
      <c s="51" r="AL321"/>
      <c s="125" r="AM321"/>
    </row>
    <row r="322">
      <c s="125" r="A322"/>
      <c s="125" r="B322"/>
      <c s="125" r="C322"/>
      <c s="125" r="D322"/>
      <c s="125" r="E322"/>
      <c s="125" r="F322"/>
      <c s="125" r="G322"/>
      <c s="125" r="H322"/>
      <c s="125" r="I322"/>
      <c s="125" r="J322"/>
      <c s="125" r="K322"/>
      <c s="125" r="L322"/>
      <c s="125" r="M322"/>
      <c s="125" r="N322"/>
      <c s="125" r="O322"/>
      <c s="125" r="P322"/>
      <c s="125" r="Q322"/>
      <c s="125" r="R322"/>
      <c s="125" r="S322"/>
      <c s="822" r="T322"/>
      <c t="str" s="309" r="U322">
        <f>IF((Profile!L350&gt;0),Profile!L350,"")</f>
        <v/>
      </c>
      <c t="str" s="861" r="V322">
        <f>IF((Profile!O350&gt;0),Profile!O350,"---")</f>
        <v>---</v>
      </c>
      <c t="str" s="861" r="W322">
        <f>IF((Profile!Y350=0),IF((Profile!Y349=0),"---",IF((Profile!Y351=0),"---",Profile!Y350)),Profile!Y350)</f>
        <v>---</v>
      </c>
      <c s="239" r="X322">
        <f>AB322+X321</f>
        <v>0</v>
      </c>
      <c s="796" r="Y322">
        <f>AC322+Y321</f>
        <v>0</v>
      </c>
      <c s="702" r="Z322"/>
      <c s="289" r="AA322">
        <f>IF(Profile!Y350,IF((Profile!O350=0),0,(Profile!O350-MAX(Profile!O$44:O349))),0)</f>
        <v>0</v>
      </c>
      <c s="605" r="AB322">
        <f>SIN(RADIANS(Profile!Y350))*AA322</f>
        <v>0</v>
      </c>
      <c s="605" r="AC322">
        <f>COS(RADIANS(Profile!Y350))*AA322</f>
        <v>0</v>
      </c>
      <c s="348" r="AD322">
        <f>IF((AJ$15=TRUE),X322,NA())</f>
        <v>0</v>
      </c>
      <c s="348" r="AE322">
        <f>IF((AJ$15=TRUE),Y322,NA())</f>
        <v>0</v>
      </c>
      <c t="str" s="348" r="AF322">
        <f>IF(Profile!L350,Y322,NA())</f>
        <v>#N/A:explicit</v>
      </c>
      <c s="348" r="AG322">
        <f>Profile!T350*E$40</f>
        <v>0</v>
      </c>
      <c t="str" s="348" r="AH322">
        <f>IF((AK$15=TRUE),IF(ISNUMBER(Profile!Y350),IF(ISNUMBER(Profile!Y351),(((X322+((F$63/2)*COS(RADIANS(Profile!Y351))))+(X322+((F$63/2)*COS(RADIANS(Profile!Y350)))))/2),(X322+((F$63/2)*COS(RADIANS(Profile!Y350))))),AH321),0)</f>
        <v>#VALUE!:notNumber:For input string: "---"</v>
      </c>
      <c t="str" s="348" r="AI322">
        <f>IF((AK$15=TRUE),IF(ISNUMBER(Profile!Y350),IF(ISNUMBER(Profile!Y351),(((Y322-((F$63/2)*SIN(RADIANS(Profile!Y351))))+(Y322-((F$63/2)*SIN(RADIANS(Profile!Y350)))))/2),(Y322-((F$63/2)*SIN(RADIANS(Profile!Y350))))),AI321),0)</f>
        <v>#VALUE!:notNumber:For input string: "---"</v>
      </c>
      <c t="str" s="348" r="AJ322">
        <f>IF((AK$15=TRUE),IF(ISNUMBER(Profile!Y350),IF(ISNUMBER(Profile!Y351),(((X322-((F$63/2)*COS(RADIANS(Profile!Y351))))+(X322-((F$63/2)*COS(RADIANS(Profile!Y350)))))/2),(X322-((F$63/2)*COS(RADIANS(Profile!Y350))))),AJ321),0)</f>
        <v>#VALUE!:notNumber:For input string: "---"</v>
      </c>
      <c t="str" s="799" r="AK322">
        <f>IF((AK$15=TRUE),IF(ISNUMBER(Profile!Y350),IF(ISNUMBER(Profile!Y351),(((Y322+((F$63/2)*SIN(RADIANS(Profile!Y351))))+(Y322+((F$63/2)*SIN(RADIANS(Profile!Y350)))))/2),(Y322+((F$63/2)*SIN(RADIANS(Profile!Y350))))),AK321),0)</f>
        <v>#VALUE!:notNumber:For input string: "---"</v>
      </c>
      <c s="51" r="AL322"/>
      <c s="125" r="AM322"/>
    </row>
    <row r="323">
      <c s="125" r="A323"/>
      <c s="125" r="B323"/>
      <c s="125" r="C323"/>
      <c s="125" r="D323"/>
      <c s="125" r="E323"/>
      <c s="125" r="F323"/>
      <c s="125" r="G323"/>
      <c s="125" r="H323"/>
      <c s="125" r="I323"/>
      <c s="125" r="J323"/>
      <c s="125" r="K323"/>
      <c s="125" r="L323"/>
      <c s="125" r="M323"/>
      <c s="125" r="N323"/>
      <c s="125" r="O323"/>
      <c s="125" r="P323"/>
      <c s="125" r="Q323"/>
      <c s="125" r="R323"/>
      <c s="125" r="S323"/>
      <c s="822" r="T323"/>
      <c t="str" s="309" r="U323">
        <f>IF((Profile!L351&gt;0),Profile!L351,"")</f>
        <v/>
      </c>
      <c t="str" s="861" r="V323">
        <f>IF((Profile!O351&gt;0),Profile!O351,"---")</f>
        <v>---</v>
      </c>
      <c t="str" s="861" r="W323">
        <f>IF((Profile!Y351=0),IF((Profile!Y350=0),"---",IF((Profile!Y352=0),"---",Profile!Y351)),Profile!Y351)</f>
        <v>---</v>
      </c>
      <c s="239" r="X323">
        <f>AB323+X322</f>
        <v>0</v>
      </c>
      <c s="796" r="Y323">
        <f>AC323+Y322</f>
        <v>0</v>
      </c>
      <c s="702" r="Z323"/>
      <c s="289" r="AA323">
        <f>IF(Profile!Y351,IF((Profile!O351=0),0,(Profile!O351-MAX(Profile!O$44:O350))),0)</f>
        <v>0</v>
      </c>
      <c s="605" r="AB323">
        <f>SIN(RADIANS(Profile!Y351))*AA323</f>
        <v>0</v>
      </c>
      <c s="605" r="AC323">
        <f>COS(RADIANS(Profile!Y351))*AA323</f>
        <v>0</v>
      </c>
      <c s="348" r="AD323">
        <f>IF((AJ$15=TRUE),X323,NA())</f>
        <v>0</v>
      </c>
      <c s="348" r="AE323">
        <f>IF((AJ$15=TRUE),Y323,NA())</f>
        <v>0</v>
      </c>
      <c t="str" s="348" r="AF323">
        <f>IF(Profile!L351,Y323,NA())</f>
        <v>#N/A:explicit</v>
      </c>
      <c s="348" r="AG323">
        <f>Profile!T351*E$40</f>
        <v>0</v>
      </c>
      <c t="str" s="348" r="AH323">
        <f>IF((AK$15=TRUE),IF(ISNUMBER(Profile!Y351),IF(ISNUMBER(Profile!Y352),(((X323+((F$63/2)*COS(RADIANS(Profile!Y352))))+(X323+((F$63/2)*COS(RADIANS(Profile!Y351)))))/2),(X323+((F$63/2)*COS(RADIANS(Profile!Y351))))),AH322),0)</f>
        <v>#VALUE!:notNumber:For input string: "---"</v>
      </c>
      <c t="str" s="348" r="AI323">
        <f>IF((AK$15=TRUE),IF(ISNUMBER(Profile!Y351),IF(ISNUMBER(Profile!Y352),(((Y323-((F$63/2)*SIN(RADIANS(Profile!Y352))))+(Y323-((F$63/2)*SIN(RADIANS(Profile!Y351)))))/2),(Y323-((F$63/2)*SIN(RADIANS(Profile!Y351))))),AI322),0)</f>
        <v>#VALUE!:notNumber:For input string: "---"</v>
      </c>
      <c t="str" s="348" r="AJ323">
        <f>IF((AK$15=TRUE),IF(ISNUMBER(Profile!Y351),IF(ISNUMBER(Profile!Y352),(((X323-((F$63/2)*COS(RADIANS(Profile!Y352))))+(X323-((F$63/2)*COS(RADIANS(Profile!Y351)))))/2),(X323-((F$63/2)*COS(RADIANS(Profile!Y351))))),AJ322),0)</f>
        <v>#VALUE!:notNumber:For input string: "---"</v>
      </c>
      <c t="str" s="799" r="AK323">
        <f>IF((AK$15=TRUE),IF(ISNUMBER(Profile!Y351),IF(ISNUMBER(Profile!Y352),(((Y323+((F$63/2)*SIN(RADIANS(Profile!Y352))))+(Y323+((F$63/2)*SIN(RADIANS(Profile!Y351)))))/2),(Y323+((F$63/2)*SIN(RADIANS(Profile!Y351))))),AK322),0)</f>
        <v>#VALUE!:notNumber:For input string: "---"</v>
      </c>
      <c s="51" r="AL323"/>
      <c s="125" r="AM323"/>
    </row>
    <row r="324">
      <c s="125" r="A324"/>
      <c s="125" r="B324"/>
      <c s="125" r="C324"/>
      <c s="125" r="D324"/>
      <c s="125" r="E324"/>
      <c s="125" r="F324"/>
      <c s="125" r="G324"/>
      <c s="125" r="H324"/>
      <c s="125" r="I324"/>
      <c s="125" r="J324"/>
      <c s="125" r="K324"/>
      <c s="125" r="L324"/>
      <c s="125" r="M324"/>
      <c s="125" r="N324"/>
      <c s="125" r="O324"/>
      <c s="125" r="P324"/>
      <c s="125" r="Q324"/>
      <c s="125" r="R324"/>
      <c s="125" r="S324"/>
      <c s="822" r="T324"/>
      <c t="str" s="309" r="U324">
        <f>IF((Profile!L352&gt;0),Profile!L352,"")</f>
        <v/>
      </c>
      <c t="str" s="861" r="V324">
        <f>IF((Profile!O352&gt;0),Profile!O352,"---")</f>
        <v>---</v>
      </c>
      <c t="str" s="861" r="W324">
        <f>IF((Profile!Y352=0),IF((Profile!Y351=0),"---",IF((Profile!Y353=0),"---",Profile!Y352)),Profile!Y352)</f>
        <v>---</v>
      </c>
      <c s="239" r="X324">
        <f>AB324+X323</f>
        <v>0</v>
      </c>
      <c s="796" r="Y324">
        <f>AC324+Y323</f>
        <v>0</v>
      </c>
      <c s="702" r="Z324"/>
      <c s="289" r="AA324">
        <f>IF(Profile!Y352,IF((Profile!O352=0),0,(Profile!O352-MAX(Profile!O$44:O351))),0)</f>
        <v>0</v>
      </c>
      <c s="605" r="AB324">
        <f>SIN(RADIANS(Profile!Y352))*AA324</f>
        <v>0</v>
      </c>
      <c s="605" r="AC324">
        <f>COS(RADIANS(Profile!Y352))*AA324</f>
        <v>0</v>
      </c>
      <c s="348" r="AD324">
        <f>IF((AJ$15=TRUE),X324,NA())</f>
        <v>0</v>
      </c>
      <c s="348" r="AE324">
        <f>IF((AJ$15=TRUE),Y324,NA())</f>
        <v>0</v>
      </c>
      <c t="str" s="348" r="AF324">
        <f>IF(Profile!L352,Y324,NA())</f>
        <v>#N/A:explicit</v>
      </c>
      <c s="348" r="AG324">
        <f>Profile!T352*E$40</f>
        <v>0</v>
      </c>
      <c t="str" s="348" r="AH324">
        <f>IF((AK$15=TRUE),IF(ISNUMBER(Profile!Y352),IF(ISNUMBER(Profile!Y353),(((X324+((F$63/2)*COS(RADIANS(Profile!Y353))))+(X324+((F$63/2)*COS(RADIANS(Profile!Y352)))))/2),(X324+((F$63/2)*COS(RADIANS(Profile!Y352))))),AH323),0)</f>
        <v>#VALUE!:notNumber:For input string: "---"</v>
      </c>
      <c t="str" s="348" r="AI324">
        <f>IF((AK$15=TRUE),IF(ISNUMBER(Profile!Y352),IF(ISNUMBER(Profile!Y353),(((Y324-((F$63/2)*SIN(RADIANS(Profile!Y353))))+(Y324-((F$63/2)*SIN(RADIANS(Profile!Y352)))))/2),(Y324-((F$63/2)*SIN(RADIANS(Profile!Y352))))),AI323),0)</f>
        <v>#VALUE!:notNumber:For input string: "---"</v>
      </c>
      <c t="str" s="348" r="AJ324">
        <f>IF((AK$15=TRUE),IF(ISNUMBER(Profile!Y352),IF(ISNUMBER(Profile!Y353),(((X324-((F$63/2)*COS(RADIANS(Profile!Y353))))+(X324-((F$63/2)*COS(RADIANS(Profile!Y352)))))/2),(X324-((F$63/2)*COS(RADIANS(Profile!Y352))))),AJ323),0)</f>
        <v>#VALUE!:notNumber:For input string: "---"</v>
      </c>
      <c t="str" s="799" r="AK324">
        <f>IF((AK$15=TRUE),IF(ISNUMBER(Profile!Y352),IF(ISNUMBER(Profile!Y353),(((Y324+((F$63/2)*SIN(RADIANS(Profile!Y353))))+(Y324+((F$63/2)*SIN(RADIANS(Profile!Y352)))))/2),(Y324+((F$63/2)*SIN(RADIANS(Profile!Y352))))),AK323),0)</f>
        <v>#VALUE!:notNumber:For input string: "---"</v>
      </c>
      <c s="51" r="AL324"/>
      <c s="125" r="AM324"/>
    </row>
    <row r="325">
      <c s="125" r="A325"/>
      <c s="125" r="B325"/>
      <c s="125" r="C325"/>
      <c s="125" r="D325"/>
      <c s="125" r="E325"/>
      <c s="125" r="F325"/>
      <c s="125" r="G325"/>
      <c s="125" r="H325"/>
      <c s="125" r="I325"/>
      <c s="125" r="J325"/>
      <c s="125" r="K325"/>
      <c s="125" r="L325"/>
      <c s="125" r="M325"/>
      <c s="125" r="N325"/>
      <c s="125" r="O325"/>
      <c s="125" r="P325"/>
      <c s="125" r="Q325"/>
      <c s="125" r="R325"/>
      <c s="125" r="S325"/>
      <c s="822" r="T325"/>
      <c t="str" s="309" r="U325">
        <f>IF((Profile!L353&gt;0),Profile!L353,"")</f>
        <v/>
      </c>
      <c t="str" s="861" r="V325">
        <f>IF((Profile!O353&gt;0),Profile!O353,"---")</f>
        <v>---</v>
      </c>
      <c t="str" s="861" r="W325">
        <f>IF((Profile!Y353=0),IF((Profile!Y352=0),"---",IF((Profile!Y354=0),"---",Profile!Y353)),Profile!Y353)</f>
        <v>---</v>
      </c>
      <c s="239" r="X325">
        <f>AB325+X324</f>
        <v>0</v>
      </c>
      <c s="796" r="Y325">
        <f>AC325+Y324</f>
        <v>0</v>
      </c>
      <c s="702" r="Z325"/>
      <c s="289" r="AA325">
        <f>IF(Profile!Y353,IF((Profile!O353=0),0,(Profile!O353-MAX(Profile!O$44:O352))),0)</f>
        <v>0</v>
      </c>
      <c s="605" r="AB325">
        <f>SIN(RADIANS(Profile!Y353))*AA325</f>
        <v>0</v>
      </c>
      <c s="605" r="AC325">
        <f>COS(RADIANS(Profile!Y353))*AA325</f>
        <v>0</v>
      </c>
      <c s="348" r="AD325">
        <f>IF((AJ$15=TRUE),X325,NA())</f>
        <v>0</v>
      </c>
      <c s="348" r="AE325">
        <f>IF((AJ$15=TRUE),Y325,NA())</f>
        <v>0</v>
      </c>
      <c t="str" s="348" r="AF325">
        <f>IF(Profile!L353,Y325,NA())</f>
        <v>#N/A:explicit</v>
      </c>
      <c s="348" r="AG325">
        <f>Profile!T353*E$40</f>
        <v>0</v>
      </c>
      <c t="str" s="348" r="AH325">
        <f>IF((AK$15=TRUE),IF(ISNUMBER(Profile!Y353),IF(ISNUMBER(Profile!Y354),(((X325+((F$63/2)*COS(RADIANS(Profile!Y354))))+(X325+((F$63/2)*COS(RADIANS(Profile!Y353)))))/2),(X325+((F$63/2)*COS(RADIANS(Profile!Y353))))),AH324),0)</f>
        <v>#VALUE!:notNumber:For input string: "---"</v>
      </c>
      <c t="str" s="348" r="AI325">
        <f>IF((AK$15=TRUE),IF(ISNUMBER(Profile!Y353),IF(ISNUMBER(Profile!Y354),(((Y325-((F$63/2)*SIN(RADIANS(Profile!Y354))))+(Y325-((F$63/2)*SIN(RADIANS(Profile!Y353)))))/2),(Y325-((F$63/2)*SIN(RADIANS(Profile!Y353))))),AI324),0)</f>
        <v>#VALUE!:notNumber:For input string: "---"</v>
      </c>
      <c t="str" s="348" r="AJ325">
        <f>IF((AK$15=TRUE),IF(ISNUMBER(Profile!Y353),IF(ISNUMBER(Profile!Y354),(((X325-((F$63/2)*COS(RADIANS(Profile!Y354))))+(X325-((F$63/2)*COS(RADIANS(Profile!Y353)))))/2),(X325-((F$63/2)*COS(RADIANS(Profile!Y353))))),AJ324),0)</f>
        <v>#VALUE!:notNumber:For input string: "---"</v>
      </c>
      <c t="str" s="799" r="AK325">
        <f>IF((AK$15=TRUE),IF(ISNUMBER(Profile!Y353),IF(ISNUMBER(Profile!Y354),(((Y325+((F$63/2)*SIN(RADIANS(Profile!Y354))))+(Y325+((F$63/2)*SIN(RADIANS(Profile!Y353)))))/2),(Y325+((F$63/2)*SIN(RADIANS(Profile!Y353))))),AK324),0)</f>
        <v>#VALUE!:notNumber:For input string: "---"</v>
      </c>
      <c s="51" r="AL325"/>
      <c s="125" r="AM325"/>
    </row>
    <row r="326">
      <c s="125" r="A326"/>
      <c s="125" r="B326"/>
      <c s="125" r="C326"/>
      <c s="125" r="D326"/>
      <c s="125" r="E326"/>
      <c s="125" r="F326"/>
      <c s="125" r="G326"/>
      <c s="125" r="H326"/>
      <c s="125" r="I326"/>
      <c s="125" r="J326"/>
      <c s="125" r="K326"/>
      <c s="125" r="L326"/>
      <c s="125" r="M326"/>
      <c s="125" r="N326"/>
      <c s="125" r="O326"/>
      <c s="125" r="P326"/>
      <c s="125" r="Q326"/>
      <c s="125" r="R326"/>
      <c s="125" r="S326"/>
      <c s="822" r="T326"/>
      <c t="str" s="309" r="U326">
        <f>IF((Profile!L354&gt;0),Profile!L354,"")</f>
        <v/>
      </c>
      <c t="str" s="861" r="V326">
        <f>IF((Profile!O354&gt;0),Profile!O354,"---")</f>
        <v>---</v>
      </c>
      <c t="str" s="861" r="W326">
        <f>IF((Profile!Y354=0),IF((Profile!Y353=0),"---",IF((Profile!Y355=0),"---",Profile!Y354)),Profile!Y354)</f>
        <v>---</v>
      </c>
      <c s="239" r="X326">
        <f>AB326+X325</f>
        <v>0</v>
      </c>
      <c s="796" r="Y326">
        <f>AC326+Y325</f>
        <v>0</v>
      </c>
      <c s="702" r="Z326"/>
      <c s="289" r="AA326">
        <f>IF(Profile!Y354,IF((Profile!O354=0),0,(Profile!O354-MAX(Profile!O$44:O353))),0)</f>
        <v>0</v>
      </c>
      <c s="605" r="AB326">
        <f>SIN(RADIANS(Profile!Y354))*AA326</f>
        <v>0</v>
      </c>
      <c s="605" r="AC326">
        <f>COS(RADIANS(Profile!Y354))*AA326</f>
        <v>0</v>
      </c>
      <c s="348" r="AD326">
        <f>IF((AJ$15=TRUE),X326,NA())</f>
        <v>0</v>
      </c>
      <c s="348" r="AE326">
        <f>IF((AJ$15=TRUE),Y326,NA())</f>
        <v>0</v>
      </c>
      <c t="str" s="348" r="AF326">
        <f>IF(Profile!L354,Y326,NA())</f>
        <v>#N/A:explicit</v>
      </c>
      <c s="348" r="AG326">
        <f>Profile!T354*E$40</f>
        <v>0</v>
      </c>
      <c t="str" s="348" r="AH326">
        <f>IF((AK$15=TRUE),IF(ISNUMBER(Profile!Y354),IF(ISNUMBER(Profile!Y355),(((X326+((F$63/2)*COS(RADIANS(Profile!Y355))))+(X326+((F$63/2)*COS(RADIANS(Profile!Y354)))))/2),(X326+((F$63/2)*COS(RADIANS(Profile!Y354))))),AH325),0)</f>
        <v>#VALUE!:notNumber:For input string: "---"</v>
      </c>
      <c t="str" s="348" r="AI326">
        <f>IF((AK$15=TRUE),IF(ISNUMBER(Profile!Y354),IF(ISNUMBER(Profile!Y355),(((Y326-((F$63/2)*SIN(RADIANS(Profile!Y355))))+(Y326-((F$63/2)*SIN(RADIANS(Profile!Y354)))))/2),(Y326-((F$63/2)*SIN(RADIANS(Profile!Y354))))),AI325),0)</f>
        <v>#VALUE!:notNumber:For input string: "---"</v>
      </c>
      <c t="str" s="348" r="AJ326">
        <f>IF((AK$15=TRUE),IF(ISNUMBER(Profile!Y354),IF(ISNUMBER(Profile!Y355),(((X326-((F$63/2)*COS(RADIANS(Profile!Y355))))+(X326-((F$63/2)*COS(RADIANS(Profile!Y354)))))/2),(X326-((F$63/2)*COS(RADIANS(Profile!Y354))))),AJ325),0)</f>
        <v>#VALUE!:notNumber:For input string: "---"</v>
      </c>
      <c t="str" s="799" r="AK326">
        <f>IF((AK$15=TRUE),IF(ISNUMBER(Profile!Y354),IF(ISNUMBER(Profile!Y355),(((Y326+((F$63/2)*SIN(RADIANS(Profile!Y355))))+(Y326+((F$63/2)*SIN(RADIANS(Profile!Y354)))))/2),(Y326+((F$63/2)*SIN(RADIANS(Profile!Y354))))),AK325),0)</f>
        <v>#VALUE!:notNumber:For input string: "---"</v>
      </c>
      <c s="51" r="AL326"/>
      <c s="125" r="AM326"/>
    </row>
    <row r="327">
      <c s="125" r="A327"/>
      <c s="125" r="B327"/>
      <c s="125" r="C327"/>
      <c s="125" r="D327"/>
      <c s="125" r="E327"/>
      <c s="125" r="F327"/>
      <c s="125" r="G327"/>
      <c s="125" r="H327"/>
      <c s="125" r="I327"/>
      <c s="125" r="J327"/>
      <c s="125" r="K327"/>
      <c s="125" r="L327"/>
      <c s="125" r="M327"/>
      <c s="125" r="N327"/>
      <c s="125" r="O327"/>
      <c s="125" r="P327"/>
      <c s="125" r="Q327"/>
      <c s="125" r="R327"/>
      <c s="125" r="S327"/>
      <c s="822" r="T327"/>
      <c t="str" s="309" r="U327">
        <f>IF((Profile!L355&gt;0),Profile!L355,"")</f>
        <v/>
      </c>
      <c t="str" s="861" r="V327">
        <f>IF((Profile!O355&gt;0),Profile!O355,"---")</f>
        <v>---</v>
      </c>
      <c t="str" s="861" r="W327">
        <f>IF((Profile!Y355=0),IF((Profile!Y354=0),"---",IF((Profile!Y356=0),"---",Profile!Y355)),Profile!Y355)</f>
        <v>---</v>
      </c>
      <c s="239" r="X327">
        <f>AB327+X326</f>
        <v>0</v>
      </c>
      <c s="796" r="Y327">
        <f>AC327+Y326</f>
        <v>0</v>
      </c>
      <c s="702" r="Z327"/>
      <c s="289" r="AA327">
        <f>IF(Profile!Y355,IF((Profile!O355=0),0,(Profile!O355-MAX(Profile!O$44:O354))),0)</f>
        <v>0</v>
      </c>
      <c s="605" r="AB327">
        <f>SIN(RADIANS(Profile!Y355))*AA327</f>
        <v>0</v>
      </c>
      <c s="605" r="AC327">
        <f>COS(RADIANS(Profile!Y355))*AA327</f>
        <v>0</v>
      </c>
      <c s="348" r="AD327">
        <f>IF((AJ$15=TRUE),X327,NA())</f>
        <v>0</v>
      </c>
      <c s="348" r="AE327">
        <f>IF((AJ$15=TRUE),Y327,NA())</f>
        <v>0</v>
      </c>
      <c t="str" s="348" r="AF327">
        <f>IF(Profile!L355,Y327,NA())</f>
        <v>#N/A:explicit</v>
      </c>
      <c s="348" r="AG327">
        <f>Profile!T355*E$40</f>
        <v>0</v>
      </c>
      <c t="str" s="348" r="AH327">
        <f>IF((AK$15=TRUE),IF(ISNUMBER(Profile!Y355),IF(ISNUMBER(Profile!Y356),(((X327+((F$63/2)*COS(RADIANS(Profile!Y356))))+(X327+((F$63/2)*COS(RADIANS(Profile!Y355)))))/2),(X327+((F$63/2)*COS(RADIANS(Profile!Y355))))),AH326),0)</f>
        <v>#VALUE!:notNumber:For input string: "---"</v>
      </c>
      <c t="str" s="348" r="AI327">
        <f>IF((AK$15=TRUE),IF(ISNUMBER(Profile!Y355),IF(ISNUMBER(Profile!Y356),(((Y327-((F$63/2)*SIN(RADIANS(Profile!Y356))))+(Y327-((F$63/2)*SIN(RADIANS(Profile!Y355)))))/2),(Y327-((F$63/2)*SIN(RADIANS(Profile!Y355))))),AI326),0)</f>
        <v>#VALUE!:notNumber:For input string: "---"</v>
      </c>
      <c t="str" s="348" r="AJ327">
        <f>IF((AK$15=TRUE),IF(ISNUMBER(Profile!Y355),IF(ISNUMBER(Profile!Y356),(((X327-((F$63/2)*COS(RADIANS(Profile!Y356))))+(X327-((F$63/2)*COS(RADIANS(Profile!Y355)))))/2),(X327-((F$63/2)*COS(RADIANS(Profile!Y355))))),AJ326),0)</f>
        <v>#VALUE!:notNumber:For input string: "---"</v>
      </c>
      <c t="str" s="799" r="AK327">
        <f>IF((AK$15=TRUE),IF(ISNUMBER(Profile!Y355),IF(ISNUMBER(Profile!Y356),(((Y327+((F$63/2)*SIN(RADIANS(Profile!Y356))))+(Y327+((F$63/2)*SIN(RADIANS(Profile!Y355)))))/2),(Y327+((F$63/2)*SIN(RADIANS(Profile!Y355))))),AK326),0)</f>
        <v>#VALUE!:notNumber:For input string: "---"</v>
      </c>
      <c s="51" r="AL327"/>
      <c s="125" r="AM327"/>
    </row>
    <row r="328">
      <c s="125" r="A328"/>
      <c s="125" r="B328"/>
      <c s="125" r="C328"/>
      <c s="125" r="D328"/>
      <c s="125" r="E328"/>
      <c s="125" r="F328"/>
      <c s="125" r="G328"/>
      <c s="125" r="H328"/>
      <c s="125" r="I328"/>
      <c s="125" r="J328"/>
      <c s="125" r="K328"/>
      <c s="125" r="L328"/>
      <c s="125" r="M328"/>
      <c s="125" r="N328"/>
      <c s="125" r="O328"/>
      <c s="125" r="P328"/>
      <c s="125" r="Q328"/>
      <c s="125" r="R328"/>
      <c s="125" r="S328"/>
      <c s="822" r="T328"/>
      <c t="str" s="309" r="U328">
        <f>IF((Profile!L356&gt;0),Profile!L356,"")</f>
        <v/>
      </c>
      <c t="str" s="861" r="V328">
        <f>IF((Profile!O356&gt;0),Profile!O356,"---")</f>
        <v>---</v>
      </c>
      <c t="str" s="861" r="W328">
        <f>IF((Profile!Y356=0),IF((Profile!Y355=0),"---",IF((Profile!Y357=0),"---",Profile!Y356)),Profile!Y356)</f>
        <v>---</v>
      </c>
      <c s="239" r="X328">
        <f>AB328+X327</f>
        <v>0</v>
      </c>
      <c s="796" r="Y328">
        <f>AC328+Y327</f>
        <v>0</v>
      </c>
      <c s="702" r="Z328"/>
      <c s="289" r="AA328">
        <f>IF(Profile!Y356,IF((Profile!O356=0),0,(Profile!O356-MAX(Profile!O$44:O355))),0)</f>
        <v>0</v>
      </c>
      <c s="605" r="AB328">
        <f>SIN(RADIANS(Profile!Y356))*AA328</f>
        <v>0</v>
      </c>
      <c s="605" r="AC328">
        <f>COS(RADIANS(Profile!Y356))*AA328</f>
        <v>0</v>
      </c>
      <c s="348" r="AD328">
        <f>IF((AJ$15=TRUE),X328,NA())</f>
        <v>0</v>
      </c>
      <c s="348" r="AE328">
        <f>IF((AJ$15=TRUE),Y328,NA())</f>
        <v>0</v>
      </c>
      <c t="str" s="348" r="AF328">
        <f>IF(Profile!L356,Y328,NA())</f>
        <v>#N/A:explicit</v>
      </c>
      <c s="348" r="AG328">
        <f>Profile!T356*E$40</f>
        <v>0</v>
      </c>
      <c t="str" s="348" r="AH328">
        <f>IF((AK$15=TRUE),IF(ISNUMBER(Profile!Y356),IF(ISNUMBER(Profile!Y357),(((X328+((F$63/2)*COS(RADIANS(Profile!Y357))))+(X328+((F$63/2)*COS(RADIANS(Profile!Y356)))))/2),(X328+((F$63/2)*COS(RADIANS(Profile!Y356))))),AH327),0)</f>
        <v>#VALUE!:notNumber:For input string: "---"</v>
      </c>
      <c t="str" s="348" r="AI328">
        <f>IF((AK$15=TRUE),IF(ISNUMBER(Profile!Y356),IF(ISNUMBER(Profile!Y357),(((Y328-((F$63/2)*SIN(RADIANS(Profile!Y357))))+(Y328-((F$63/2)*SIN(RADIANS(Profile!Y356)))))/2),(Y328-((F$63/2)*SIN(RADIANS(Profile!Y356))))),AI327),0)</f>
        <v>#VALUE!:notNumber:For input string: "---"</v>
      </c>
      <c t="str" s="348" r="AJ328">
        <f>IF((AK$15=TRUE),IF(ISNUMBER(Profile!Y356),IF(ISNUMBER(Profile!Y357),(((X328-((F$63/2)*COS(RADIANS(Profile!Y357))))+(X328-((F$63/2)*COS(RADIANS(Profile!Y356)))))/2),(X328-((F$63/2)*COS(RADIANS(Profile!Y356))))),AJ327),0)</f>
        <v>#VALUE!:notNumber:For input string: "---"</v>
      </c>
      <c t="str" s="799" r="AK328">
        <f>IF((AK$15=TRUE),IF(ISNUMBER(Profile!Y356),IF(ISNUMBER(Profile!Y357),(((Y328+((F$63/2)*SIN(RADIANS(Profile!Y357))))+(Y328+((F$63/2)*SIN(RADIANS(Profile!Y356)))))/2),(Y328+((F$63/2)*SIN(RADIANS(Profile!Y356))))),AK327),0)</f>
        <v>#VALUE!:notNumber:For input string: "---"</v>
      </c>
      <c s="51" r="AL328"/>
      <c s="125" r="AM328"/>
    </row>
    <row r="329">
      <c s="125" r="A329"/>
      <c s="125" r="B329"/>
      <c s="125" r="C329"/>
      <c s="125" r="D329"/>
      <c s="125" r="E329"/>
      <c s="125" r="F329"/>
      <c s="125" r="G329"/>
      <c s="125" r="H329"/>
      <c s="125" r="I329"/>
      <c s="125" r="J329"/>
      <c s="125" r="K329"/>
      <c s="125" r="L329"/>
      <c s="125" r="M329"/>
      <c s="125" r="N329"/>
      <c s="125" r="O329"/>
      <c s="125" r="P329"/>
      <c s="125" r="Q329"/>
      <c s="125" r="R329"/>
      <c s="125" r="S329"/>
      <c s="822" r="T329"/>
      <c t="str" s="309" r="U329">
        <f>IF((Profile!L357&gt;0),Profile!L357,"")</f>
        <v/>
      </c>
      <c t="str" s="861" r="V329">
        <f>IF((Profile!O357&gt;0),Profile!O357,"---")</f>
        <v>---</v>
      </c>
      <c t="str" s="861" r="W329">
        <f>IF((Profile!Y357=0),IF((Profile!Y356=0),"---",IF((Profile!Y358=0),"---",Profile!Y357)),Profile!Y357)</f>
        <v>---</v>
      </c>
      <c s="239" r="X329">
        <f>AB329+X328</f>
        <v>0</v>
      </c>
      <c s="796" r="Y329">
        <f>AC329+Y328</f>
        <v>0</v>
      </c>
      <c s="702" r="Z329"/>
      <c s="289" r="AA329">
        <f>IF(Profile!Y357,IF((Profile!O357=0),0,(Profile!O357-MAX(Profile!O$44:O356))),0)</f>
        <v>0</v>
      </c>
      <c s="605" r="AB329">
        <f>SIN(RADIANS(Profile!Y357))*AA329</f>
        <v>0</v>
      </c>
      <c s="605" r="AC329">
        <f>COS(RADIANS(Profile!Y357))*AA329</f>
        <v>0</v>
      </c>
      <c s="348" r="AD329">
        <f>IF((AJ$15=TRUE),X329,NA())</f>
        <v>0</v>
      </c>
      <c s="348" r="AE329">
        <f>IF((AJ$15=TRUE),Y329,NA())</f>
        <v>0</v>
      </c>
      <c t="str" s="348" r="AF329">
        <f>IF(Profile!L357,Y329,NA())</f>
        <v>#N/A:explicit</v>
      </c>
      <c s="348" r="AG329">
        <f>Profile!T357*E$40</f>
        <v>0</v>
      </c>
      <c t="str" s="348" r="AH329">
        <f>IF((AK$15=TRUE),IF(ISNUMBER(Profile!Y357),IF(ISNUMBER(Profile!Y358),(((X329+((F$63/2)*COS(RADIANS(Profile!Y358))))+(X329+((F$63/2)*COS(RADIANS(Profile!Y357)))))/2),(X329+((F$63/2)*COS(RADIANS(Profile!Y357))))),AH328),0)</f>
        <v>#VALUE!:notNumber:For input string: "---"</v>
      </c>
      <c t="str" s="348" r="AI329">
        <f>IF((AK$15=TRUE),IF(ISNUMBER(Profile!Y357),IF(ISNUMBER(Profile!Y358),(((Y329-((F$63/2)*SIN(RADIANS(Profile!Y358))))+(Y329-((F$63/2)*SIN(RADIANS(Profile!Y357)))))/2),(Y329-((F$63/2)*SIN(RADIANS(Profile!Y357))))),AI328),0)</f>
        <v>#VALUE!:notNumber:For input string: "---"</v>
      </c>
      <c t="str" s="348" r="AJ329">
        <f>IF((AK$15=TRUE),IF(ISNUMBER(Profile!Y357),IF(ISNUMBER(Profile!Y358),(((X329-((F$63/2)*COS(RADIANS(Profile!Y358))))+(X329-((F$63/2)*COS(RADIANS(Profile!Y357)))))/2),(X329-((F$63/2)*COS(RADIANS(Profile!Y357))))),AJ328),0)</f>
        <v>#VALUE!:notNumber:For input string: "---"</v>
      </c>
      <c t="str" s="799" r="AK329">
        <f>IF((AK$15=TRUE),IF(ISNUMBER(Profile!Y357),IF(ISNUMBER(Profile!Y358),(((Y329+((F$63/2)*SIN(RADIANS(Profile!Y358))))+(Y329+((F$63/2)*SIN(RADIANS(Profile!Y357)))))/2),(Y329+((F$63/2)*SIN(RADIANS(Profile!Y357))))),AK328),0)</f>
        <v>#VALUE!:notNumber:For input string: "---"</v>
      </c>
      <c s="51" r="AL329"/>
      <c s="125" r="AM329"/>
    </row>
    <row r="330">
      <c s="125" r="A330"/>
      <c s="125" r="B330"/>
      <c s="125" r="C330"/>
      <c s="125" r="D330"/>
      <c s="125" r="E330"/>
      <c s="125" r="F330"/>
      <c s="125" r="G330"/>
      <c s="125" r="H330"/>
      <c s="125" r="I330"/>
      <c s="125" r="J330"/>
      <c s="125" r="K330"/>
      <c s="125" r="L330"/>
      <c s="125" r="M330"/>
      <c s="125" r="N330"/>
      <c s="125" r="O330"/>
      <c s="125" r="P330"/>
      <c s="125" r="Q330"/>
      <c s="125" r="R330"/>
      <c s="125" r="S330"/>
      <c s="822" r="T330"/>
      <c t="str" s="309" r="U330">
        <f>IF((Profile!L358&gt;0),Profile!L358,"")</f>
        <v/>
      </c>
      <c t="str" s="861" r="V330">
        <f>IF((Profile!O358&gt;0),Profile!O358,"---")</f>
        <v>---</v>
      </c>
      <c t="str" s="861" r="W330">
        <f>IF((Profile!Y358=0),IF((Profile!Y357=0),"---",IF((Profile!Y359=0),"---",Profile!Y358)),Profile!Y358)</f>
        <v>---</v>
      </c>
      <c s="239" r="X330">
        <f>AB330+X329</f>
        <v>0</v>
      </c>
      <c s="796" r="Y330">
        <f>AC330+Y329</f>
        <v>0</v>
      </c>
      <c s="702" r="Z330"/>
      <c s="289" r="AA330">
        <f>IF(Profile!Y358,IF((Profile!O358=0),0,(Profile!O358-MAX(Profile!O$44:O357))),0)</f>
        <v>0</v>
      </c>
      <c s="605" r="AB330">
        <f>SIN(RADIANS(Profile!Y358))*AA330</f>
        <v>0</v>
      </c>
      <c s="605" r="AC330">
        <f>COS(RADIANS(Profile!Y358))*AA330</f>
        <v>0</v>
      </c>
      <c s="348" r="AD330">
        <f>IF((AJ$15=TRUE),X330,NA())</f>
        <v>0</v>
      </c>
      <c s="348" r="AE330">
        <f>IF((AJ$15=TRUE),Y330,NA())</f>
        <v>0</v>
      </c>
      <c t="str" s="348" r="AF330">
        <f>IF(Profile!L358,Y330,NA())</f>
        <v>#N/A:explicit</v>
      </c>
      <c s="348" r="AG330">
        <f>Profile!T358*E$40</f>
        <v>0</v>
      </c>
      <c t="str" s="348" r="AH330">
        <f>IF((AK$15=TRUE),IF(ISNUMBER(Profile!Y358),IF(ISNUMBER(Profile!Y359),(((X330+((F$63/2)*COS(RADIANS(Profile!Y359))))+(X330+((F$63/2)*COS(RADIANS(Profile!Y358)))))/2),(X330+((F$63/2)*COS(RADIANS(Profile!Y358))))),AH329),0)</f>
        <v>#VALUE!:notNumber:For input string: "---"</v>
      </c>
      <c t="str" s="348" r="AI330">
        <f>IF((AK$15=TRUE),IF(ISNUMBER(Profile!Y358),IF(ISNUMBER(Profile!Y359),(((Y330-((F$63/2)*SIN(RADIANS(Profile!Y359))))+(Y330-((F$63/2)*SIN(RADIANS(Profile!Y358)))))/2),(Y330-((F$63/2)*SIN(RADIANS(Profile!Y358))))),AI329),0)</f>
        <v>#VALUE!:notNumber:For input string: "---"</v>
      </c>
      <c t="str" s="348" r="AJ330">
        <f>IF((AK$15=TRUE),IF(ISNUMBER(Profile!Y358),IF(ISNUMBER(Profile!Y359),(((X330-((F$63/2)*COS(RADIANS(Profile!Y359))))+(X330-((F$63/2)*COS(RADIANS(Profile!Y358)))))/2),(X330-((F$63/2)*COS(RADIANS(Profile!Y358))))),AJ329),0)</f>
        <v>#VALUE!:notNumber:For input string: "---"</v>
      </c>
      <c t="str" s="799" r="AK330">
        <f>IF((AK$15=TRUE),IF(ISNUMBER(Profile!Y358),IF(ISNUMBER(Profile!Y359),(((Y330+((F$63/2)*SIN(RADIANS(Profile!Y359))))+(Y330+((F$63/2)*SIN(RADIANS(Profile!Y358)))))/2),(Y330+((F$63/2)*SIN(RADIANS(Profile!Y358))))),AK329),0)</f>
        <v>#VALUE!:notNumber:For input string: "---"</v>
      </c>
      <c s="51" r="AL330"/>
      <c s="125" r="AM330"/>
    </row>
    <row r="331">
      <c s="125" r="A331"/>
      <c s="125" r="B331"/>
      <c s="125" r="C331"/>
      <c s="125" r="D331"/>
      <c s="125" r="E331"/>
      <c s="125" r="F331"/>
      <c s="125" r="G331"/>
      <c s="125" r="H331"/>
      <c s="125" r="I331"/>
      <c s="125" r="J331"/>
      <c s="125" r="K331"/>
      <c s="125" r="L331"/>
      <c s="125" r="M331"/>
      <c s="125" r="N331"/>
      <c s="125" r="O331"/>
      <c s="125" r="P331"/>
      <c s="125" r="Q331"/>
      <c s="125" r="R331"/>
      <c s="125" r="S331"/>
      <c s="822" r="T331"/>
      <c t="str" s="309" r="U331">
        <f>IF((Profile!L359&gt;0),Profile!L359,"")</f>
        <v/>
      </c>
      <c t="str" s="861" r="V331">
        <f>IF((Profile!O359&gt;0),Profile!O359,"---")</f>
        <v>---</v>
      </c>
      <c t="str" s="861" r="W331">
        <f>IF((Profile!Y359=0),IF((Profile!Y358=0),"---",IF((Profile!Y360=0),"---",Profile!Y359)),Profile!Y359)</f>
        <v>---</v>
      </c>
      <c s="239" r="X331">
        <f>AB331+X330</f>
        <v>0</v>
      </c>
      <c s="796" r="Y331">
        <f>AC331+Y330</f>
        <v>0</v>
      </c>
      <c s="702" r="Z331"/>
      <c s="289" r="AA331">
        <f>IF(Profile!Y359,IF((Profile!O359=0),0,(Profile!O359-MAX(Profile!O$44:O358))),0)</f>
        <v>0</v>
      </c>
      <c s="605" r="AB331">
        <f>SIN(RADIANS(Profile!Y359))*AA331</f>
        <v>0</v>
      </c>
      <c s="605" r="AC331">
        <f>COS(RADIANS(Profile!Y359))*AA331</f>
        <v>0</v>
      </c>
      <c s="348" r="AD331">
        <f>IF((AJ$15=TRUE),X331,NA())</f>
        <v>0</v>
      </c>
      <c s="348" r="AE331">
        <f>IF((AJ$15=TRUE),Y331,NA())</f>
        <v>0</v>
      </c>
      <c t="str" s="348" r="AF331">
        <f>IF(Profile!L359,Y331,NA())</f>
        <v>#N/A:explicit</v>
      </c>
      <c s="348" r="AG331">
        <f>Profile!T359*E$40</f>
        <v>0</v>
      </c>
      <c t="str" s="348" r="AH331">
        <f>IF((AK$15=TRUE),IF(ISNUMBER(Profile!Y359),IF(ISNUMBER(Profile!Y360),(((X331+((F$63/2)*COS(RADIANS(Profile!Y360))))+(X331+((F$63/2)*COS(RADIANS(Profile!Y359)))))/2),(X331+((F$63/2)*COS(RADIANS(Profile!Y359))))),AH330),0)</f>
        <v>#VALUE!:notNumber:For input string: "---"</v>
      </c>
      <c t="str" s="348" r="AI331">
        <f>IF((AK$15=TRUE),IF(ISNUMBER(Profile!Y359),IF(ISNUMBER(Profile!Y360),(((Y331-((F$63/2)*SIN(RADIANS(Profile!Y360))))+(Y331-((F$63/2)*SIN(RADIANS(Profile!Y359)))))/2),(Y331-((F$63/2)*SIN(RADIANS(Profile!Y359))))),AI330),0)</f>
        <v>#VALUE!:notNumber:For input string: "---"</v>
      </c>
      <c t="str" s="348" r="AJ331">
        <f>IF((AK$15=TRUE),IF(ISNUMBER(Profile!Y359),IF(ISNUMBER(Profile!Y360),(((X331-((F$63/2)*COS(RADIANS(Profile!Y360))))+(X331-((F$63/2)*COS(RADIANS(Profile!Y359)))))/2),(X331-((F$63/2)*COS(RADIANS(Profile!Y359))))),AJ330),0)</f>
        <v>#VALUE!:notNumber:For input string: "---"</v>
      </c>
      <c t="str" s="799" r="AK331">
        <f>IF((AK$15=TRUE),IF(ISNUMBER(Profile!Y359),IF(ISNUMBER(Profile!Y360),(((Y331+((F$63/2)*SIN(RADIANS(Profile!Y360))))+(Y331+((F$63/2)*SIN(RADIANS(Profile!Y359)))))/2),(Y331+((F$63/2)*SIN(RADIANS(Profile!Y359))))),AK330),0)</f>
        <v>#VALUE!:notNumber:For input string: "---"</v>
      </c>
      <c s="51" r="AL331"/>
      <c s="125" r="AM331"/>
    </row>
    <row r="332">
      <c s="125" r="A332"/>
      <c s="125" r="B332"/>
      <c s="125" r="C332"/>
      <c s="125" r="D332"/>
      <c s="125" r="E332"/>
      <c s="125" r="F332"/>
      <c s="125" r="G332"/>
      <c s="125" r="H332"/>
      <c s="125" r="I332"/>
      <c s="125" r="J332"/>
      <c s="125" r="K332"/>
      <c s="125" r="L332"/>
      <c s="125" r="M332"/>
      <c s="125" r="N332"/>
      <c s="125" r="O332"/>
      <c s="125" r="P332"/>
      <c s="125" r="Q332"/>
      <c s="125" r="R332"/>
      <c s="125" r="S332"/>
      <c s="822" r="T332"/>
      <c t="str" s="309" r="U332">
        <f>IF((Profile!L360&gt;0),Profile!L360,"")</f>
        <v/>
      </c>
      <c t="str" s="861" r="V332">
        <f>IF((Profile!O360&gt;0),Profile!O360,"---")</f>
        <v>---</v>
      </c>
      <c t="str" s="861" r="W332">
        <f>IF((Profile!Y360=0),IF((Profile!Y359=0),"---",IF((Profile!Y361=0),"---",Profile!Y360)),Profile!Y360)</f>
        <v>---</v>
      </c>
      <c s="239" r="X332">
        <f>AB332+X331</f>
        <v>0</v>
      </c>
      <c s="796" r="Y332">
        <f>AC332+Y331</f>
        <v>0</v>
      </c>
      <c s="702" r="Z332"/>
      <c s="289" r="AA332">
        <f>IF(Profile!Y360,IF((Profile!O360=0),0,(Profile!O360-MAX(Profile!O$44:O359))),0)</f>
        <v>0</v>
      </c>
      <c s="605" r="AB332">
        <f>SIN(RADIANS(Profile!Y360))*AA332</f>
        <v>0</v>
      </c>
      <c s="605" r="AC332">
        <f>COS(RADIANS(Profile!Y360))*AA332</f>
        <v>0</v>
      </c>
      <c s="348" r="AD332">
        <f>IF((AJ$15=TRUE),X332,NA())</f>
        <v>0</v>
      </c>
      <c s="348" r="AE332">
        <f>IF((AJ$15=TRUE),Y332,NA())</f>
        <v>0</v>
      </c>
      <c t="str" s="348" r="AF332">
        <f>IF(Profile!L360,Y332,NA())</f>
        <v>#N/A:explicit</v>
      </c>
      <c s="348" r="AG332">
        <f>Profile!T360*E$40</f>
        <v>0</v>
      </c>
      <c t="str" s="348" r="AH332">
        <f>IF((AK$15=TRUE),IF(ISNUMBER(Profile!Y360),IF(ISNUMBER(Profile!Y361),(((X332+((F$63/2)*COS(RADIANS(Profile!Y361))))+(X332+((F$63/2)*COS(RADIANS(Profile!Y360)))))/2),(X332+((F$63/2)*COS(RADIANS(Profile!Y360))))),AH331),0)</f>
        <v>#VALUE!:notNumber:For input string: "---"</v>
      </c>
      <c t="str" s="348" r="AI332">
        <f>IF((AK$15=TRUE),IF(ISNUMBER(Profile!Y360),IF(ISNUMBER(Profile!Y361),(((Y332-((F$63/2)*SIN(RADIANS(Profile!Y361))))+(Y332-((F$63/2)*SIN(RADIANS(Profile!Y360)))))/2),(Y332-((F$63/2)*SIN(RADIANS(Profile!Y360))))),AI331),0)</f>
        <v>#VALUE!:notNumber:For input string: "---"</v>
      </c>
      <c t="str" s="348" r="AJ332">
        <f>IF((AK$15=TRUE),IF(ISNUMBER(Profile!Y360),IF(ISNUMBER(Profile!Y361),(((X332-((F$63/2)*COS(RADIANS(Profile!Y361))))+(X332-((F$63/2)*COS(RADIANS(Profile!Y360)))))/2),(X332-((F$63/2)*COS(RADIANS(Profile!Y360))))),AJ331),0)</f>
        <v>#VALUE!:notNumber:For input string: "---"</v>
      </c>
      <c t="str" s="799" r="AK332">
        <f>IF((AK$15=TRUE),IF(ISNUMBER(Profile!Y360),IF(ISNUMBER(Profile!Y361),(((Y332+((F$63/2)*SIN(RADIANS(Profile!Y361))))+(Y332+((F$63/2)*SIN(RADIANS(Profile!Y360)))))/2),(Y332+((F$63/2)*SIN(RADIANS(Profile!Y360))))),AK331),0)</f>
        <v>#VALUE!:notNumber:For input string: "---"</v>
      </c>
      <c s="51" r="AL332"/>
      <c s="125" r="AM332"/>
    </row>
    <row r="333">
      <c s="125" r="A333"/>
      <c s="125" r="B333"/>
      <c s="125" r="C333"/>
      <c s="125" r="D333"/>
      <c s="125" r="E333"/>
      <c s="125" r="F333"/>
      <c s="125" r="G333"/>
      <c s="125" r="H333"/>
      <c s="125" r="I333"/>
      <c s="125" r="J333"/>
      <c s="125" r="K333"/>
      <c s="125" r="L333"/>
      <c s="125" r="M333"/>
      <c s="125" r="N333"/>
      <c s="125" r="O333"/>
      <c s="125" r="P333"/>
      <c s="125" r="Q333"/>
      <c s="125" r="R333"/>
      <c s="125" r="S333"/>
      <c s="822" r="T333"/>
      <c t="str" s="236" r="U333">
        <f>IF((Profile!L361&gt;0),Profile!L361,"")</f>
        <v/>
      </c>
      <c t="str" s="529" r="V333">
        <f>IF((Profile!O361&gt;0),Profile!O361,"---")</f>
        <v>---</v>
      </c>
      <c t="str" s="529" r="W333">
        <f>IF((Profile!Y361=0),IF((Profile!Y360=0),"---",IF((Profile!Y362=0),"---",Profile!Y361)),Profile!Y361)</f>
        <v>---</v>
      </c>
      <c s="543" r="X333">
        <f>AB333+X332</f>
        <v>0</v>
      </c>
      <c s="86" r="Y333">
        <f>AC333+Y332</f>
        <v>0</v>
      </c>
      <c s="68" r="Z333"/>
      <c s="40" r="AA333">
        <f>IF(Profile!Y361,IF((Profile!O361=0),0,(Profile!O361-MAX(Profile!O$44:O360))),0)</f>
        <v>0</v>
      </c>
      <c s="800" r="AB333">
        <f>SIN(RADIANS(Profile!Y361))*AA333</f>
        <v>0</v>
      </c>
      <c s="800" r="AC333">
        <f>COS(RADIANS(Profile!Y361))*AA333</f>
        <v>0</v>
      </c>
      <c s="345" r="AD333">
        <f>IF((AJ$15=TRUE),X333,NA())</f>
        <v>0</v>
      </c>
      <c s="345" r="AE333">
        <f>IF((AJ$15=TRUE),Y333,NA())</f>
        <v>0</v>
      </c>
      <c t="str" s="345" r="AF333">
        <f>IF(Profile!L361,Y333,NA())</f>
        <v>#N/A:explicit</v>
      </c>
      <c s="345" r="AG333">
        <f>Profile!T361*E$40</f>
        <v>0</v>
      </c>
      <c t="str" s="345" r="AH333">
        <f>IF((AK$15=TRUE),IF(ISNUMBER(Profile!Y361),IF(ISNUMBER(Profile!Y362),(((X333+((F$63/2)*COS(RADIANS(Profile!Y362))))+(X333+((F$63/2)*COS(RADIANS(Profile!Y361)))))/2),(X333+((F$63/2)*COS(RADIANS(Profile!Y361))))),AH332),0)</f>
        <v>#VALUE!:notNumber:For input string: "---"</v>
      </c>
      <c t="str" s="345" r="AI333">
        <f>IF((AK$15=TRUE),IF(ISNUMBER(Profile!Y361),IF(ISNUMBER(Profile!Y362),(((Y333-((F$63/2)*SIN(RADIANS(Profile!Y362))))+(Y333-((F$63/2)*SIN(RADIANS(Profile!Y361)))))/2),(Y333-((F$63/2)*SIN(RADIANS(Profile!Y361))))),AI332),0)</f>
        <v>#VALUE!:notNumber:For input string: "---"</v>
      </c>
      <c t="str" s="345" r="AJ333">
        <f>IF((AK$15=TRUE),IF(ISNUMBER(Profile!Y361),IF(ISNUMBER(Profile!Y362),(((X333-((F$63/2)*COS(RADIANS(Profile!Y362))))+(X333-((F$63/2)*COS(RADIANS(Profile!Y361)))))/2),(X333-((F$63/2)*COS(RADIANS(Profile!Y361))))),AJ332),0)</f>
        <v>#VALUE!:notNumber:For input string: "---"</v>
      </c>
      <c t="str" s="586" r="AK333">
        <f>IF((AK$15=TRUE),IF(ISNUMBER(Profile!Y361),IF(ISNUMBER(Profile!Y362),(((Y333+((F$63/2)*SIN(RADIANS(Profile!Y362))))+(Y333+((F$63/2)*SIN(RADIANS(Profile!Y361)))))/2),(Y333+((F$63/2)*SIN(RADIANS(Profile!Y361))))),AK332),0)</f>
        <v>#VALUE!:notNumber:For input string: "---"</v>
      </c>
      <c s="51" r="AL333"/>
      <c s="125" r="AM333"/>
    </row>
    <row r="334">
      <c s="125" r="A334"/>
      <c s="125" r="B334"/>
      <c s="125" r="C334"/>
      <c s="125" r="D334"/>
      <c s="125" r="E334"/>
      <c s="125" r="F334"/>
      <c s="125" r="G334"/>
      <c s="125" r="H334"/>
      <c s="125" r="I334"/>
      <c s="125" r="J334"/>
      <c s="125" r="K334"/>
      <c s="125" r="L334"/>
      <c s="125" r="M334"/>
      <c s="125" r="N334"/>
      <c s="125" r="O334"/>
      <c s="125" r="P334"/>
      <c s="125" r="Q334"/>
      <c s="125" r="R334"/>
      <c s="125" r="S334"/>
      <c s="125" r="T334"/>
      <c s="442" r="U334"/>
      <c s="442" r="V334"/>
      <c s="442" r="W334"/>
      <c s="442" r="X334"/>
      <c s="442" r="Y334"/>
      <c s="442" r="Z334"/>
      <c s="442" r="AA334"/>
      <c s="442" r="AB334"/>
      <c s="442" r="AC334"/>
      <c s="442" r="AD334"/>
      <c s="442" r="AE334"/>
      <c s="442" r="AF334"/>
      <c s="442" r="AG334"/>
      <c s="442" r="AH334"/>
      <c s="442" r="AI334"/>
      <c s="442" r="AJ334"/>
      <c s="442" r="AK334"/>
      <c s="125" r="AL334"/>
      <c s="125" r="AM334"/>
    </row>
  </sheetData>
  <mergeCells count="3">
    <mergeCell ref="D50:I52"/>
    <mergeCell ref="D56:I56"/>
    <mergeCell ref="D57:I58"/>
  </mergeCells>
  <dataValidations>
    <dataValidation showErrorMessage="1" sqref="E19:H19 E23 G23:H23 E29 G29:H29 E31 G31:H31 E35 E37" allowBlank="1" prompt=": " type="whole" operator="notEqual" showInputMessage="1">
      <formula1>-431.2126</formula1>
    </dataValidation>
  </dataValidations>
  <legacy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2" style="125" width="9.14"/>
    <col min="3" customWidth="1" max="3" style="125" width="75.57"/>
    <col min="4" customWidth="1" max="4" style="125" width="9.57"/>
    <col min="5" customWidth="1" max="6" style="125" width="9.29"/>
    <col min="7" customWidth="1" max="7" style="125" width="9.14"/>
    <col min="8" customWidth="1" max="12" style="125" width="9.29"/>
    <col min="13" customWidth="1" max="13" style="125" width="7.0"/>
    <col min="14" customWidth="1" max="14" style="125" width="7.14"/>
    <col min="15" customWidth="1" max="15" style="125" width="9.29"/>
    <col min="16" customWidth="1" max="18" style="125" width="0.86"/>
    <col min="19" customWidth="1" max="32" style="125" width="9.29"/>
    <col min="33" max="33" style="125" width="7.29"/>
    <col min="34" customWidth="1" max="34" style="125" width="7.0"/>
    <col min="35" customWidth="1" max="35" style="125" width="9.29"/>
    <col min="36" customWidth="1" max="37" style="642" width="0.86"/>
    <col min="38" customWidth="1" max="38" style="125" width="0.86"/>
    <col min="39" customWidth="1" max="39" style="125" width="11.57"/>
    <col min="40" customWidth="1" max="42" style="125" width="9.29"/>
    <col min="43" customWidth="1" max="43" style="125" width="9.14"/>
    <col min="44" customWidth="1" max="45" style="125" width="9.29"/>
    <col min="46" customWidth="1" max="46" style="125" width="9.14"/>
    <col min="47" customWidth="1" max="47" style="125" width="9.29"/>
    <col min="48" customWidth="1" max="48" style="125" width="9.14"/>
    <col min="49" customWidth="1" max="49" style="125" width="9.29"/>
    <col min="50" customWidth="1" max="55" style="125" width="9.14"/>
    <col min="56" customWidth="1" max="57" style="125" width="10.86"/>
    <col min="58" customWidth="1" max="58" style="341" width="2.71"/>
    <col min="59" customWidth="1" max="59" style="761" width="13.14"/>
    <col min="60" customWidth="1" max="60" style="125" width="13.14"/>
    <col min="61" customWidth="1" max="90" style="125" width="9.14"/>
  </cols>
  <sheetData>
    <row r="1">
      <c s="125" r="A1"/>
      <c s="125" r="B1"/>
      <c s="125" r="C1"/>
      <c s="125" r="D1"/>
      <c s="125" r="E1"/>
      <c s="125" r="F1"/>
      <c s="125" r="G1"/>
      <c s="125" r="H1"/>
      <c s="125" r="I1"/>
      <c s="125" r="J1"/>
      <c s="125" r="K1"/>
      <c s="125" r="L1"/>
      <c s="125" r="M1"/>
      <c s="125" r="N1"/>
      <c s="125" r="O1"/>
      <c s="125" r="P1"/>
      <c s="125" r="Q1"/>
      <c s="125" r="R1"/>
      <c s="125" r="S1"/>
      <c s="125" r="T1"/>
      <c s="125" r="U1"/>
      <c s="125" r="V1"/>
      <c s="125" r="W1"/>
      <c s="125" r="X1"/>
      <c s="125" r="Y1"/>
      <c s="125" r="Z1"/>
      <c s="125" r="AA1"/>
      <c s="125" r="AB1"/>
      <c s="125" r="AC1"/>
      <c s="125" r="AD1"/>
      <c s="125" r="AE1"/>
      <c s="125" r="AF1"/>
      <c s="125" r="AG1"/>
      <c s="125" r="AH1"/>
      <c s="125" r="AI1"/>
      <c s="642" r="AJ1"/>
      <c s="642" r="AK1"/>
      <c s="125" r="AL1"/>
      <c s="125" r="AM1"/>
      <c s="125" r="AN1"/>
      <c s="125" r="AO1"/>
      <c s="125" r="AP1"/>
      <c s="125" r="AQ1"/>
      <c s="125" r="AR1"/>
      <c s="125" r="AS1"/>
      <c s="757" r="AT1"/>
      <c s="757" r="AU1"/>
      <c s="395" r="AV1"/>
      <c s="395" r="AW1"/>
      <c s="125" r="AX1"/>
      <c s="125" r="AY1"/>
      <c s="125" r="AZ1"/>
      <c s="125" r="BA1"/>
      <c s="125" r="BB1"/>
      <c s="125" r="BC1"/>
      <c s="125" r="BD1"/>
      <c s="125" r="BE1"/>
      <c s="341" r="BF1"/>
      <c s="761" r="BG1"/>
      <c s="125" r="BH1"/>
      <c s="125" r="BI1"/>
      <c s="125" r="BJ1"/>
      <c s="125" r="BK1"/>
      <c s="125" r="BL1"/>
      <c s="125" r="BM1"/>
      <c s="125" r="BN1"/>
      <c s="125" r="BO1"/>
      <c s="125" r="BP1"/>
      <c s="125" r="BQ1"/>
      <c s="125" r="BR1"/>
      <c s="125" r="BS1"/>
      <c s="125" r="BT1"/>
      <c s="125" r="BU1"/>
      <c s="125" r="BV1"/>
      <c s="125" r="BW1"/>
      <c s="125" r="BX1"/>
      <c s="125" r="BY1"/>
      <c s="125" r="BZ1"/>
      <c s="125" r="CA1"/>
      <c s="125" r="CB1"/>
      <c s="125" r="CC1"/>
      <c s="125" r="CD1"/>
      <c s="125" r="CE1"/>
      <c s="125" r="CF1"/>
      <c s="125" r="CG1"/>
      <c s="125" r="CH1"/>
      <c s="125" r="CI1"/>
      <c s="125" r="CJ1"/>
      <c s="125" r="CK1"/>
      <c s="125" r="CL1"/>
    </row>
    <row r="2">
      <c s="125" r="A2"/>
      <c s="125" r="B2"/>
      <c s="125" r="C2"/>
      <c s="125" r="D2"/>
      <c s="125" r="E2"/>
      <c s="125" r="F2"/>
      <c s="125" r="G2"/>
      <c s="125" r="H2"/>
      <c s="125" r="I2"/>
      <c s="125" r="J2"/>
      <c s="125" r="K2"/>
      <c s="125" r="L2"/>
      <c s="125" r="M2"/>
      <c s="125" r="N2"/>
      <c s="642" r="O2"/>
      <c s="125" r="P2"/>
      <c s="125" r="Q2"/>
      <c s="125" r="R2"/>
      <c s="125" r="S2"/>
      <c s="125" r="T2"/>
      <c s="125" r="U2"/>
      <c s="125" r="V2"/>
      <c s="125" r="W2"/>
      <c s="125" r="X2"/>
      <c s="125" r="Y2"/>
      <c s="125" r="Z2"/>
      <c s="125" r="AA2"/>
      <c s="125" r="AB2"/>
      <c s="125" r="AC2"/>
      <c s="125" r="AD2"/>
      <c s="125" r="AE2"/>
      <c s="125" r="AF2"/>
      <c s="125" r="AG2"/>
      <c s="125" r="AH2"/>
      <c s="125" r="AI2"/>
      <c s="642" r="AJ2"/>
      <c s="642" r="AK2"/>
      <c s="125" r="AL2"/>
      <c s="125" r="AM2"/>
      <c s="125" r="AN2"/>
      <c s="341" r="AO2"/>
      <c s="125" r="AP2"/>
      <c s="125" r="AQ2"/>
      <c s="125" r="AR2"/>
      <c s="125" r="AS2"/>
      <c s="125" r="AT2"/>
      <c s="125" r="AU2"/>
      <c s="288" r="AV2"/>
      <c s="171" r="AW2"/>
      <c s="125" r="AX2"/>
      <c s="515" r="AY2"/>
      <c s="125" r="AZ2"/>
      <c s="125" r="BA2"/>
      <c s="125" r="BB2"/>
      <c s="125" r="BC2"/>
      <c s="125" r="BD2"/>
      <c s="125" r="BE2"/>
      <c s="341" r="BF2"/>
      <c s="761" r="BG2"/>
      <c s="125" r="BH2"/>
      <c s="125" r="BI2"/>
      <c s="125" r="BJ2"/>
      <c s="125" r="BK2"/>
      <c s="125" r="BL2"/>
      <c s="125" r="BM2"/>
      <c s="125" r="BN2"/>
      <c s="125" r="BO2"/>
      <c s="125" r="BP2"/>
      <c s="125" r="BQ2"/>
      <c s="125" r="BR2"/>
      <c s="125" r="BS2"/>
      <c s="125" r="BT2"/>
      <c s="125" r="BU2"/>
      <c s="125" r="BV2"/>
      <c s="125" r="BW2"/>
      <c s="125" r="BX2"/>
      <c s="125" r="BY2"/>
      <c s="125" r="BZ2"/>
      <c s="125" r="CA2"/>
      <c s="125" r="CB2"/>
      <c s="125" r="CC2"/>
      <c s="125" r="CD2"/>
      <c s="125" r="CE2"/>
      <c s="125" r="CF2"/>
      <c s="125" r="CG2"/>
      <c s="125" r="CH2"/>
      <c s="125" r="CI2"/>
      <c s="125" r="CJ2"/>
      <c s="125" r="CK2"/>
      <c s="125" r="CL2"/>
    </row>
    <row customHeight="1" r="3" ht="13.5">
      <c s="125" r="A3"/>
      <c s="361" r="B3"/>
      <c s="361" r="C3"/>
      <c s="361" r="D3"/>
      <c s="361" r="E3"/>
      <c s="361" r="F3"/>
      <c s="361" r="G3"/>
      <c s="361" r="H3"/>
      <c s="361" r="I3"/>
      <c s="125" r="J3"/>
      <c s="361" r="K3"/>
      <c s="361" r="L3"/>
      <c s="361" r="M3"/>
      <c s="361" r="N3"/>
      <c s="361" r="O3"/>
      <c s="361" r="P3"/>
      <c s="361" r="Q3"/>
      <c s="361" r="R3"/>
      <c s="361" r="S3"/>
      <c s="361" r="T3"/>
      <c s="361" r="U3"/>
      <c s="361" r="V3"/>
      <c s="361" r="W3"/>
      <c s="361" r="X3"/>
      <c s="361" r="Y3"/>
      <c s="361" r="Z3"/>
      <c s="361" r="AA3"/>
      <c s="361" r="AB3"/>
      <c s="361" r="AC3"/>
      <c s="125" r="AD3"/>
      <c s="361" r="AE3"/>
      <c s="361" r="AF3"/>
      <c s="361" r="AG3"/>
      <c s="361" r="AH3"/>
      <c s="361" r="AI3"/>
      <c s="854" r="AJ3"/>
      <c s="854" r="AK3"/>
      <c s="361" r="AL3"/>
      <c s="361" r="AM3"/>
      <c s="361" r="AN3"/>
      <c s="361" r="AO3"/>
      <c s="361" r="AP3"/>
      <c s="361" r="AQ3"/>
      <c s="361" r="AR3"/>
      <c s="361" r="AS3"/>
      <c s="361" r="AT3"/>
      <c s="361" r="AU3"/>
      <c s="296" r="AV3"/>
      <c s="643" r="AW3"/>
      <c s="125" r="AX3"/>
      <c s="361" r="AY3"/>
      <c s="361" r="AZ3"/>
      <c s="361" r="BA3"/>
      <c s="361" r="BB3"/>
      <c s="361" r="BC3"/>
      <c s="361" r="BD3"/>
      <c s="361" r="BE3"/>
      <c s="531" r="BF3"/>
      <c s="320" r="BG3"/>
      <c s="361" r="BH3"/>
      <c s="361" r="BI3"/>
      <c s="361" r="BJ3"/>
      <c s="361" r="BK3"/>
      <c s="361" r="BL3"/>
      <c s="361" r="BM3"/>
      <c s="361" r="BN3"/>
      <c s="361" r="BO3"/>
      <c s="361" r="BP3"/>
      <c s="125" r="BQ3"/>
      <c s="361" r="BR3"/>
      <c s="361" r="BS3"/>
      <c s="125" r="BT3"/>
      <c s="361" r="BU3"/>
      <c s="361" r="BV3"/>
      <c s="361" r="BW3"/>
      <c s="361" r="BX3"/>
      <c s="125" r="BY3"/>
      <c s="361" r="BZ3"/>
      <c s="361" r="CA3"/>
      <c s="361" r="CB3"/>
      <c s="361" r="CC3"/>
      <c s="361" r="CD3"/>
      <c s="361" r="CE3"/>
      <c s="361" r="CF3"/>
      <c s="361" r="CG3"/>
      <c s="361" r="CH3"/>
      <c s="361" r="CI3"/>
      <c s="361" r="CJ3"/>
      <c s="361" r="CK3"/>
      <c s="361" r="CL3"/>
    </row>
    <row customHeight="1" r="4" ht="14.25">
      <c s="822" r="A4"/>
      <c t="s" s="170" r="B4">
        <v>441</v>
      </c>
      <c s="814" r="C4"/>
      <c s="814" r="D4"/>
      <c s="814" r="E4"/>
      <c s="814" r="F4"/>
      <c s="814" r="G4"/>
      <c s="814" r="H4"/>
      <c s="481" r="I4"/>
      <c s="702" r="J4"/>
      <c t="s" s="170" r="K4">
        <v>442</v>
      </c>
      <c s="814" r="L4"/>
      <c s="814" r="M4"/>
      <c s="814" r="N4"/>
      <c s="814" r="O4"/>
      <c s="814" r="P4"/>
      <c s="814" r="Q4"/>
      <c s="814" r="R4"/>
      <c s="814" r="S4"/>
      <c s="814" r="T4"/>
      <c s="814" r="U4"/>
      <c s="814" r="V4"/>
      <c s="814" r="W4"/>
      <c s="814" r="X4"/>
      <c s="814" r="Y4"/>
      <c s="814" r="Z4"/>
      <c s="814" r="AA4"/>
      <c s="814" r="AB4"/>
      <c s="481" r="AC4"/>
      <c s="702" r="AD4"/>
      <c t="s" s="170" r="AE4">
        <v>443</v>
      </c>
      <c s="814" r="AF4"/>
      <c s="814" r="AG4"/>
      <c s="814" r="AH4"/>
      <c s="814" r="AI4"/>
      <c s="378" r="AJ4"/>
      <c s="378" r="AK4"/>
      <c s="814" r="AL4"/>
      <c s="814" r="AM4"/>
      <c s="814" r="AN4"/>
      <c s="814" r="AO4"/>
      <c s="814" r="AP4"/>
      <c s="814" r="AQ4"/>
      <c s="814" r="AR4"/>
      <c s="814" r="AS4"/>
      <c s="814" r="AT4"/>
      <c s="814" r="AU4"/>
      <c s="814" r="AV4"/>
      <c s="481" r="AW4"/>
      <c s="702" r="AX4"/>
      <c t="s" s="170" r="AY4">
        <v>444</v>
      </c>
      <c s="814" r="AZ4"/>
      <c s="814" r="BA4"/>
      <c s="814" r="BB4"/>
      <c s="814" r="BC4"/>
      <c s="79" r="BD4"/>
      <c s="79" r="BE4"/>
      <c s="824" r="BF4"/>
      <c s="814" r="BG4"/>
      <c s="814" r="BH4"/>
      <c s="814" r="BI4"/>
      <c s="814" r="BJ4"/>
      <c s="814" r="BK4"/>
      <c s="814" r="BL4"/>
      <c s="814" r="BM4"/>
      <c s="814" r="BN4"/>
      <c s="814" r="BO4"/>
      <c s="481" r="BP4"/>
      <c s="702" r="BQ4"/>
      <c t="s" s="547" r="BR4">
        <v>445</v>
      </c>
      <c s="547" r="BS4"/>
      <c s="702" r="BT4"/>
      <c t="s" s="659" r="BU4">
        <v>446</v>
      </c>
      <c s="561" r="BV4"/>
      <c s="561" r="BW4"/>
      <c s="98" r="BX4"/>
      <c s="702" r="BY4"/>
      <c t="s" s="659" r="BZ4">
        <v>447</v>
      </c>
      <c s="516" r="CA4"/>
      <c s="516" r="CB4"/>
      <c s="516" r="CC4"/>
      <c s="516" r="CD4"/>
      <c s="516" r="CE4"/>
      <c s="516" r="CF4"/>
      <c s="516" r="CG4"/>
      <c s="516" r="CH4"/>
      <c s="516" r="CI4"/>
      <c s="516" r="CJ4"/>
      <c s="516" r="CK4"/>
      <c s="180" r="CL4"/>
    </row>
    <row customHeight="1" r="5" ht="14.25">
      <c s="822" r="A5"/>
      <c s="381" r="B5"/>
      <c s="756" r="C5"/>
      <c s="756" r="D5"/>
      <c s="756" r="E5"/>
      <c s="756" r="F5"/>
      <c s="756" r="G5"/>
      <c s="756" r="H5"/>
      <c s="731" r="I5"/>
      <c s="702" r="J5"/>
      <c s="381" r="K5"/>
      <c t="s" s="756" r="L5">
        <v>448</v>
      </c>
      <c s="756" r="M5"/>
      <c s="756" r="N5"/>
      <c s="756" r="O5"/>
      <c s="756" r="P5"/>
      <c s="756" r="Q5"/>
      <c s="756" r="R5"/>
      <c s="756" r="S5"/>
      <c s="756" r="T5"/>
      <c s="756" r="U5"/>
      <c s="756" r="V5"/>
      <c s="756" r="W5"/>
      <c s="756" r="X5"/>
      <c s="756" r="Y5"/>
      <c s="756" r="Z5"/>
      <c s="756" r="AA5"/>
      <c s="756" r="AB5"/>
      <c s="731" r="AC5"/>
      <c s="702" r="AD5"/>
      <c s="381" r="AE5"/>
      <c s="756" r="AF5"/>
      <c s="756" r="AG5"/>
      <c s="756" r="AH5"/>
      <c s="756" r="AI5"/>
      <c s="274" r="AJ5"/>
      <c s="274" r="AK5"/>
      <c s="756" r="AL5"/>
      <c s="756" r="AM5"/>
      <c s="756" r="AN5"/>
      <c s="756" r="AO5"/>
      <c s="756" r="AP5"/>
      <c s="756" r="AQ5"/>
      <c s="756" r="AR5"/>
      <c s="756" r="AS5"/>
      <c s="756" r="AT5"/>
      <c s="756" r="AU5"/>
      <c s="756" r="AV5"/>
      <c s="731" r="AW5"/>
      <c s="702" r="AX5"/>
      <c s="381" r="AY5"/>
      <c t="s" s="756" r="AZ5">
        <v>449</v>
      </c>
      <c s="756" r="BA5"/>
      <c s="756" r="BB5"/>
      <c s="756" r="BC5"/>
      <c s="756" r="BD5"/>
      <c s="756" r="BE5"/>
      <c s="593" r="BF5"/>
      <c s="756" r="BG5"/>
      <c s="756" r="BH5"/>
      <c s="756" r="BI5"/>
      <c s="756" r="BJ5"/>
      <c s="756" r="BK5"/>
      <c s="756" r="BL5"/>
      <c s="756" r="BM5"/>
      <c s="756" r="BN5"/>
      <c s="756" r="BO5"/>
      <c s="731" r="BP5"/>
      <c s="702" r="BQ5"/>
      <c s="178" r="BR5"/>
      <c s="689" r="BS5"/>
      <c s="702" r="BT5"/>
      <c s="738" r="BU5"/>
      <c t="s" s="101" r="BV5">
        <v>450</v>
      </c>
      <c s="664" r="BW5"/>
      <c s="726" r="BX5"/>
      <c s="702" r="BY5"/>
      <c t="s" s="332" r="BZ5">
        <v>451</v>
      </c>
      <c s="314" r="CA5"/>
      <c s="314" r="CB5"/>
      <c s="314" r="CC5"/>
      <c s="314" r="CD5"/>
      <c s="314" r="CE5"/>
      <c s="314" r="CF5"/>
      <c s="314" r="CG5"/>
      <c s="149" r="CH5"/>
      <c s="149" r="CI5"/>
      <c s="149" r="CJ5"/>
      <c s="149" r="CK5"/>
      <c s="602" r="CL5"/>
    </row>
    <row customHeight="1" r="6" ht="13.5">
      <c s="822" r="A6"/>
      <c s="406" r="B6"/>
      <c t="s" s="729" r="C6">
        <v>312</v>
      </c>
      <c s="566" r="D6"/>
      <c s="566" r="E6"/>
      <c s="566" r="F6"/>
      <c s="566" r="G6"/>
      <c s="566" r="H6"/>
      <c s="418" r="I6"/>
      <c s="702" r="J6"/>
      <c s="695" r="K6"/>
      <c s="566" r="L6"/>
      <c s="566" r="M6"/>
      <c s="566" r="N6"/>
      <c s="566" r="O6"/>
      <c s="566" r="P6"/>
      <c s="566" r="Q6"/>
      <c s="566" r="R6"/>
      <c s="566" r="S6"/>
      <c s="566" r="T6"/>
      <c s="566" r="U6"/>
      <c s="566" r="V6"/>
      <c s="566" r="W6"/>
      <c s="566" r="X6"/>
      <c s="566" r="Y6"/>
      <c s="566" r="Z6"/>
      <c s="566" r="AA6"/>
      <c s="566" r="AB6"/>
      <c s="704" r="AC6"/>
      <c s="702" r="AD6"/>
      <c s="406" r="AE6"/>
      <c t="s" s="729" r="AF6">
        <v>452</v>
      </c>
      <c s="566" r="AG6"/>
      <c s="566" r="AH6"/>
      <c s="566" r="AI6"/>
      <c s="529" r="AJ6"/>
      <c s="529" r="AK6"/>
      <c s="566" r="AL6"/>
      <c s="566" r="AM6"/>
      <c s="529" r="AN6"/>
      <c s="529" r="AO6"/>
      <c s="529" r="AP6"/>
      <c s="529" r="AQ6"/>
      <c s="529" r="AR6"/>
      <c s="886" r="AS6"/>
      <c s="886" r="AT6"/>
      <c s="886" r="AU6"/>
      <c s="886" r="AV6"/>
      <c s="418" r="AW6"/>
      <c s="702" r="AX6"/>
      <c s="695" r="AY6"/>
      <c s="566" r="AZ6"/>
      <c s="566" r="BA6"/>
      <c s="566" r="BB6"/>
      <c s="566" r="BC6"/>
      <c s="566" r="BD6"/>
      <c s="566" r="BE6"/>
      <c s="71" r="BF6"/>
      <c s="566" r="BG6"/>
      <c s="566" r="BH6"/>
      <c s="566" r="BI6"/>
      <c s="566" r="BJ6"/>
      <c s="566" r="BK6"/>
      <c s="566" r="BL6"/>
      <c s="566" r="BM6"/>
      <c s="566" r="BN6"/>
      <c s="566" r="BO6"/>
      <c s="704" r="BP6"/>
      <c s="702" r="BQ6"/>
      <c s="408" r="BR6"/>
      <c s="66" r="BS6"/>
      <c s="702" r="BT6"/>
      <c t="s" s="495" r="BU6">
        <v>453</v>
      </c>
      <c t="s" s="912" r="BV6">
        <v>454</v>
      </c>
      <c t="s" s="912" r="BW6">
        <v>455</v>
      </c>
      <c t="s" s="66" r="BX6">
        <v>456</v>
      </c>
      <c s="702" r="BY6"/>
      <c s="734" r="BZ6">
        <v>1</v>
      </c>
      <c s="903" r="CA6"/>
      <c s="903" r="CB6"/>
      <c s="903" r="CC6"/>
      <c s="903" r="CD6"/>
      <c s="903" r="CE6"/>
      <c s="631" r="CF6"/>
      <c s="631" r="CG6"/>
      <c s="406" r="CH6"/>
      <c s="886" r="CI6"/>
      <c s="886" r="CJ6"/>
      <c s="886" r="CK6"/>
      <c s="418" r="CL6"/>
    </row>
    <row customHeight="1" r="7" ht="14.25">
      <c s="822" r="A7"/>
      <c s="406" r="B7"/>
      <c t="s" s="756" r="C7">
        <v>457</v>
      </c>
      <c s="756" r="D7"/>
      <c s="756" r="E7"/>
      <c s="756" r="F7"/>
      <c s="756" r="G7"/>
      <c s="756" r="H7"/>
      <c s="418" r="I7"/>
      <c s="51" r="J7"/>
      <c s="412" r="K7"/>
      <c s="412" r="L7"/>
      <c s="412" r="M7"/>
      <c s="412" r="N7"/>
      <c s="412" r="O7"/>
      <c s="442" r="P7"/>
      <c s="442" r="Q7"/>
      <c s="442" r="R7"/>
      <c s="412" r="S7"/>
      <c s="412" r="T7"/>
      <c s="412" r="U7"/>
      <c s="412" r="V7"/>
      <c s="412" r="W7"/>
      <c s="412" r="X7"/>
      <c s="412" r="Y7"/>
      <c s="412" r="Z7"/>
      <c s="412" r="AA7"/>
      <c s="412" r="AB7"/>
      <c s="412" r="AC7"/>
      <c s="822" r="AD7"/>
      <c s="406" r="AE7"/>
      <c s="756" r="AF7"/>
      <c s="756" r="AG7"/>
      <c s="756" r="AH7"/>
      <c s="756" r="AI7"/>
      <c s="274" r="AJ7"/>
      <c s="274" r="AK7"/>
      <c s="756" r="AL7"/>
      <c t="str" s="7" r="AM7">
        <f>IF(ISBLANK(AE48),"---",AE48)</f>
        <v>Facies #1</v>
      </c>
      <c s="550" r="AN7"/>
      <c t="s" s="525" r="AO7">
        <v>458</v>
      </c>
      <c s="756" r="AP7"/>
      <c t="str" s="7" r="AQ7">
        <f>IF(ISBLANK(AE120),"---",AE120)</f>
        <v>Facies #3</v>
      </c>
      <c s="550" r="AR7"/>
      <c t="s" s="816" r="AS7">
        <v>458</v>
      </c>
      <c s="886" r="AT7"/>
      <c s="886" r="AU7"/>
      <c s="886" r="AV7"/>
      <c s="418" r="AW7"/>
      <c s="51" r="AX7"/>
      <c s="412" r="AY7"/>
      <c s="412" r="AZ7"/>
      <c s="412" r="BA7"/>
      <c s="412" r="BB7"/>
      <c s="412" r="BC7"/>
      <c s="412" r="BD7"/>
      <c s="412" r="BE7"/>
      <c s="364" r="BF7"/>
      <c s="191" r="BG7"/>
      <c s="412" r="BH7"/>
      <c s="412" r="BI7"/>
      <c s="412" r="BJ7"/>
      <c s="412" r="BK7"/>
      <c s="412" r="BL7"/>
      <c s="412" r="BM7"/>
      <c s="412" r="BN7"/>
      <c s="412" r="BO7"/>
      <c s="412" r="BP7"/>
      <c s="822" r="BQ7"/>
      <c s="103" r="BR7">
        <v>1</v>
      </c>
      <c s="426" r="BS7"/>
      <c s="702" r="BT7"/>
      <c s="426" r="BU7"/>
      <c s="426" r="BV7"/>
      <c s="426" r="BW7"/>
      <c t="str" s="81" r="BX7">
        <f>IF((((BU7*BV7)*BW7)&gt;0),(BW7/((BU7*BV7)^0.5)),"---")</f>
        <v>---</v>
      </c>
      <c s="702" r="BY7"/>
      <c s="734" r="BZ7">
        <v>2</v>
      </c>
      <c s="903" r="CA7"/>
      <c s="903" r="CB7"/>
      <c s="903" r="CC7"/>
      <c s="903" r="CD7"/>
      <c s="903" r="CE7"/>
      <c s="631" r="CF7"/>
      <c s="631" r="CG7"/>
      <c s="406" r="CH7"/>
      <c s="886" r="CI7"/>
      <c s="886" r="CJ7"/>
      <c s="886" r="CK7"/>
      <c s="418" r="CL7"/>
    </row>
    <row customHeight="1" r="8" ht="13.5">
      <c s="822" r="A8"/>
      <c s="406" r="B8"/>
      <c s="886" r="C8"/>
      <c s="886" r="D8"/>
      <c s="886" r="E8"/>
      <c s="886" r="F8"/>
      <c s="886" r="G8"/>
      <c s="886" r="H8"/>
      <c s="418" r="I8"/>
      <c s="702" r="J8"/>
      <c s="627" r="K8"/>
      <c s="250" r="L8"/>
      <c s="250" r="M8"/>
      <c s="250" r="N8"/>
      <c s="801" r="O8"/>
      <c s="899" r="P8"/>
      <c s="498" r="Q8"/>
      <c s="140" r="R8"/>
      <c s="487" r="S8"/>
      <c s="250" r="T8"/>
      <c s="250" r="U8"/>
      <c s="250" r="V8"/>
      <c s="250" r="W8"/>
      <c s="250" r="X8"/>
      <c s="250" r="Y8"/>
      <c s="250" r="Z8"/>
      <c s="250" r="AA8"/>
      <c s="250" r="AB8"/>
      <c s="801" r="AC8"/>
      <c s="702" r="AD8"/>
      <c s="406" r="AE8"/>
      <c s="886" r="AF8"/>
      <c s="886" r="AG8"/>
      <c s="886" r="AH8"/>
      <c s="886" r="AI8"/>
      <c s="861" r="AJ8"/>
      <c s="861" r="AK8"/>
      <c s="886" r="AL8"/>
      <c s="886" r="AM8"/>
      <c s="127" r="AN8"/>
      <c s="321" r="AO8"/>
      <c s="886" r="AP8"/>
      <c s="886" r="AQ8"/>
      <c s="127" r="AR8"/>
      <c s="321" r="AS8"/>
      <c s="886" r="AT8"/>
      <c s="886" r="AU8"/>
      <c s="886" r="AV8"/>
      <c s="418" r="AW8"/>
      <c s="702" r="AX8"/>
      <c s="508" r="AY8"/>
      <c s="640" r="AZ8"/>
      <c s="640" r="BA8"/>
      <c s="640" r="BB8"/>
      <c s="640" r="BC8"/>
      <c s="863" r="BD8"/>
      <c s="688" r="BE8"/>
      <c t="str" s="150" r="BF8">
        <f>IF((BF11=1),BF13,IF((BF11=2),BF14,IF((BF11=3),BF15,"")))</f>
        <v>Point Bar</v>
      </c>
      <c t="s" s="311" r="BG8">
        <v>459</v>
      </c>
      <c s="640" r="BH8"/>
      <c s="640" r="BI8"/>
      <c s="640" r="BJ8"/>
      <c s="640" r="BK8"/>
      <c s="640" r="BL8"/>
      <c s="640" r="BM8"/>
      <c s="640" r="BN8"/>
      <c s="640" r="BO8"/>
      <c s="688" r="BP8"/>
      <c s="702" r="BQ8"/>
      <c s="92" r="BR8">
        <v>2</v>
      </c>
      <c s="550" r="BS8"/>
      <c s="702" r="BT8"/>
      <c s="550" r="BU8"/>
      <c s="550" r="BV8"/>
      <c s="550" r="BW8"/>
      <c t="str" s="837" r="BX8">
        <f>IF((((BU8*BV8)*BW8)&gt;0),(BW8/((BU8*BV8)^0.5)),"---")</f>
        <v>---</v>
      </c>
      <c s="702" r="BY8"/>
      <c s="734" r="BZ8">
        <v>3</v>
      </c>
      <c s="903" r="CA8"/>
      <c s="903" r="CB8"/>
      <c s="903" r="CC8"/>
      <c s="903" r="CD8"/>
      <c s="903" r="CE8"/>
      <c s="631" r="CF8"/>
      <c s="631" r="CG8"/>
      <c s="406" r="CH8"/>
      <c s="886" r="CI8"/>
      <c s="886" r="CJ8"/>
      <c s="886" r="CK8"/>
      <c t="s" s="823" r="CL8">
        <v>460</v>
      </c>
    </row>
    <row customHeight="1" r="9" ht="13.5">
      <c s="822" r="A9"/>
      <c s="406" r="B9"/>
      <c t="s" s="886" r="C9">
        <v>461</v>
      </c>
      <c s="886" r="D9"/>
      <c s="886" r="E9"/>
      <c s="886" r="F9"/>
      <c s="886" r="G9"/>
      <c s="886" r="H9"/>
      <c s="418" r="I9"/>
      <c s="702" r="J9"/>
      <c s="723" r="K9"/>
      <c s="782" r="L9"/>
      <c s="782" r="M9"/>
      <c s="782" r="N9"/>
      <c s="39" r="O9"/>
      <c s="899" r="P9"/>
      <c s="498" r="Q9"/>
      <c s="140" r="R9"/>
      <c s="329" r="S9"/>
      <c s="782" r="T9"/>
      <c s="782" r="U9"/>
      <c s="782" r="V9"/>
      <c s="782" r="W9"/>
      <c s="782" r="X9"/>
      <c s="782" r="Y9"/>
      <c s="782" r="Z9"/>
      <c s="782" r="AA9"/>
      <c s="782" r="AB9"/>
      <c s="39" r="AC9"/>
      <c s="702" r="AD9"/>
      <c s="406" r="AE9"/>
      <c s="886" r="AF9"/>
      <c s="886" r="AG9"/>
      <c s="886" r="AH9"/>
      <c s="886" r="AI9"/>
      <c s="861" r="AJ9"/>
      <c s="861" r="AK9"/>
      <c s="886" r="AL9"/>
      <c t="str" s="836" r="AM9">
        <f>IF(ISBLANK(AE84),"---",AE84)</f>
        <v>Facies #2</v>
      </c>
      <c s="550" r="AN9"/>
      <c t="s" s="816" r="AO9">
        <v>458</v>
      </c>
      <c s="886" r="AP9"/>
      <c t="str" s="836" r="AQ9">
        <f>IF(ISBLANK(AE156),"---",AE156)</f>
        <v>Facies #4</v>
      </c>
      <c s="550" r="AR9"/>
      <c t="s" s="816" r="AS9">
        <v>458</v>
      </c>
      <c s="886" r="AT9"/>
      <c s="886" r="AU9"/>
      <c s="886" r="AV9"/>
      <c s="418" r="AW9"/>
      <c s="702" r="AX9"/>
      <c s="57" r="AY9"/>
      <c s="551" r="AZ9"/>
      <c s="551" r="BA9"/>
      <c s="551" r="BB9"/>
      <c s="551" r="BC9"/>
      <c s="551" r="BD9"/>
      <c s="671" r="BE9"/>
      <c t="str" s="150" r="BF9">
        <f>$D$33</f>
        <v>---</v>
      </c>
      <c t="s" s="815" r="BG9">
        <v>459</v>
      </c>
      <c s="551" r="BH9"/>
      <c s="551" r="BI9"/>
      <c s="551" r="BJ9"/>
      <c s="551" r="BK9"/>
      <c s="551" r="BL9"/>
      <c s="551" r="BM9"/>
      <c s="551" r="BN9"/>
      <c s="551" r="BO9"/>
      <c s="671" r="BP9"/>
      <c s="702" r="BQ9"/>
      <c s="92" r="BR9">
        <v>3</v>
      </c>
      <c s="550" r="BS9"/>
      <c s="702" r="BT9"/>
      <c s="550" r="BU9"/>
      <c s="550" r="BV9"/>
      <c s="550" r="BW9"/>
      <c t="str" s="837" r="BX9">
        <f>IF((((BU9*BV9)*BW9)&gt;0),(BW9/((BU9*BV9)^0.5)),"---")</f>
        <v>---</v>
      </c>
      <c s="702" r="BY9"/>
      <c s="734" r="BZ9">
        <v>4</v>
      </c>
      <c s="903" r="CA9"/>
      <c s="903" r="CB9"/>
      <c s="903" r="CC9"/>
      <c s="903" r="CD9"/>
      <c s="903" r="CE9"/>
      <c s="631" r="CF9"/>
      <c s="631" r="CG9"/>
      <c s="406" r="CH9"/>
      <c s="886" r="CI9"/>
      <c s="886" r="CJ9"/>
      <c s="886" r="CK9"/>
      <c t="s" s="212" r="CL9">
        <v>462</v>
      </c>
    </row>
    <row customHeight="1" r="10" ht="13.5">
      <c s="822" r="A10"/>
      <c s="406" r="B10"/>
      <c s="886" r="C10"/>
      <c t="s" s="886" r="D10">
        <v>463</v>
      </c>
      <c s="886" r="E10"/>
      <c s="886" r="F10"/>
      <c s="886" r="G10"/>
      <c s="886" r="H10"/>
      <c s="418" r="I10"/>
      <c s="702" r="J10"/>
      <c s="376" r="K10"/>
      <c t="s" s="440" r="L10">
        <v>464</v>
      </c>
      <c t="s" s="93" r="M10">
        <v>465</v>
      </c>
      <c s="645" r="N10"/>
      <c t="s" s="66" r="O10">
        <v>466</v>
      </c>
      <c s="119" r="P10"/>
      <c s="714" r="Q10"/>
      <c s="140" r="R10"/>
      <c s="908" r="S10"/>
      <c s="551" r="T10"/>
      <c s="551" r="U10"/>
      <c s="551" r="V10"/>
      <c s="551" r="W10"/>
      <c s="551" r="X10"/>
      <c s="551" r="Y10"/>
      <c s="551" r="Z10"/>
      <c s="551" r="AA10"/>
      <c s="551" r="AB10"/>
      <c s="671" r="AC10"/>
      <c s="702" r="AD10"/>
      <c s="695" r="AE10"/>
      <c s="566" r="AF10"/>
      <c s="566" r="AG10"/>
      <c s="566" r="AH10"/>
      <c s="566" r="AI10"/>
      <c s="529" r="AJ10"/>
      <c s="529" r="AK10"/>
      <c s="566" r="AL10"/>
      <c s="566" r="AM10"/>
      <c s="127" r="AN10"/>
      <c s="566" r="AO10"/>
      <c s="566" r="AP10"/>
      <c s="566" r="AQ10"/>
      <c s="127" r="AR10"/>
      <c s="566" r="AS10"/>
      <c s="566" r="AT10"/>
      <c s="566" r="AU10"/>
      <c s="566" r="AV10"/>
      <c s="704" r="AW10"/>
      <c s="702" r="AX10"/>
      <c s="582" r="AY10"/>
      <c s="472" r="AZ10"/>
      <c s="186" r="BA10"/>
      <c s="372" r="BB10"/>
      <c s="372" r="BC10"/>
      <c s="372" r="BD10"/>
      <c s="328" r="BE10"/>
      <c s="150" r="BF10"/>
      <c s="815" r="BG10"/>
      <c s="8" r="BH10"/>
      <c s="551" r="BI10"/>
      <c s="472" r="BJ10"/>
      <c s="472" r="BK10"/>
      <c s="472" r="BL10"/>
      <c s="472" r="BM10"/>
      <c s="472" r="BN10"/>
      <c s="472" r="BO10"/>
      <c s="323" r="BP10"/>
      <c s="702" r="BQ10"/>
      <c s="92" r="BR10">
        <v>4</v>
      </c>
      <c s="550" r="BS10"/>
      <c s="702" r="BT10"/>
      <c s="550" r="BU10"/>
      <c s="550" r="BV10"/>
      <c s="550" r="BW10"/>
      <c t="str" s="837" r="BX10">
        <f>IF((((BU10*BV10)*BW10)&gt;0),(BW10/((BU10*BV10)^0.5)),"---")</f>
        <v>---</v>
      </c>
      <c s="702" r="BY10"/>
      <c s="734" r="BZ10">
        <v>5</v>
      </c>
      <c s="903" r="CA10"/>
      <c s="903" r="CB10"/>
      <c s="903" r="CC10"/>
      <c s="903" r="CD10"/>
      <c s="903" r="CE10"/>
      <c s="631" r="CF10"/>
      <c s="631" r="CG10"/>
      <c s="859" r="CH10"/>
      <c t="s" s="639" r="CI10">
        <v>467</v>
      </c>
      <c t="str" s="446" r="CJ10">
        <f>2&amp;"  -"</f>
        <v>2  -</v>
      </c>
      <c s="115" r="CK10">
        <v>4</v>
      </c>
      <c s="686" r="CL10">
        <f>COUNTIF(CA6:CG30,"&gt;2")-COUNTIF(CA6:CG30,"&gt;4")</f>
        <v>0</v>
      </c>
    </row>
    <row customHeight="1" r="11" ht="14.25">
      <c s="822" r="A11"/>
      <c s="406" r="B11"/>
      <c s="886" r="C11"/>
      <c t="s" s="886" r="D11">
        <v>468</v>
      </c>
      <c s="886" r="E11"/>
      <c s="886" r="F11"/>
      <c s="886" r="G11"/>
      <c s="886" r="H11"/>
      <c s="418" r="I11"/>
      <c s="702" r="J11"/>
      <c s="865" r="K11"/>
      <c t="s" s="742" r="L11">
        <v>469</v>
      </c>
      <c t="str" s="813" r="M11">
        <f>0&amp;"    -"</f>
        <v>0    -</v>
      </c>
      <c s="231" r="N11">
        <v>0.062</v>
      </c>
      <c s="426" r="O11"/>
      <c t="str" s="42" r="P11">
        <f>O11/O$35</f>
        <v>#DIV/0!:divZero</v>
      </c>
      <c t="str" s="619" r="Q11">
        <f>IF(OR((SUM(O$11:O12)=0),(SUM(O11:O$34)=0)),NA(),P11)</f>
        <v>#N/A:explicit</v>
      </c>
      <c t="str" s="140" r="R11">
        <f>IF((R15=1),"Riffle Surface",IF((R15=2),"Bed Surface",IF((R15=3),"Bankfull Channel","")))</f>
        <v>Riffle Surface</v>
      </c>
      <c s="908" r="S11"/>
      <c s="8" r="T11"/>
      <c s="472" r="U11"/>
      <c s="472" r="V11"/>
      <c s="472" r="W11"/>
      <c s="472" r="X11"/>
      <c s="472" r="Y11"/>
      <c s="472" r="Z11"/>
      <c s="472" r="AA11"/>
      <c s="472" r="AB11"/>
      <c s="323" r="AC11"/>
      <c s="51" r="AD11"/>
      <c s="412" r="AE11"/>
      <c s="412" r="AF11"/>
      <c s="412" r="AG11"/>
      <c s="412" r="AH11"/>
      <c s="412" r="AI11"/>
      <c s="130" r="AJ11"/>
      <c s="130" r="AK11"/>
      <c s="442" r="AL11"/>
      <c s="412" r="AM11"/>
      <c s="412" r="AN11"/>
      <c s="412" r="AO11"/>
      <c s="412" r="AP11"/>
      <c s="412" r="AQ11"/>
      <c s="412" r="AR11"/>
      <c s="412" r="AS11"/>
      <c s="412" r="AT11"/>
      <c s="412" r="AU11"/>
      <c s="412" r="AV11"/>
      <c s="412" r="AW11"/>
      <c s="822" r="AX11"/>
      <c s="289" r="AY11"/>
      <c s="914" r="AZ11"/>
      <c t="s" s="52" r="BA11">
        <v>470</v>
      </c>
      <c s="551" r="BB11"/>
      <c s="551" r="BC11"/>
      <c s="551" r="BD11"/>
      <c s="671" r="BE11"/>
      <c s="150" r="BF11">
        <v>1</v>
      </c>
      <c s="815" r="BG11"/>
      <c s="8" r="BH11"/>
      <c s="472" r="BI11"/>
      <c s="472" r="BJ11"/>
      <c s="472" r="BK11"/>
      <c s="472" r="BL11"/>
      <c s="472" r="BM11"/>
      <c s="472" r="BN11"/>
      <c s="472" r="BO11"/>
      <c s="323" r="BP11"/>
      <c s="702" r="BQ11"/>
      <c s="92" r="BR11">
        <v>5</v>
      </c>
      <c s="550" r="BS11"/>
      <c s="702" r="BT11"/>
      <c s="550" r="BU11"/>
      <c s="550" r="BV11"/>
      <c s="550" r="BW11"/>
      <c t="str" s="837" r="BX11">
        <f>IF((((BU11*BV11)*BW11)&gt;0),(BW11/((BU11*BV11)^0.5)),"---")</f>
        <v>---</v>
      </c>
      <c s="702" r="BY11"/>
      <c s="734" r="BZ11">
        <v>6</v>
      </c>
      <c s="903" r="CA11"/>
      <c s="903" r="CB11"/>
      <c s="903" r="CC11"/>
      <c s="903" r="CD11"/>
      <c s="903" r="CE11"/>
      <c s="631" r="CF11"/>
      <c s="631" r="CG11"/>
      <c s="859" r="CH11"/>
      <c t="s" s="639" r="CI11">
        <v>471</v>
      </c>
      <c t="str" s="175" r="CJ11">
        <f>4&amp;"  -"</f>
        <v>4  -</v>
      </c>
      <c s="28" r="CK11">
        <v>6</v>
      </c>
      <c s="91" r="CL11">
        <f>COUNTIF(CA6:CG30,"&gt;4")-COUNTIF(CA6:CG30,"&gt;6")</f>
        <v>0</v>
      </c>
    </row>
    <row customHeight="1" r="12" ht="13.5">
      <c s="822" r="A12"/>
      <c s="406" r="B12"/>
      <c s="886" r="C12"/>
      <c t="s" s="886" r="D12">
        <v>472</v>
      </c>
      <c s="886" r="E12"/>
      <c s="886" r="F12"/>
      <c s="886" r="G12"/>
      <c s="886" r="H12"/>
      <c s="418" r="I12"/>
      <c s="702" r="J12"/>
      <c s="511" r="K12"/>
      <c t="s" s="416" r="L12">
        <v>473</v>
      </c>
      <c t="str" s="425" r="M12">
        <f>0.062&amp;"  -"</f>
        <v>0.062  -</v>
      </c>
      <c s="600" r="N12">
        <v>0.125</v>
      </c>
      <c s="550" r="O12"/>
      <c t="str" s="42" r="P12">
        <f>(O12/O$35)+(SUM(O11:O$11)/O$35)</f>
        <v>#DIV/0!:divZero</v>
      </c>
      <c t="str" s="619" r="Q12">
        <f>IF(OR((SUM(O$11:O13)=0),(SUM(O12:O$34)=0)),NA(),P12)</f>
        <v>#N/A:explicit</v>
      </c>
      <c t="s" s="140" r="R12">
        <v>474</v>
      </c>
      <c s="908" r="S12"/>
      <c s="8" r="T12"/>
      <c s="472" r="U12"/>
      <c s="472" r="V12"/>
      <c s="472" r="W12"/>
      <c s="472" r="X12"/>
      <c s="472" r="Y12"/>
      <c s="472" r="Z12"/>
      <c s="472" r="AA12"/>
      <c s="472" r="AB12"/>
      <c s="323" r="AC12"/>
      <c s="702" r="AD12"/>
      <c t="str" s="34" r="AE12">
        <f>IF((AL19=1),"Weighted pebble count by bed features",IF((AL19=2),"Weighted bed and bank pebble count",IF((AL19=3),"Weighted pebble count by channel facies","---")))</f>
        <v>Weighted pebble count by channel facies</v>
      </c>
      <c s="368" r="AF12"/>
      <c s="368" r="AG12"/>
      <c s="368" r="AH12"/>
      <c s="846" r="AI12"/>
      <c s="901" r="AJ12"/>
      <c s="291" r="AK12"/>
      <c s="140" r="AL12">
        <f>ROUND(IF(AN7,AN7,IF(ISNUMBER(AO7),AO7,0)),0)</f>
        <v>0</v>
      </c>
      <c s="178" r="AM12"/>
      <c s="640" r="AN12"/>
      <c s="640" r="AO12"/>
      <c s="640" r="AP12"/>
      <c s="640" r="AQ12"/>
      <c s="640" r="AR12"/>
      <c s="640" r="AS12"/>
      <c s="640" r="AT12"/>
      <c s="640" r="AU12"/>
      <c s="640" r="AV12"/>
      <c s="688" r="AW12"/>
      <c s="702" r="AX12"/>
      <c t="s" s="289" r="AY12">
        <v>475</v>
      </c>
      <c t="s" s="52" r="AZ12">
        <v>475</v>
      </c>
      <c t="s" s="52" r="BA12">
        <v>476</v>
      </c>
      <c t="s" s="52" r="BB12">
        <v>477</v>
      </c>
      <c s="52" r="BC12"/>
      <c t="s" s="52" r="BD12">
        <v>478</v>
      </c>
      <c s="328" r="BE12"/>
      <c s="150" r="BF12">
        <f>IF((BB32&gt;0),BF11,0)</f>
        <v>0</v>
      </c>
      <c s="815" r="BG12"/>
      <c s="8" r="BH12"/>
      <c s="472" r="BI12"/>
      <c s="472" r="BJ12"/>
      <c s="472" r="BK12"/>
      <c s="472" r="BL12"/>
      <c s="472" r="BM12"/>
      <c s="472" r="BN12"/>
      <c s="472" r="BO12"/>
      <c s="323" r="BP12"/>
      <c s="702" r="BQ12"/>
      <c s="908" r="BR12"/>
      <c t="str" s="210" r="BS12">
        <f>IF(ISNUMBER(AVERAGE(BS7:BS11)),AVERAGE(BS7:BS11),"---")</f>
        <v>---</v>
      </c>
      <c s="702" r="BT12"/>
      <c s="550" r="BU12"/>
      <c s="550" r="BV12"/>
      <c s="550" r="BW12"/>
      <c t="str" s="837" r="BX12">
        <f>IF((((BU12*BV12)*BW12)&gt;0),(BW12/((BU12*BV12)^0.5)),"---")</f>
        <v>---</v>
      </c>
      <c s="702" r="BY12"/>
      <c s="734" r="BZ12">
        <v>7</v>
      </c>
      <c s="903" r="CA12"/>
      <c s="903" r="CB12"/>
      <c s="903" r="CC12"/>
      <c s="903" r="CD12"/>
      <c s="903" r="CE12"/>
      <c s="631" r="CF12"/>
      <c s="631" r="CG12"/>
      <c s="859" r="CH12"/>
      <c t="s" s="639" r="CI12">
        <v>471</v>
      </c>
      <c t="str" s="459" r="CJ12">
        <f>6&amp;"  -"</f>
        <v>6  -</v>
      </c>
      <c s="253" r="CK12">
        <v>8</v>
      </c>
      <c s="91" r="CL12">
        <f>COUNTIF(CA6:CG30,"&gt;6")-COUNTIF(CA6:CG30,"&gt;8")</f>
        <v>0</v>
      </c>
    </row>
    <row customHeight="1" r="13" ht="13.5">
      <c s="822" r="A13"/>
      <c s="406" r="B13"/>
      <c s="886" r="C13"/>
      <c s="886" r="D13"/>
      <c s="886" r="E13"/>
      <c s="886" r="F13"/>
      <c s="886" r="G13"/>
      <c s="886" r="H13"/>
      <c s="418" r="I13"/>
      <c s="702" r="J13"/>
      <c s="217" r="K13"/>
      <c t="s" s="294" r="L13">
        <v>479</v>
      </c>
      <c t="str" s="817" r="M13">
        <f>0.125&amp;"  -"</f>
        <v>0.125  -</v>
      </c>
      <c s="512" r="N13">
        <v>0.25</v>
      </c>
      <c s="550" r="O13"/>
      <c t="str" s="42" r="P13">
        <f>(O13/O$35)+(SUM(O$11:O12)/O$35)</f>
        <v>#DIV/0!:divZero</v>
      </c>
      <c t="str" s="619" r="Q13">
        <f>IF(OR((SUM(O$11:O14)=0),(SUM(O13:O$34)=0)),NA(),P13)</f>
        <v>#N/A:explicit</v>
      </c>
      <c t="str" s="140" r="R13">
        <f>$D$33</f>
        <v>---</v>
      </c>
      <c s="908" r="S13"/>
      <c s="551" r="T13"/>
      <c s="551" r="U13"/>
      <c s="551" r="V13"/>
      <c s="551" r="W13"/>
      <c s="551" r="X13"/>
      <c s="375" r="Y13"/>
      <c s="375" r="Z13"/>
      <c s="375" r="AA13"/>
      <c s="375" r="AB13"/>
      <c s="809" r="AC13"/>
      <c s="702" r="AD13"/>
      <c s="376" r="AE13"/>
      <c t="s" s="440" r="AF13">
        <v>464</v>
      </c>
      <c t="s" s="93" r="AG13">
        <v>465</v>
      </c>
      <c s="645" r="AH13"/>
      <c t="s" s="66" r="AI13">
        <v>480</v>
      </c>
      <c s="872" r="AJ13"/>
      <c s="622" r="AK13"/>
      <c s="492" r="AL13">
        <f>ROUND(IF(AN9,AN9,IF(ISNUMBER(AO9),AO9,0)),0)</f>
        <v>0</v>
      </c>
      <c s="908" r="AM13"/>
      <c s="551" r="AN13"/>
      <c s="551" r="AO13"/>
      <c s="551" r="AP13"/>
      <c s="551" r="AQ13"/>
      <c s="551" r="AR13"/>
      <c s="551" r="AS13"/>
      <c s="551" r="AT13"/>
      <c s="551" r="AU13"/>
      <c s="551" r="AV13"/>
      <c s="671" r="AW13"/>
      <c s="702" r="AX13"/>
      <c t="s" s="289" r="AY13">
        <v>481</v>
      </c>
      <c t="s" s="52" r="AZ13">
        <v>482</v>
      </c>
      <c t="s" s="52" r="BA13">
        <v>482</v>
      </c>
      <c t="s" s="52" r="BB13">
        <v>483</v>
      </c>
      <c s="52" r="BC13"/>
      <c t="s" s="52" r="BD13">
        <v>475</v>
      </c>
      <c s="328" r="BE13"/>
      <c t="s" s="150" r="BF13">
        <v>484</v>
      </c>
      <c t="s" s="815" r="BG13">
        <v>459</v>
      </c>
      <c s="551" r="BH13"/>
      <c s="551" r="BI13"/>
      <c s="551" r="BJ13"/>
      <c s="505" r="BK13"/>
      <c s="505" r="BL13"/>
      <c s="375" r="BM13"/>
      <c s="375" r="BN13"/>
      <c s="375" r="BO13"/>
      <c s="809" r="BP13"/>
      <c s="702" r="BQ13"/>
      <c s="20" r="BR13"/>
      <c s="397" r="BS13"/>
      <c s="702" r="BT13"/>
      <c s="550" r="BU13"/>
      <c s="550" r="BV13"/>
      <c s="550" r="BW13"/>
      <c t="str" s="837" r="BX13">
        <f>IF((((BU13*BV13)*BW13)&gt;0),(BW13/((BU13*BV13)^0.5)),"---")</f>
        <v>---</v>
      </c>
      <c s="702" r="BY13"/>
      <c s="734" r="BZ13">
        <v>8</v>
      </c>
      <c s="903" r="CA13"/>
      <c s="903" r="CB13"/>
      <c s="903" r="CC13"/>
      <c s="903" r="CD13"/>
      <c s="903" r="CE13"/>
      <c s="631" r="CF13"/>
      <c s="631" r="CG13"/>
      <c s="859" r="CH13"/>
      <c t="s" s="639" r="CI13">
        <v>485</v>
      </c>
      <c t="str" s="459" r="CJ13">
        <f>8&amp;"  -"</f>
        <v>8  -</v>
      </c>
      <c s="253" r="CK13">
        <v>11</v>
      </c>
      <c s="91" r="CL13">
        <f>COUNTIF(CA6:CG30,"&gt;8")-COUNTIF(CA6:CG30,"&gt;11")</f>
        <v>0</v>
      </c>
    </row>
    <row customHeight="1" r="14" ht="13.5">
      <c s="822" r="A14"/>
      <c s="406" r="B14"/>
      <c t="s" s="886" r="C14">
        <v>486</v>
      </c>
      <c s="886" r="D14"/>
      <c s="886" r="E14"/>
      <c s="886" r="F14"/>
      <c s="886" r="G14"/>
      <c s="886" r="H14"/>
      <c s="418" r="I14"/>
      <c s="702" r="J14"/>
      <c s="217" r="K14"/>
      <c t="s" s="294" r="L14">
        <v>487</v>
      </c>
      <c t="str" s="817" r="M14">
        <f>0.25&amp;"  -"</f>
        <v>0.25  -</v>
      </c>
      <c s="674" r="N14">
        <v>0.5</v>
      </c>
      <c s="550" r="O14"/>
      <c t="str" s="42" r="P14">
        <f>(O14/O$35)+(SUM(O$11:O13)/O$35)</f>
        <v>#DIV/0!:divZero</v>
      </c>
      <c t="str" s="619" r="Q14">
        <f>IF(OR((SUM(O$11:O15)=0),(SUM(O14:O$34)=0)),NA(),P14)</f>
        <v>#N/A:explicit</v>
      </c>
      <c s="72" r="R14"/>
      <c s="908" r="S14"/>
      <c s="551" r="T14"/>
      <c s="551" r="U14"/>
      <c s="551" r="V14"/>
      <c s="551" r="W14"/>
      <c s="551" r="X14"/>
      <c s="551" r="Y14"/>
      <c s="551" r="Z14"/>
      <c s="551" r="AA14"/>
      <c s="551" r="AB14"/>
      <c s="671" r="AC14"/>
      <c s="702" r="AD14"/>
      <c s="865" r="AE14"/>
      <c t="s" s="742" r="AF14">
        <v>469</v>
      </c>
      <c t="str" s="38" r="AG14">
        <f>0&amp;"    -"</f>
        <v>0    -</v>
      </c>
      <c s="670" r="AH14">
        <v>0.062</v>
      </c>
      <c s="87" r="AI14">
        <f>((IF((AI$74&gt;0),((AI50*AL$12)/AI$74),0)+IF((AI$110&gt;0),((AI86*AL$13)/AI$110),0))+IF((AI$146&gt;0),((AI122*AL$14)/AI$146),0))+IF((AI$182&gt;0),((AI158*AL$15)/AI$182),0)</f>
        <v>0</v>
      </c>
      <c t="str" s="42" r="AJ14">
        <f>(AI14/AI$38)+AJ13</f>
        <v>#DIV/0!:divZero</v>
      </c>
      <c t="str" s="619" r="AK14">
        <f>IF(OR((SUM(AI$14:AI15)=0),(SUM(AI14:AI$37)=0)),NA(),AJ14)</f>
        <v>#N/A:explicit</v>
      </c>
      <c s="72" r="AL14">
        <f>ROUND(IF(AR7,AR7,IF(ISNUMBER(AS7),AS7,0)),0)</f>
        <v>0</v>
      </c>
      <c s="762" r="AM14"/>
      <c s="69" r="AN14"/>
      <c s="69" r="AO14"/>
      <c s="69" r="AP14"/>
      <c s="69" r="AQ14"/>
      <c s="69" r="AR14"/>
      <c s="69" r="AS14"/>
      <c s="69" r="AT14"/>
      <c s="69" r="AU14"/>
      <c s="69" r="AV14"/>
      <c s="532" r="AW14"/>
      <c s="702" r="AX14"/>
      <c t="s" s="495" r="AY14">
        <v>488</v>
      </c>
      <c t="s" s="912" r="AZ14">
        <v>489</v>
      </c>
      <c t="s" s="912" r="BA14">
        <v>489</v>
      </c>
      <c t="s" s="912" r="BB14">
        <v>489</v>
      </c>
      <c s="66" r="BC14"/>
      <c s="495" r="BD14"/>
      <c s="557" r="BE14"/>
      <c t="s" s="150" r="BF14">
        <v>490</v>
      </c>
      <c t="s" s="409" r="BG14">
        <v>459</v>
      </c>
      <c s="551" r="BH14"/>
      <c s="551" r="BI14"/>
      <c s="551" r="BJ14"/>
      <c s="551" r="BK14"/>
      <c s="551" r="BL14"/>
      <c s="551" r="BM14"/>
      <c s="551" r="BN14"/>
      <c s="551" r="BO14"/>
      <c s="671" r="BP14"/>
      <c s="51" r="BQ14"/>
      <c s="442" r="BR14"/>
      <c s="442" r="BS14"/>
      <c s="822" r="BT14"/>
      <c s="550" r="BU14"/>
      <c s="550" r="BV14"/>
      <c s="550" r="BW14"/>
      <c t="str" s="837" r="BX14">
        <f>IF((((BU14*BV14)*BW14)&gt;0),(BW14/((BU14*BV14)^0.5)),"---")</f>
        <v>---</v>
      </c>
      <c s="702" r="BY14"/>
      <c s="734" r="BZ14">
        <v>9</v>
      </c>
      <c s="903" r="CA14"/>
      <c s="903" r="CB14"/>
      <c s="903" r="CC14"/>
      <c s="903" r="CD14"/>
      <c s="903" r="CE14"/>
      <c s="631" r="CF14"/>
      <c s="631" r="CG14"/>
      <c s="859" r="CH14"/>
      <c t="s" s="639" r="CI14">
        <v>485</v>
      </c>
      <c t="str" s="459" r="CJ14">
        <f>11&amp;"  -"</f>
        <v>11  -</v>
      </c>
      <c s="253" r="CK14">
        <v>16</v>
      </c>
      <c s="91" r="CL14">
        <f>COUNTIF(CA6:CG30,"&gt;11")-COUNTIF(CA6:CG30,"&gt;16")</f>
        <v>0</v>
      </c>
    </row>
    <row r="15">
      <c s="822" r="A15"/>
      <c s="406" r="B15"/>
      <c s="886" r="C15"/>
      <c t="s" s="886" r="D15">
        <v>491</v>
      </c>
      <c s="886" r="E15"/>
      <c s="886" r="F15"/>
      <c s="886" r="G15"/>
      <c s="886" r="H15"/>
      <c s="418" r="I15"/>
      <c s="702" r="J15"/>
      <c s="217" r="K15"/>
      <c t="s" s="294" r="L15">
        <v>492</v>
      </c>
      <c t="str" s="534" r="M15">
        <f>0.5&amp;"  -"</f>
        <v>0.5  -</v>
      </c>
      <c s="411" r="N15">
        <v>1</v>
      </c>
      <c s="550" r="O15"/>
      <c t="str" s="42" r="P15">
        <f>(O15/O$35)+(SUM(O$11:O14)/O$35)</f>
        <v>#DIV/0!:divZero</v>
      </c>
      <c t="str" s="619" r="Q15">
        <f>IF(OR((SUM(O$11:O16)=0),(SUM(O15:O$34)=0)),NA(),P15)</f>
        <v>#N/A:explicit</v>
      </c>
      <c s="140" r="R15">
        <v>1</v>
      </c>
      <c s="908" r="S15"/>
      <c s="551" r="T15"/>
      <c s="551" r="U15"/>
      <c s="551" r="V15"/>
      <c s="551" r="W15"/>
      <c s="551" r="X15"/>
      <c s="551" r="Y15"/>
      <c s="551" r="Z15"/>
      <c s="551" r="AA15"/>
      <c s="551" r="AB15"/>
      <c s="671" r="AC15"/>
      <c s="702" r="AD15"/>
      <c s="511" r="AE15"/>
      <c t="s" s="416" r="AF15">
        <v>473</v>
      </c>
      <c t="str" s="141" r="AG15">
        <f>0.062&amp;"  -"</f>
        <v>0.062  -</v>
      </c>
      <c s="514" r="AH15">
        <v>0.125</v>
      </c>
      <c s="570" r="AI15">
        <f>((IF((AI$74&gt;0),((AI51*AL$12)/AI$74),0)+IF((AI$110&gt;0),((AI87*AL$13)/AI$110),0))+IF((AI$146&gt;0),((AI123*AL$14)/AI$146),0))+IF((AI$182&gt;0),((AI159*AL$15)/AI$182),0)</f>
        <v>0</v>
      </c>
      <c t="str" s="42" r="AJ15">
        <f>(AI15/AI$38)+AJ14</f>
        <v>#DIV/0!:divZero</v>
      </c>
      <c t="str" s="619" r="AK15">
        <f>IF(OR((SUM(AI$14:AI16)=0),(SUM(AI15:AI$37)=0)),NA(),AJ15)</f>
        <v>#N/A:explicit</v>
      </c>
      <c s="72" r="AL15">
        <f>ROUND(IF(AR9,AR9,IF(ISNUMBER(AS9),AS9,0)),0)</f>
        <v>0</v>
      </c>
      <c s="762" r="AM15"/>
      <c s="69" r="AN15"/>
      <c s="69" r="AO15"/>
      <c s="69" r="AP15"/>
      <c s="69" r="AQ15"/>
      <c s="69" r="AR15"/>
      <c s="69" r="AS15"/>
      <c s="69" r="AT15"/>
      <c s="69" r="AU15"/>
      <c s="69" r="AV15"/>
      <c s="532" r="AW15"/>
      <c s="702" r="AX15"/>
      <c s="426" r="AY15"/>
      <c s="426" r="AZ15"/>
      <c s="426" r="BA15"/>
      <c s="573" r="BB15">
        <f>IF(ISBLANK(BA15),0,(BA15-AZ15))</f>
        <v>0</v>
      </c>
      <c t="str" s="45" r="BC15">
        <f>IF((BB$32&gt;0),(BB15/BB$32),"---")</f>
        <v>---</v>
      </c>
      <c t="str" s="573" r="BD15">
        <f>"---"</f>
        <v>---</v>
      </c>
      <c t="str" s="281" r="BE15">
        <f>"---"</f>
        <v>---</v>
      </c>
      <c t="s" s="150" r="BF15">
        <v>493</v>
      </c>
      <c t="s" s="409" r="BG15">
        <v>459</v>
      </c>
      <c s="551" r="BH15"/>
      <c s="551" r="BI15"/>
      <c s="551" r="BJ15"/>
      <c s="551" r="BK15"/>
      <c s="551" r="BL15"/>
      <c s="551" r="BM15"/>
      <c s="551" r="BN15"/>
      <c s="551" r="BO15"/>
      <c s="671" r="BP15"/>
      <c s="51" r="BQ15"/>
      <c s="900" r="BR15"/>
      <c s="125" r="BS15"/>
      <c s="822" r="BT15"/>
      <c s="550" r="BU15"/>
      <c s="550" r="BV15"/>
      <c s="550" r="BW15"/>
      <c t="str" s="837" r="BX15">
        <f>IF((((BU15*BV15)*BW15)&gt;0),(BW15/((BU15*BV15)^0.5)),"---")</f>
        <v>---</v>
      </c>
      <c s="702" r="BY15"/>
      <c s="734" r="BZ15">
        <v>10</v>
      </c>
      <c s="903" r="CA15"/>
      <c s="903" r="CB15"/>
      <c s="903" r="CC15"/>
      <c s="903" r="CD15"/>
      <c s="903" r="CE15"/>
      <c s="631" r="CF15"/>
      <c s="631" r="CG15"/>
      <c s="859" r="CH15"/>
      <c t="s" s="639" r="CI15">
        <v>494</v>
      </c>
      <c t="str" s="459" r="CJ15">
        <f>16&amp;"  -"</f>
        <v>16  -</v>
      </c>
      <c s="253" r="CK15">
        <v>22</v>
      </c>
      <c s="91" r="CL15">
        <f>COUNTIF(CA6:CG30,"&gt;16")-COUNTIF(CA6:CG30,"&gt;22")</f>
        <v>0</v>
      </c>
    </row>
    <row customHeight="1" r="16" ht="13.5">
      <c s="822" r="A16"/>
      <c s="406" r="B16"/>
      <c s="886" r="C16"/>
      <c t="s" s="886" r="D16">
        <v>495</v>
      </c>
      <c s="886" r="E16"/>
      <c s="886" r="F16"/>
      <c s="886" r="G16"/>
      <c s="886" r="H16"/>
      <c s="418" r="I16"/>
      <c s="702" r="J16"/>
      <c s="460" r="K16"/>
      <c t="s" s="18" r="L16">
        <v>496</v>
      </c>
      <c t="str" s="658" r="M16">
        <f>1&amp;"  -"</f>
        <v>1  -</v>
      </c>
      <c s="672" r="N16">
        <v>2</v>
      </c>
      <c s="550" r="O16"/>
      <c t="str" s="42" r="P16">
        <f>(O16/O$35)+(SUM(O$11:O15)/O$35)</f>
        <v>#DIV/0!:divZero</v>
      </c>
      <c t="str" s="619" r="Q16">
        <f>IF(OR((SUM(O$11:O17)=0),(SUM(O16:O$34)=0)),NA(),P16)</f>
        <v>#N/A:explicit</v>
      </c>
      <c s="140" r="R16">
        <f>IF((O35&gt;0),R15,0)</f>
        <v>0</v>
      </c>
      <c s="908" r="S16"/>
      <c s="551" r="T16"/>
      <c s="551" r="U16"/>
      <c s="551" r="V16"/>
      <c s="551" r="W16"/>
      <c s="551" r="X16"/>
      <c s="551" r="Y16"/>
      <c s="551" r="Z16"/>
      <c s="551" r="AA16"/>
      <c s="551" r="AB16"/>
      <c s="671" r="AC16"/>
      <c s="702" r="AD16"/>
      <c s="217" r="AE16"/>
      <c t="s" s="294" r="AF16">
        <v>479</v>
      </c>
      <c t="str" s="817" r="AG16">
        <f>0.125&amp;"  -"</f>
        <v>0.125  -</v>
      </c>
      <c s="276" r="AH16">
        <v>0.25</v>
      </c>
      <c s="356" r="AI16">
        <f>((IF((AI$74&gt;0),((AI52*AL$12)/AI$74),0)+IF((AI$110&gt;0),((AI88*AL$13)/AI$110),0))+IF((AI$146&gt;0),((AI124*AL$14)/AI$146),0))+IF((AI$182&gt;0),((AI160*AL$15)/AI$182),0)</f>
        <v>0</v>
      </c>
      <c t="str" s="42" r="AJ16">
        <f>(AI16/AI$38)+AJ15</f>
        <v>#DIV/0!:divZero</v>
      </c>
      <c t="str" s="619" r="AK16">
        <f>IF(OR((SUM(AI$14:AI17)=0),(SUM(AI16:AI$37)=0)),NA(),AJ16)</f>
        <v>#N/A:explicit</v>
      </c>
      <c t="str" s="72" r="AL16">
        <f>(((((IF(AL12,(AL12&amp;"% riffle"),"")&amp;"    ")&amp;IF(AL13,(AL13&amp;"% pool"),""))&amp;"    ")&amp;IF(AL14,(AL14&amp;"% run"),""))&amp;"    ")&amp;IF(AL15,(AL15&amp;"% glide"),"")</f>
        <v>            </v>
      </c>
      <c s="762" r="AM16"/>
      <c s="69" r="AN16"/>
      <c s="69" r="AO16"/>
      <c s="69" r="AP16"/>
      <c s="69" r="AQ16"/>
      <c s="69" r="AR16"/>
      <c s="69" r="AS16"/>
      <c s="69" r="AT16"/>
      <c s="69" r="AU16"/>
      <c s="69" r="AV16"/>
      <c s="58" r="AW16">
        <f>IF((SUM(AI14:AI37)&lt;&gt;0),(AI14/SUM(AI14:AI37)),0)</f>
        <v>0</v>
      </c>
      <c s="702" r="AX16"/>
      <c s="550" r="AY16"/>
      <c s="550" r="AZ16"/>
      <c s="550" r="BA16"/>
      <c s="787" r="BB16">
        <f>IF(ISBLANK(BA16),0,(BA16-AZ16))</f>
        <v>0</v>
      </c>
      <c t="str" s="540" r="BC16">
        <f>IF((BB$32&gt;0),(BB16/BB$32),"---")</f>
        <v>---</v>
      </c>
      <c t="str" s="826" r="BD16">
        <f>BC15</f>
        <v>---</v>
      </c>
      <c t="str" s="540" r="BE16">
        <f>BD16</f>
        <v>---</v>
      </c>
      <c s="150" r="BF16"/>
      <c s="409" r="BG16"/>
      <c s="551" r="BH16"/>
      <c s="551" r="BI16"/>
      <c s="551" r="BJ16"/>
      <c s="551" r="BK16"/>
      <c s="551" r="BL16"/>
      <c s="551" r="BM16"/>
      <c s="551" r="BN16"/>
      <c s="551" r="BO16"/>
      <c s="671" r="BP16"/>
      <c s="51" r="BQ16"/>
      <c s="125" r="BR16"/>
      <c s="125" r="BS16"/>
      <c s="822" r="BT16"/>
      <c s="550" r="BU16"/>
      <c s="550" r="BV16"/>
      <c s="550" r="BW16"/>
      <c t="str" s="436" r="BX16">
        <f>IF((((BU16*BV16)*BW16)&gt;0),(BW16/((BU16*BV16)^0.5)),"---")</f>
        <v>---</v>
      </c>
      <c s="702" r="BY16"/>
      <c s="734" r="BZ16">
        <v>11</v>
      </c>
      <c s="903" r="CA16"/>
      <c s="903" r="CB16"/>
      <c s="903" r="CC16"/>
      <c s="903" r="CD16"/>
      <c s="903" r="CE16"/>
      <c s="631" r="CF16"/>
      <c s="631" r="CG16"/>
      <c s="859" r="CH16"/>
      <c t="s" s="639" r="CI16">
        <v>494</v>
      </c>
      <c t="str" s="459" r="CJ16">
        <f>22&amp;"  -"</f>
        <v>22  -</v>
      </c>
      <c s="253" r="CK16">
        <v>32</v>
      </c>
      <c s="91" r="CL16">
        <f>COUNTIF(CA6:CG30,"&gt;22")-COUNTIF(CA6:CG30,"&gt;32")</f>
        <v>0</v>
      </c>
    </row>
    <row customHeight="1" r="17" ht="15.0">
      <c s="822" r="A17"/>
      <c s="406" r="B17"/>
      <c s="886" r="C17"/>
      <c t="s" s="886" r="D17">
        <v>497</v>
      </c>
      <c s="886" r="E17"/>
      <c s="886" r="F17"/>
      <c s="886" r="G17"/>
      <c s="886" r="H17"/>
      <c s="418" r="I17"/>
      <c s="702" r="J17"/>
      <c s="779" r="K17"/>
      <c t="s" s="880" r="L17">
        <v>467</v>
      </c>
      <c t="str" s="73" r="M17">
        <f>2&amp;"  -"</f>
        <v>2  -</v>
      </c>
      <c s="860" r="N17">
        <v>4</v>
      </c>
      <c s="550" r="O17"/>
      <c t="str" s="42" r="P17">
        <f>(O17/O$35)+(SUM(O$11:O16)/O$35)</f>
        <v>#DIV/0!:divZero</v>
      </c>
      <c t="str" s="619" r="Q17">
        <f>IF(OR((SUM(O$11:O18)=0),(SUM(O17:O$34)=0)),NA(),P17)</f>
        <v>#N/A:explicit</v>
      </c>
      <c t="s" s="140" r="R17">
        <v>498</v>
      </c>
      <c s="908" r="S17"/>
      <c s="551" r="T17"/>
      <c s="551" r="U17"/>
      <c s="551" r="V17"/>
      <c s="551" r="W17"/>
      <c s="551" r="X17"/>
      <c s="551" r="Y17"/>
      <c s="551" r="Z17"/>
      <c s="551" r="AA17"/>
      <c s="551" r="AB17"/>
      <c s="671" r="AC17"/>
      <c s="702" r="AD17"/>
      <c s="217" r="AE17"/>
      <c t="s" s="294" r="AF17">
        <v>487</v>
      </c>
      <c t="str" s="817" r="AG17">
        <f>0.25&amp;"  -"</f>
        <v>0.25  -</v>
      </c>
      <c s="755" r="AH17">
        <v>0.5</v>
      </c>
      <c s="356" r="AI17">
        <f>((IF((AI$74&gt;0),((AI53*AL$12)/AI$74),0)+IF((AI$110&gt;0),((AI89*AL$13)/AI$110),0))+IF((AI$146&gt;0),((AI125*AL$14)/AI$146),0))+IF((AI$182&gt;0),((AI161*AL$15)/AI$182),0)</f>
        <v>0</v>
      </c>
      <c t="str" s="42" r="AJ17">
        <f>(AI17/AI$38)+AJ16</f>
        <v>#DIV/0!:divZero</v>
      </c>
      <c t="str" s="619" r="AK17">
        <f>IF(OR((SUM(AI$14:AI18)=0),(SUM(AI17:AI$37)=0)),NA(),AJ17)</f>
        <v>#N/A:explicit</v>
      </c>
      <c t="str" s="72" r="AL17">
        <f>AE12</f>
        <v>Weighted pebble count by channel facies</v>
      </c>
      <c s="762" r="AM17"/>
      <c s="69" r="AN17"/>
      <c s="69" r="AO17"/>
      <c s="69" r="AP17"/>
      <c s="69" r="AQ17"/>
      <c s="69" r="AR17"/>
      <c s="69" r="AS17"/>
      <c s="69" r="AT17"/>
      <c s="69" r="AU17"/>
      <c s="69" r="AV17"/>
      <c s="58" r="AW17">
        <f>IF((SUM(AI14:AI37)&lt;&gt;0),(AI15/SUM(AI14:AI37)),0)</f>
        <v>0</v>
      </c>
      <c s="702" r="AX17"/>
      <c s="550" r="AY17"/>
      <c s="382" r="AZ17"/>
      <c s="550" r="BA17"/>
      <c s="787" r="BB17">
        <f>IF(ISBLANK(BA17),0,(BA17-AZ17))</f>
        <v>0</v>
      </c>
      <c t="str" s="540" r="BC17">
        <f>IF((BB$32&gt;0),(BB17/BB$32),"---")</f>
        <v>---</v>
      </c>
      <c t="str" s="826" r="BD17">
        <f>BC16</f>
        <v>---</v>
      </c>
      <c t="str" s="540" r="BE17">
        <f>IF(ISNUMBER(BD17),(BD17+BE16),"---")</f>
        <v>---</v>
      </c>
      <c s="150" r="BF17"/>
      <c s="409" r="BG17"/>
      <c s="551" r="BH17"/>
      <c s="551" r="BI17"/>
      <c s="551" r="BJ17"/>
      <c s="551" r="BK17"/>
      <c s="551" r="BL17"/>
      <c s="551" r="BM17"/>
      <c s="551" r="BN17"/>
      <c s="551" r="BO17"/>
      <c s="671" r="BP17"/>
      <c s="51" r="BQ17"/>
      <c s="125" r="BR17"/>
      <c s="125" r="BS17"/>
      <c s="822" r="BT17"/>
      <c s="476" r="BU17"/>
      <c s="736" r="BV17"/>
      <c t="s" s="232" r="BW17">
        <v>499</v>
      </c>
      <c t="str" s="210" r="BX17">
        <f>IF(ISNUMBER(AVERAGE(BX7:BX16)),AVERAGE(BX7:BX16),"---")</f>
        <v>---</v>
      </c>
      <c s="702" r="BY17"/>
      <c s="734" r="BZ17">
        <v>12</v>
      </c>
      <c s="903" r="CA17"/>
      <c s="903" r="CB17"/>
      <c s="903" r="CC17"/>
      <c s="903" r="CD17"/>
      <c s="903" r="CE17"/>
      <c s="631" r="CF17"/>
      <c s="631" r="CG17"/>
      <c s="687" r="CH17"/>
      <c t="s" s="482" r="CI17">
        <v>500</v>
      </c>
      <c t="str" s="459" r="CJ17">
        <f>32&amp;"  -"</f>
        <v>32  -</v>
      </c>
      <c s="253" r="CK17">
        <v>45</v>
      </c>
      <c s="91" r="CL17">
        <f>COUNTIF(CA6:CG30,"&gt;32")-COUNTIF(CA6:CG30,"&gt;45")</f>
        <v>0</v>
      </c>
    </row>
    <row customHeight="1" r="18" ht="13.5">
      <c s="822" r="A18"/>
      <c s="406" r="B18"/>
      <c s="886" r="C18"/>
      <c t="s" s="886" r="D18">
        <v>501</v>
      </c>
      <c s="886" r="E18"/>
      <c s="886" r="F18"/>
      <c s="886" r="G18"/>
      <c s="886" r="H18"/>
      <c s="418" r="I18"/>
      <c s="702" r="J18"/>
      <c s="217" r="K18"/>
      <c t="s" s="294" r="L18">
        <v>471</v>
      </c>
      <c t="str" s="595" r="M18">
        <f>4&amp;"  -"</f>
        <v>4  -</v>
      </c>
      <c s="411" r="N18">
        <v>6</v>
      </c>
      <c s="550" r="O18"/>
      <c t="str" s="42" r="P18">
        <f>(O18/O$35)+(SUM(O$11:O17)/O$35)</f>
        <v>#DIV/0!:divZero</v>
      </c>
      <c t="str" s="619" r="Q18">
        <f>IF(OR((SUM(O$11:O19)=0),(SUM(O18:O$34)=0)),NA(),P18)</f>
        <v>#N/A:explicit</v>
      </c>
      <c t="s" s="140" r="R18">
        <v>502</v>
      </c>
      <c s="908" r="S18"/>
      <c s="551" r="T18"/>
      <c s="551" r="U18"/>
      <c s="477" r="V18"/>
      <c s="551" r="W18"/>
      <c s="551" r="X18"/>
      <c s="551" r="Y18"/>
      <c s="551" r="Z18"/>
      <c s="551" r="AA18"/>
      <c s="551" r="AB18"/>
      <c s="671" r="AC18"/>
      <c s="702" r="AD18"/>
      <c s="217" r="AE18"/>
      <c t="s" s="294" r="AF18">
        <v>492</v>
      </c>
      <c t="str" s="534" r="AG18">
        <f>0.5&amp;"  -"</f>
        <v>0.5  -</v>
      </c>
      <c s="730" r="AH18">
        <v>1</v>
      </c>
      <c s="356" r="AI18">
        <f>((IF((AI$74&gt;0),((AI54*AL$12)/AI$74),0)+IF((AI$110&gt;0),((AI90*AL$13)/AI$110),0))+IF((AI$146&gt;0),((AI126*AL$14)/AI$146),0))+IF((AI$182&gt;0),((AI162*AL$15)/AI$182),0)</f>
        <v>0</v>
      </c>
      <c t="str" s="42" r="AJ18">
        <f>(AI18/AI$38)+AJ17</f>
        <v>#DIV/0!:divZero</v>
      </c>
      <c t="str" s="619" r="AK18">
        <f>IF(OR((SUM(AI$14:AI19)=0),(SUM(AI18:AI$37)=0)),NA(),AJ18)</f>
        <v>#N/A:explicit</v>
      </c>
      <c t="str" s="72" r="AL18">
        <f>$D$33</f>
        <v>---</v>
      </c>
      <c s="762" r="AM18"/>
      <c s="69" r="AN18"/>
      <c s="69" r="AO18"/>
      <c s="69" r="AP18"/>
      <c s="69" r="AQ18"/>
      <c s="69" r="AR18"/>
      <c s="69" r="AS18"/>
      <c s="69" r="AT18"/>
      <c s="69" r="AU18"/>
      <c s="69" r="AV18"/>
      <c s="58" r="AW18">
        <f>IF((SUM(AI14:AI37)&lt;&gt;0),(AI16/SUM(AI14:AI37)),0)</f>
        <v>0</v>
      </c>
      <c s="702" r="AX18"/>
      <c s="550" r="AY18"/>
      <c s="382" r="AZ18"/>
      <c s="550" r="BA18"/>
      <c s="787" r="BB18">
        <f>IF(ISBLANK(BA18),0,(BA18-AZ18))</f>
        <v>0</v>
      </c>
      <c t="str" s="540" r="BC18">
        <f>IF((BB$32&gt;0),(BB18/BB$32),"---")</f>
        <v>---</v>
      </c>
      <c t="str" s="826" r="BD18">
        <f>BC17</f>
        <v>---</v>
      </c>
      <c t="str" s="540" r="BE18">
        <f>IF(ISNUMBER(BD18),(BD18+BE17),"---")</f>
        <v>---</v>
      </c>
      <c t="s" s="150" r="BF18">
        <v>503</v>
      </c>
      <c t="s" s="409" r="BG18">
        <v>459</v>
      </c>
      <c s="551" r="BH18"/>
      <c s="551" r="BI18"/>
      <c s="551" r="BJ18"/>
      <c s="551" r="BK18"/>
      <c s="551" r="BL18"/>
      <c s="551" r="BM18"/>
      <c s="551" r="BN18"/>
      <c s="551" r="BO18"/>
      <c s="671" r="BP18"/>
      <c s="51" r="BQ18"/>
      <c s="125" r="BR18"/>
      <c s="125" r="BS18"/>
      <c s="822" r="BT18"/>
      <c s="20" r="BU18"/>
      <c s="414" r="BV18"/>
      <c s="414" r="BW18"/>
      <c s="397" r="BX18"/>
      <c s="702" r="BY18"/>
      <c s="734" r="BZ18">
        <v>13</v>
      </c>
      <c s="903" r="CA18"/>
      <c s="903" r="CB18"/>
      <c s="903" r="CC18"/>
      <c s="903" r="CD18"/>
      <c s="903" r="CE18"/>
      <c s="631" r="CF18"/>
      <c s="631" r="CG18"/>
      <c s="725" r="CH18"/>
      <c t="s" s="864" r="CI18">
        <v>500</v>
      </c>
      <c t="str" s="268" r="CJ18">
        <f>45&amp;"  -"</f>
        <v>45  -</v>
      </c>
      <c s="122" r="CK18">
        <v>64</v>
      </c>
      <c s="91" r="CL18">
        <f>COUNTIF(CA6:CG30,"&gt;45")-COUNTIF(CA6:CG30,"&gt;64")</f>
        <v>0</v>
      </c>
    </row>
    <row customHeight="1" r="19" ht="13.5">
      <c s="822" r="A19"/>
      <c s="406" r="B19"/>
      <c s="886" r="C19"/>
      <c s="886" r="D19"/>
      <c s="886" r="E19"/>
      <c s="886" r="F19"/>
      <c s="886" r="G19"/>
      <c s="886" r="H19"/>
      <c s="418" r="I19"/>
      <c s="702" r="J19"/>
      <c s="217" r="K19"/>
      <c t="s" s="294" r="L19">
        <v>471</v>
      </c>
      <c t="str" s="595" r="M19">
        <f>6&amp;"  -"</f>
        <v>6  -</v>
      </c>
      <c s="411" r="N19">
        <v>8</v>
      </c>
      <c s="550" r="O19"/>
      <c t="str" s="42" r="P19">
        <f>(O19/O$35)+(SUM(O$11:O18)/O$35)</f>
        <v>#DIV/0!:divZero</v>
      </c>
      <c t="str" s="619" r="Q19">
        <f>IF(OR((SUM(O$11:O20)=0),(SUM(O19:O$34)=0)),NA(),P19)</f>
        <v>#N/A:explicit</v>
      </c>
      <c t="s" s="140" r="R19">
        <v>504</v>
      </c>
      <c s="908" r="S19"/>
      <c s="551" r="T19"/>
      <c s="551" r="U19"/>
      <c s="477" r="V19"/>
      <c s="551" r="W19"/>
      <c s="551" r="X19"/>
      <c s="551" r="Y19"/>
      <c s="551" r="Z19"/>
      <c s="551" r="AA19"/>
      <c s="551" r="AB19"/>
      <c s="671" r="AC19"/>
      <c s="702" r="AD19"/>
      <c s="460" r="AE19"/>
      <c t="s" s="18" r="AF19">
        <v>496</v>
      </c>
      <c t="str" s="658" r="AG19">
        <f>1&amp;"  -"</f>
        <v>1  -</v>
      </c>
      <c s="143" r="AH19">
        <v>2</v>
      </c>
      <c s="696" r="AI19">
        <f>((IF((AI$74&gt;0),((AI55*AL$12)/AI$74),0)+IF((AI$110&gt;0),((AI91*AL$13)/AI$110),0))+IF((AI$146&gt;0),((AI127*AL$14)/AI$146),0))+IF((AI$182&gt;0),((AI163*AL$15)/AI$182),0)</f>
        <v>0</v>
      </c>
      <c t="str" s="42" r="AJ19">
        <f>(AI19/AI$38)+AJ18</f>
        <v>#DIV/0!:divZero</v>
      </c>
      <c t="str" s="619" r="AK19">
        <f>IF(OR((SUM(AI$14:AI20)=0),(SUM(AI19:AI$37)=0)),NA(),AJ19)</f>
        <v>#N/A:explicit</v>
      </c>
      <c s="140" r="AL19">
        <v>3</v>
      </c>
      <c s="762" r="AM19"/>
      <c s="69" r="AN19"/>
      <c s="69" r="AO19"/>
      <c s="69" r="AP19"/>
      <c s="69" r="AQ19"/>
      <c s="69" r="AR19"/>
      <c s="69" r="AS19"/>
      <c s="69" r="AT19"/>
      <c s="69" r="AU19"/>
      <c s="69" r="AV19"/>
      <c s="58" r="AW19">
        <f>IF((SUM(AI14:AI37)&lt;&gt;0),(AI17/SUM(AI14:AI37)),0)</f>
        <v>0</v>
      </c>
      <c s="702" r="AX19"/>
      <c s="550" r="AY19"/>
      <c s="382" r="AZ19"/>
      <c s="550" r="BA19"/>
      <c s="787" r="BB19">
        <f>IF(ISBLANK(BA19),0,(BA19-AZ19))</f>
        <v>0</v>
      </c>
      <c t="str" s="540" r="BC19">
        <f>IF((BB$32&gt;0),(BB19/BB$32),"---")</f>
        <v>---</v>
      </c>
      <c t="str" s="826" r="BD19">
        <f>BC18</f>
        <v>---</v>
      </c>
      <c t="str" s="540" r="BE19">
        <f>IF(ISNUMBER(BD19),(BD19+BE18),"---")</f>
        <v>---</v>
      </c>
      <c s="752" r="BF19">
        <f>IF(OR((BB32=0),(BE16&gt;0.16)),0,(2^(LOG((INDEX(AY16:AY31,MATCH(0.16,BE16:BE31,1))),2)+(((LOG((INDEX(AY16:AY31,(MATCH(0.16,BE16:BE31,1)+1))),2)-LOG((INDEX(AY16:AY31,MATCH(0.16,BE16:BE31,1))),2))*(0.16-INDEX(BE16:BE31,MATCH(0.16,BE16:BE31,1))))/(INDEX(BE16:BE31,(MATCH(0.16,BE16:BE31,1)+1))-INDEX(BE16:BE31,MATCH(0.16,BE16:BE31,1)))))))</f>
        <v>0</v>
      </c>
      <c t="s" s="409" r="BG19">
        <v>459</v>
      </c>
      <c s="551" r="BH19"/>
      <c s="551" r="BI19"/>
      <c s="551" r="BJ19"/>
      <c s="551" r="BK19"/>
      <c s="551" r="BL19"/>
      <c s="551" r="BM19"/>
      <c s="551" r="BN19"/>
      <c s="551" r="BO19"/>
      <c s="671" r="BP19"/>
      <c s="51" r="BQ19"/>
      <c s="125" r="BR19"/>
      <c s="125" r="BS19"/>
      <c s="125" r="BT19"/>
      <c s="442" r="BU19"/>
      <c s="442" r="BV19"/>
      <c s="442" r="BW19"/>
      <c s="442" r="BX19"/>
      <c s="822" r="BY19"/>
      <c s="734" r="BZ19">
        <v>14</v>
      </c>
      <c s="903" r="CA19"/>
      <c s="903" r="CB19"/>
      <c s="903" r="CC19"/>
      <c s="903" r="CD19"/>
      <c s="903" r="CE19"/>
      <c s="631" r="CF19"/>
      <c s="631" r="CG19"/>
      <c s="852" r="CH19"/>
      <c t="s" s="660" r="CI19">
        <v>505</v>
      </c>
      <c t="str" s="537" r="CJ19">
        <f>64&amp;"  -"</f>
        <v>64  -</v>
      </c>
      <c s="828" r="CK19">
        <v>90</v>
      </c>
      <c s="91" r="CL19">
        <f>COUNTIF(CA6:CG30,"&gt;64")-COUNTIF(CA6:CG30,"&gt;90")</f>
        <v>0</v>
      </c>
    </row>
    <row r="20">
      <c s="822" r="A20"/>
      <c s="406" r="B20"/>
      <c t="s" s="886" r="C20">
        <v>506</v>
      </c>
      <c s="886" r="D20"/>
      <c s="886" r="E20"/>
      <c s="886" r="F20"/>
      <c s="886" r="G20"/>
      <c s="886" r="H20"/>
      <c s="418" r="I20"/>
      <c s="702" r="J20"/>
      <c s="217" r="K20"/>
      <c t="s" s="294" r="L20">
        <v>485</v>
      </c>
      <c t="str" s="595" r="M20">
        <f>8&amp;"  -"</f>
        <v>8  -</v>
      </c>
      <c s="411" r="N20">
        <v>11</v>
      </c>
      <c s="550" r="O20"/>
      <c t="str" s="42" r="P20">
        <f>(O20/O$35)+(SUM(O$11:O19)/O$35)</f>
        <v>#DIV/0!:divZero</v>
      </c>
      <c t="str" s="619" r="Q20">
        <f>IF(OR((SUM(O$11:O21)=0),(SUM(O20:O$34)=0)),NA(),P20)</f>
        <v>#N/A:explicit</v>
      </c>
      <c s="72" r="R20"/>
      <c s="908" r="S20"/>
      <c s="551" r="T20"/>
      <c s="551" r="U20"/>
      <c s="477" r="V20"/>
      <c s="551" r="W20"/>
      <c s="551" r="X20"/>
      <c s="551" r="Y20"/>
      <c s="551" r="Z20"/>
      <c s="551" r="AA20"/>
      <c s="551" r="AB20"/>
      <c s="671" r="AC20"/>
      <c s="702" r="AD20"/>
      <c s="779" r="AE20"/>
      <c t="s" s="880" r="AF20">
        <v>467</v>
      </c>
      <c t="str" s="73" r="AG20">
        <f>2&amp;"  -"</f>
        <v>2  -</v>
      </c>
      <c s="497" r="AH20">
        <v>4</v>
      </c>
      <c s="570" r="AI20">
        <f>((IF((AI$74&gt;0),((AI56*AL$12)/AI$74),0)+IF((AI$110&gt;0),((AI92*AL$13)/AI$110),0))+IF((AI$146&gt;0),((AI128*AL$14)/AI$146),0))+IF((AI$182&gt;0),((AI164*AL$15)/AI$182),0)</f>
        <v>0</v>
      </c>
      <c t="str" s="42" r="AJ20">
        <f>(AI20/AI$38)+AJ19</f>
        <v>#DIV/0!:divZero</v>
      </c>
      <c t="str" s="619" r="AK20">
        <f>IF(OR((SUM(AI$14:AI21)=0),(SUM(AI20:AI$37)=0)),NA(),AJ20)</f>
        <v>#N/A:explicit</v>
      </c>
      <c s="72" r="AL20">
        <f>IF((AI74&gt;0),AL19,0)</f>
        <v>0</v>
      </c>
      <c s="762" r="AM20"/>
      <c s="69" r="AN20"/>
      <c s="69" r="AO20"/>
      <c s="69" r="AP20"/>
      <c s="69" r="AQ20"/>
      <c s="69" r="AR20"/>
      <c s="69" r="AS20"/>
      <c s="69" r="AT20"/>
      <c s="69" r="AU20"/>
      <c s="69" r="AV20"/>
      <c s="58" r="AW20">
        <f>IF((SUM(AI14:AI37)&lt;&gt;0),(AI18/SUM(AI14:AI37)),0)</f>
        <v>0</v>
      </c>
      <c s="702" r="AX20"/>
      <c s="550" r="AY20"/>
      <c s="550" r="AZ20"/>
      <c s="550" r="BA20"/>
      <c s="787" r="BB20">
        <f>IF(ISBLANK(BA20),0,(BA20-AZ20))</f>
        <v>0</v>
      </c>
      <c t="str" s="540" r="BC20">
        <f>IF((BB$32&gt;0),(BB20/BB$32),"---")</f>
        <v>---</v>
      </c>
      <c t="str" s="826" r="BD20">
        <f>BC19</f>
        <v>---</v>
      </c>
      <c t="str" s="540" r="BE20">
        <f>IF(ISNUMBER(BD20),(BD20+BE19),"---")</f>
        <v>---</v>
      </c>
      <c s="752" r="BF20">
        <f>IF(OR((BB32=0),(BE16&gt;0.35)),0,(2^(LOG((INDEX(AY16:AY31,MATCH(0.35,BE16:BE31,1))),2)+(((LOG((INDEX(AY16:AY31,(MATCH(0.35,BE16:BE31,1)+1))),2)-LOG((INDEX(AY16:AY31,MATCH(0.35,BE16:BE31,1))),2))*(0.35-INDEX(BE16:BE31,MATCH(0.35,BE16:BE31,1))))/(INDEX(BE16:BE31,(MATCH(0.35,BE16:BE31,1)+1))-INDEX(BE16:BE31,MATCH(0.35,BE16:BE31,1)))))))</f>
        <v>0</v>
      </c>
      <c t="s" s="409" r="BG20">
        <v>459</v>
      </c>
      <c s="551" r="BH20"/>
      <c s="551" r="BI20"/>
      <c s="551" r="BJ20"/>
      <c s="551" r="BK20"/>
      <c s="551" r="BL20"/>
      <c s="551" r="BM20"/>
      <c s="551" r="BN20"/>
      <c s="551" r="BO20"/>
      <c s="671" r="BP20"/>
      <c s="51" r="BQ20"/>
      <c s="125" r="BR20"/>
      <c s="125" r="BS20"/>
      <c s="125" r="BT20"/>
      <c s="125" r="BU20"/>
      <c s="125" r="BV20"/>
      <c s="125" r="BW20"/>
      <c s="125" r="BX20"/>
      <c s="822" r="BY20"/>
      <c s="734" r="BZ20">
        <v>15</v>
      </c>
      <c s="903" r="CA20"/>
      <c s="903" r="CB20"/>
      <c s="903" r="CC20"/>
      <c s="903" r="CD20"/>
      <c s="903" r="CE20"/>
      <c s="631" r="CF20"/>
      <c s="631" r="CG20"/>
      <c s="687" r="CH20"/>
      <c t="s" s="482" r="CI20">
        <v>507</v>
      </c>
      <c t="str" s="459" r="CJ20">
        <f>90&amp;"  -"</f>
        <v>90  -</v>
      </c>
      <c s="253" r="CK20">
        <v>128</v>
      </c>
      <c s="91" r="CL20">
        <f>COUNTIF(CA6:CG30,"&gt;90")-COUNTIF(CA6:CG30,"&gt;128")</f>
        <v>0</v>
      </c>
    </row>
    <row r="21">
      <c s="822" r="A21"/>
      <c s="406" r="B21"/>
      <c s="886" r="C21"/>
      <c t="s" s="886" r="D21">
        <v>508</v>
      </c>
      <c s="886" r="E21"/>
      <c s="886" r="F21"/>
      <c s="886" r="G21"/>
      <c s="886" r="H21"/>
      <c s="418" r="I21"/>
      <c s="702" r="J21"/>
      <c s="217" r="K21"/>
      <c t="s" s="294" r="L21">
        <v>485</v>
      </c>
      <c t="str" s="595" r="M21">
        <f>11&amp;"  -"</f>
        <v>11  -</v>
      </c>
      <c s="411" r="N21">
        <v>16</v>
      </c>
      <c s="550" r="O21"/>
      <c t="str" s="42" r="P21">
        <f>(O21/O$35)+(SUM(O$11:O20)/O$35)</f>
        <v>#DIV/0!:divZero</v>
      </c>
      <c t="str" s="619" r="Q21">
        <f>IF(OR((SUM(O$11:O22)=0),(SUM(O21:O$34)=0)),NA(),P21)</f>
        <v>#N/A:explicit</v>
      </c>
      <c s="140" r="R21"/>
      <c s="908" r="S21"/>
      <c s="551" r="T21"/>
      <c s="551" r="U21"/>
      <c s="477" r="V21"/>
      <c s="551" r="W21"/>
      <c s="551" r="X21"/>
      <c s="551" r="Y21"/>
      <c s="551" r="Z21"/>
      <c s="551" r="AA21"/>
      <c s="551" r="AB21"/>
      <c s="671" r="AC21"/>
      <c s="702" r="AD21"/>
      <c s="217" r="AE21"/>
      <c t="s" s="294" r="AF21">
        <v>471</v>
      </c>
      <c t="str" s="595" r="AG21">
        <f>4&amp;"  -"</f>
        <v>4  -</v>
      </c>
      <c s="730" r="AH21">
        <v>6</v>
      </c>
      <c s="356" r="AI21">
        <f>((IF((AI$74&gt;0),((AI57*AL$12)/AI$74),0)+IF((AI$110&gt;0),((AI93*AL$13)/AI$110),0))+IF((AI$146&gt;0),((AI129*AL$14)/AI$146),0))+IF((AI$182&gt;0),((AI165*AL$15)/AI$182),0)</f>
        <v>0</v>
      </c>
      <c t="str" s="42" r="AJ21">
        <f>(AI21/AI$38)+AJ20</f>
        <v>#DIV/0!:divZero</v>
      </c>
      <c t="str" s="619" r="AK21">
        <f>IF(OR((SUM(AI$14:AI22)=0),(SUM(AI21:AI$37)=0)),NA(),AJ21)</f>
        <v>#N/A:explicit</v>
      </c>
      <c t="s" s="72" r="AL21">
        <v>509</v>
      </c>
      <c s="762" r="AM21"/>
      <c s="69" r="AN21"/>
      <c s="69" r="AO21"/>
      <c s="69" r="AP21"/>
      <c s="69" r="AQ21"/>
      <c s="69" r="AR21"/>
      <c s="69" r="AS21"/>
      <c s="69" r="AT21"/>
      <c s="69" r="AU21"/>
      <c s="69" r="AV21"/>
      <c s="58" r="AW21">
        <f>IF((SUM(AI14:AI37)&lt;&gt;0),(AI19/SUM(AI14:AI37)),0)</f>
        <v>0</v>
      </c>
      <c s="702" r="AX21"/>
      <c s="550" r="AY21"/>
      <c s="382" r="AZ21"/>
      <c s="550" r="BA21"/>
      <c s="787" r="BB21">
        <f>IF(ISBLANK(BA21),0,(BA21-AZ21))</f>
        <v>0</v>
      </c>
      <c t="str" s="540" r="BC21">
        <f>IF((BB$32&gt;0),(BB21/BB$32),"---")</f>
        <v>---</v>
      </c>
      <c t="str" s="826" r="BD21">
        <f>BC20</f>
        <v>---</v>
      </c>
      <c t="str" s="540" r="BE21">
        <f>IF(ISNUMBER(BD21),(BD21+BE20),"---")</f>
        <v>---</v>
      </c>
      <c s="752" r="BF21">
        <f>IF(OR((BB32=0),(BE16&gt;0.5)),0,(2^(LOG((INDEX(AY16:AY31,MATCH(0.5,BE16:BE31,1))),2)+(((LOG((INDEX(AY16:AY31,(MATCH(0.5,BE16:BE31,1)+1))),2)-LOG((INDEX(AY16:AY31,MATCH(0.5,BE16:BE31,1))),2))*(0.5-INDEX(BE16:BE31,MATCH(0.5,BE16:BE31,1))))/(INDEX(BE16:BE31,(MATCH(0.5,BE16:BE31,1)+1))-INDEX(BE16:BE31,MATCH(0.5,BE16:BE31,1)))))))</f>
        <v>0</v>
      </c>
      <c t="s" s="409" r="BG21">
        <v>459</v>
      </c>
      <c s="551" r="BH21"/>
      <c s="551" r="BI21"/>
      <c s="551" r="BJ21"/>
      <c s="551" r="BK21"/>
      <c s="551" r="BL21"/>
      <c s="551" r="BM21"/>
      <c s="551" r="BN21"/>
      <c s="551" r="BO21"/>
      <c s="671" r="BP21"/>
      <c s="51" r="BQ21"/>
      <c s="125" r="BR21"/>
      <c s="125" r="BS21"/>
      <c s="125" r="BT21"/>
      <c s="125" r="BU21"/>
      <c s="125" r="BV21"/>
      <c s="125" r="BW21"/>
      <c s="125" r="BX21"/>
      <c s="822" r="BY21"/>
      <c s="734" r="BZ21">
        <v>16</v>
      </c>
      <c s="903" r="CA21"/>
      <c s="903" r="CB21"/>
      <c s="903" r="CC21"/>
      <c s="903" r="CD21"/>
      <c s="903" r="CE21"/>
      <c s="631" r="CF21"/>
      <c s="631" r="CG21"/>
      <c s="687" r="CH21"/>
      <c t="s" s="482" r="CI21">
        <v>510</v>
      </c>
      <c t="str" s="459" r="CJ21">
        <f>128&amp;"  -"</f>
        <v>128  -</v>
      </c>
      <c s="253" r="CK21">
        <v>180</v>
      </c>
      <c s="91" r="CL21">
        <f>COUNTIF(CA6:CG30,"&gt;128")-COUNTIF(CA6:CG30,"&gt;180")</f>
        <v>0</v>
      </c>
    </row>
    <row r="22">
      <c s="822" r="A22"/>
      <c s="406" r="B22"/>
      <c s="886" r="C22"/>
      <c t="s" s="886" r="D22">
        <v>511</v>
      </c>
      <c s="886" r="E22"/>
      <c s="886" r="F22"/>
      <c s="886" r="G22"/>
      <c s="886" r="H22"/>
      <c s="418" r="I22"/>
      <c s="702" r="J22"/>
      <c s="217" r="K22"/>
      <c t="s" s="294" r="L22">
        <v>494</v>
      </c>
      <c t="str" s="595" r="M22">
        <f>16&amp;"  -"</f>
        <v>16  -</v>
      </c>
      <c s="411" r="N22">
        <v>22</v>
      </c>
      <c s="550" r="O22"/>
      <c t="str" s="42" r="P22">
        <f>(O22/O$35)+(SUM(O$11:O21)/O$35)</f>
        <v>#DIV/0!:divZero</v>
      </c>
      <c t="str" s="619" r="Q22">
        <f>IF(OR((SUM(O$11:O23)=0),(SUM(O22:O$34)=0)),NA(),P22)</f>
        <v>#N/A:explicit</v>
      </c>
      <c s="140" r="R22"/>
      <c s="908" r="S22"/>
      <c s="551" r="T22"/>
      <c s="551" r="U22"/>
      <c s="551" r="V22"/>
      <c s="551" r="W22"/>
      <c s="551" r="X22"/>
      <c s="551" r="Y22"/>
      <c s="551" r="Z22"/>
      <c s="551" r="AA22"/>
      <c s="551" r="AB22"/>
      <c s="671" r="AC22"/>
      <c s="702" r="AD22"/>
      <c s="217" r="AE22"/>
      <c t="s" s="294" r="AF22">
        <v>471</v>
      </c>
      <c t="str" s="595" r="AG22">
        <f>6&amp;"  -"</f>
        <v>6  -</v>
      </c>
      <c s="730" r="AH22">
        <v>8</v>
      </c>
      <c s="356" r="AI22">
        <f>((IF((AI$74&gt;0),((AI58*AL$12)/AI$74),0)+IF((AI$110&gt;0),((AI94*AL$13)/AI$110),0))+IF((AI$146&gt;0),((AI130*AL$14)/AI$146),0))+IF((AI$182&gt;0),((AI166*AL$15)/AI$182),0)</f>
        <v>0</v>
      </c>
      <c t="str" s="42" r="AJ22">
        <f>(AI22/AI$38)+AJ21</f>
        <v>#DIV/0!:divZero</v>
      </c>
      <c t="str" s="619" r="AK22">
        <f>IF(OR((SUM(AI$14:AI23)=0),(SUM(AI22:AI$37)=0)),NA(),AJ22)</f>
        <v>#N/A:explicit</v>
      </c>
      <c t="s" s="72" r="AL22">
        <v>512</v>
      </c>
      <c s="762" r="AM22"/>
      <c s="69" r="AN22"/>
      <c s="69" r="AO22"/>
      <c s="69" r="AP22"/>
      <c s="69" r="AQ22"/>
      <c s="69" r="AR22"/>
      <c s="69" r="AS22"/>
      <c s="69" r="AT22"/>
      <c s="69" r="AU22"/>
      <c s="69" r="AV22"/>
      <c s="58" r="AW22">
        <f>IF((SUM(AI14:AI37)&lt;&gt;0),(AI20/SUM(AI14:AI37)),0)</f>
        <v>0</v>
      </c>
      <c s="702" r="AX22"/>
      <c s="550" r="AY22"/>
      <c s="382" r="AZ22"/>
      <c s="550" r="BA22"/>
      <c s="787" r="BB22">
        <f>IF(ISBLANK(BA22),0,(BA22-AZ22))</f>
        <v>0</v>
      </c>
      <c t="str" s="540" r="BC22">
        <f>IF((BB$32&gt;0),(BB22/BB$32),"---")</f>
        <v>---</v>
      </c>
      <c t="str" s="826" r="BD22">
        <f>BC21</f>
        <v>---</v>
      </c>
      <c t="str" s="540" r="BE22">
        <f>IF(ISNUMBER(BD22),(BD22+BE21),"---")</f>
        <v>---</v>
      </c>
      <c s="752" r="BF22">
        <f>IF(OR((BB32=0),(BE16&gt;0.65)),0,(2^(LOG((INDEX(AY16:AY31,MATCH(0.65,BE16:BE31,1))),2)+(((LOG((INDEX(AY16:AY31,(MATCH(0.65,BE16:BE31,1)+1))),2)-LOG((INDEX(AY16:AY31,MATCH(0.65,BE16:BE31,1))),2))*(0.65-INDEX(BE16:BE31,MATCH(0.65,BE16:BE31,1))))/(INDEX(BE16:BE31,(MATCH(0.65,BE16:BE31,1)+1))-INDEX(BE16:BE31,MATCH(0.65,BE16:BE31,1)))))))</f>
        <v>0</v>
      </c>
      <c s="409" r="BG22"/>
      <c s="551" r="BH22"/>
      <c s="551" r="BI22"/>
      <c s="551" r="BJ22"/>
      <c s="551" r="BK22"/>
      <c s="551" r="BL22"/>
      <c s="551" r="BM22"/>
      <c s="551" r="BN22"/>
      <c s="551" r="BO22"/>
      <c s="671" r="BP22"/>
      <c s="51" r="BQ22"/>
      <c s="125" r="BR22"/>
      <c s="125" r="BS22"/>
      <c s="125" r="BT22"/>
      <c s="125" r="BU22"/>
      <c s="125" r="BV22"/>
      <c s="125" r="BW22"/>
      <c s="125" r="BX22"/>
      <c s="822" r="BY22"/>
      <c s="734" r="BZ22">
        <v>17</v>
      </c>
      <c s="903" r="CA22"/>
      <c s="903" r="CB22"/>
      <c s="903" r="CC22"/>
      <c s="903" r="CD22"/>
      <c s="903" r="CE22"/>
      <c s="631" r="CF22"/>
      <c s="631" r="CG22"/>
      <c s="725" r="CH22"/>
      <c t="s" s="864" r="CI22">
        <v>513</v>
      </c>
      <c t="str" s="268" r="CJ22">
        <f>180&amp;"  -"</f>
        <v>180  -</v>
      </c>
      <c s="122" r="CK22">
        <v>256</v>
      </c>
      <c s="91" r="CL22">
        <f>COUNTIF(CA6:CG30,"&gt;180")-COUNTIF(CA6:CG30,"&gt;256")</f>
        <v>0</v>
      </c>
    </row>
    <row r="23">
      <c s="822" r="A23"/>
      <c s="406" r="B23"/>
      <c s="886" r="C23"/>
      <c t="s" s="886" r="D23">
        <v>514</v>
      </c>
      <c s="886" r="E23"/>
      <c s="886" r="F23"/>
      <c s="886" r="G23"/>
      <c s="886" r="H23"/>
      <c s="418" r="I23"/>
      <c s="702" r="J23"/>
      <c s="217" r="K23"/>
      <c t="s" s="294" r="L23">
        <v>494</v>
      </c>
      <c t="str" s="595" r="M23">
        <f>22&amp;"  -"</f>
        <v>22  -</v>
      </c>
      <c s="411" r="N23">
        <v>32</v>
      </c>
      <c s="550" r="O23"/>
      <c t="str" s="42" r="P23">
        <f>(O23/O$35)+(SUM(O$11:O22)/O$35)</f>
        <v>#DIV/0!:divZero</v>
      </c>
      <c t="str" s="619" r="Q23">
        <f>IF(OR((SUM(O$11:O24)=0),(SUM(O23:O$34)=0)),NA(),P23)</f>
        <v>#N/A:explicit</v>
      </c>
      <c s="140" r="R23"/>
      <c s="908" r="S23"/>
      <c s="551" r="T23"/>
      <c s="551" r="U23"/>
      <c s="551" r="V23"/>
      <c s="551" r="W23"/>
      <c s="551" r="X23"/>
      <c s="551" r="Y23"/>
      <c s="551" r="Z23"/>
      <c s="551" r="AA23"/>
      <c s="551" r="AB23"/>
      <c s="671" r="AC23"/>
      <c s="702" r="AD23"/>
      <c s="217" r="AE23"/>
      <c t="s" s="294" r="AF23">
        <v>485</v>
      </c>
      <c t="str" s="595" r="AG23">
        <f>8&amp;"  -"</f>
        <v>8  -</v>
      </c>
      <c s="730" r="AH23">
        <v>11</v>
      </c>
      <c s="356" r="AI23">
        <f>((IF((AI$74&gt;0),((AI59*AL$12)/AI$74),0)+IF((AI$110&gt;0),((AI95*AL$13)/AI$110),0))+IF((AI$146&gt;0),((AI131*AL$14)/AI$146),0))+IF((AI$182&gt;0),((AI167*AL$15)/AI$182),0)</f>
        <v>0</v>
      </c>
      <c t="str" s="42" r="AJ23">
        <f>(AI23/AI$38)+AJ22</f>
        <v>#DIV/0!:divZero</v>
      </c>
      <c t="str" s="619" r="AK23">
        <f>IF(OR((SUM(AI$14:AI24)=0),(SUM(AI23:AI$37)=0)),NA(),AJ23)</f>
        <v>#N/A:explicit</v>
      </c>
      <c t="s" s="72" r="AL23">
        <v>515</v>
      </c>
      <c s="762" r="AM23"/>
      <c s="69" r="AN23"/>
      <c s="69" r="AO23"/>
      <c s="69" r="AP23"/>
      <c s="69" r="AQ23"/>
      <c s="69" r="AR23"/>
      <c s="69" r="AS23"/>
      <c s="69" r="AT23"/>
      <c s="69" r="AU23"/>
      <c s="69" r="AV23"/>
      <c s="58" r="AW23">
        <f>IF((SUM(AI14:AI37)&lt;&gt;0),(AI21/SUM(AI14:AI37)),0)</f>
        <v>0</v>
      </c>
      <c s="702" r="AX23"/>
      <c s="550" r="AY23"/>
      <c s="382" r="AZ23"/>
      <c s="550" r="BA23"/>
      <c s="787" r="BB23">
        <f>IF(ISBLANK(BA23),0,(BA23-AZ23))</f>
        <v>0</v>
      </c>
      <c t="str" s="540" r="BC23">
        <f>IF((BB$32&gt;0),(BB23/BB$32),"---")</f>
        <v>---</v>
      </c>
      <c t="str" s="826" r="BD23">
        <f>BC22</f>
        <v>---</v>
      </c>
      <c t="str" s="540" r="BE23">
        <f>IF(ISNUMBER(BD23),(BD23+BE22),"---")</f>
        <v>---</v>
      </c>
      <c s="752" r="BF23">
        <f>IF(OR((BB32=0),(BE16&gt;0.84)),0,(2^(LOG((INDEX(AY16:AY31,MATCH(0.84,BE16:BE31,1))),2)+(((LOG((INDEX(AY16:AY31,(MATCH(0.84,BE16:BE31,1)+1))),2)-LOG((INDEX(AY16:AY31,MATCH(0.84,BE16:BE31,1))),2))*(0.84-INDEX(BE16:BE31,MATCH(0.84,BE16:BE31,1))))/(INDEX(BE16:BE31,(MATCH(0.84,BE16:BE31,1)+1))-INDEX(BE16:BE31,MATCH(0.84,BE16:BE31,1)))))))</f>
        <v>0</v>
      </c>
      <c s="409" r="BG23"/>
      <c s="551" r="BH23"/>
      <c s="551" r="BI23"/>
      <c s="551" r="BJ23"/>
      <c s="551" r="BK23"/>
      <c s="551" r="BL23"/>
      <c s="551" r="BM23"/>
      <c s="551" r="BN23"/>
      <c s="551" r="BO23"/>
      <c s="671" r="BP23"/>
      <c s="51" r="BQ23"/>
      <c s="125" r="BR23"/>
      <c s="125" r="BS23"/>
      <c s="125" r="BT23"/>
      <c s="125" r="BU23"/>
      <c s="125" r="BV23"/>
      <c s="125" r="BW23"/>
      <c s="125" r="BX23"/>
      <c s="822" r="BY23"/>
      <c s="734" r="BZ23">
        <v>18</v>
      </c>
      <c s="903" r="CA23"/>
      <c s="903" r="CB23"/>
      <c s="903" r="CC23"/>
      <c s="903" r="CD23"/>
      <c s="903" r="CE23"/>
      <c s="631" r="CF23"/>
      <c s="631" r="CG23"/>
      <c s="852" r="CH23"/>
      <c t="s" s="660" r="CI23">
        <v>516</v>
      </c>
      <c t="str" s="537" r="CJ23">
        <f>256&amp;"  -"</f>
        <v>256  -</v>
      </c>
      <c s="828" r="CK23">
        <v>362</v>
      </c>
      <c s="91" r="CL23">
        <f>COUNTIF(CA6:CG30,"&gt;256")-COUNTIF(CA6:CG30,"&gt;362")</f>
        <v>0</v>
      </c>
    </row>
    <row r="24">
      <c s="822" r="A24"/>
      <c s="406" r="B24"/>
      <c s="886" r="C24"/>
      <c s="886" r="D24"/>
      <c s="886" r="E24"/>
      <c s="886" r="F24"/>
      <c s="886" r="G24"/>
      <c s="886" r="H24"/>
      <c s="418" r="I24"/>
      <c s="702" r="J24"/>
      <c s="409" r="K24"/>
      <c t="s" s="8" r="L24">
        <v>500</v>
      </c>
      <c t="str" s="595" r="M24">
        <f>32&amp;"  -"</f>
        <v>32  -</v>
      </c>
      <c s="411" r="N24">
        <v>45</v>
      </c>
      <c s="550" r="O24"/>
      <c t="str" s="42" r="P24">
        <f>(O24/O$35)+(SUM(O$11:O23)/O$35)</f>
        <v>#DIV/0!:divZero</v>
      </c>
      <c t="str" s="619" r="Q24">
        <f>IF(OR((SUM(O$11:O25)=0),(SUM(O24:O$34)=0)),NA(),P24)</f>
        <v>#N/A:explicit</v>
      </c>
      <c s="140" r="R24"/>
      <c s="908" r="S24"/>
      <c s="551" r="T24"/>
      <c s="551" r="U24"/>
      <c s="551" r="V24"/>
      <c s="551" r="W24"/>
      <c s="551" r="X24"/>
      <c s="551" r="Y24"/>
      <c s="551" r="Z24"/>
      <c s="551" r="AA24"/>
      <c s="551" r="AB24"/>
      <c s="671" r="AC24"/>
      <c s="702" r="AD24"/>
      <c s="217" r="AE24"/>
      <c t="s" s="294" r="AF24">
        <v>485</v>
      </c>
      <c t="str" s="595" r="AG24">
        <f>11&amp;"  -"</f>
        <v>11  -</v>
      </c>
      <c s="730" r="AH24">
        <v>16</v>
      </c>
      <c s="356" r="AI24">
        <f>((IF((AI$74&gt;0),((AI60*AL$12)/AI$74),0)+IF((AI$110&gt;0),((AI96*AL$13)/AI$110),0))+IF((AI$146&gt;0),((AI132*AL$14)/AI$146),0))+IF((AI$182&gt;0),((AI168*AL$15)/AI$182),0)</f>
        <v>0</v>
      </c>
      <c t="str" s="42" r="AJ24">
        <f>(AI24/AI$38)+AJ23</f>
        <v>#DIV/0!:divZero</v>
      </c>
      <c t="str" s="619" r="AK24">
        <f>IF(OR((SUM(AI$14:AI25)=0),(SUM(AI24:AI$37)=0)),NA(),AJ24)</f>
        <v>#N/A:explicit</v>
      </c>
      <c s="140" r="AL24"/>
      <c s="762" r="AM24"/>
      <c s="69" r="AN24"/>
      <c s="69" r="AO24"/>
      <c s="69" r="AP24"/>
      <c s="69" r="AQ24"/>
      <c s="69" r="AR24"/>
      <c s="69" r="AS24"/>
      <c s="69" r="AT24"/>
      <c s="69" r="AU24"/>
      <c s="69" r="AV24"/>
      <c s="58" r="AW24">
        <f>IF((SUM(AI14:AI37)&lt;&gt;0),(AI22/SUM(AI14:AI37)),0)</f>
        <v>0</v>
      </c>
      <c s="702" r="AX24"/>
      <c s="550" r="AY24"/>
      <c s="382" r="AZ24"/>
      <c s="550" r="BA24"/>
      <c s="787" r="BB24">
        <f>IF(ISBLANK(BA24),0,(BA24-AZ24))</f>
        <v>0</v>
      </c>
      <c t="str" s="540" r="BC24">
        <f>IF((BB$32&gt;0),(BB24/BB$32),"---")</f>
        <v>---</v>
      </c>
      <c t="str" s="826" r="BD24">
        <f>BC23</f>
        <v>---</v>
      </c>
      <c t="str" s="540" r="BE24">
        <f>IF(ISNUMBER(BD24),(BD24+BE23),"---")</f>
        <v>---</v>
      </c>
      <c s="752" r="BF24">
        <f>IF(OR((BB32=0),(BE16&gt;0.95)),0,(2^(LOG((INDEX(AY16:AY31,MATCH(0.95,BE16:BE31,1))),2)+(((LOG((INDEX(AY16:AY31,(MATCH(0.95,BE16:BE31,1)+1))),2)-LOG((INDEX(AY16:AY31,MATCH(0.95,BE16:BE31,1))),2))*(0.95-INDEX(BE16:BE31,MATCH(0.95,BE16:BE31,1))))/(INDEX(BE16:BE31,(MATCH(0.95,BE16:BE31,1)+1))-INDEX(BE16:BE31,MATCH(0.95,BE16:BE31,1)))))))</f>
        <v>0</v>
      </c>
      <c s="409" r="BG24"/>
      <c s="551" r="BH24"/>
      <c s="551" r="BI24"/>
      <c s="551" r="BJ24"/>
      <c s="551" r="BK24"/>
      <c s="551" r="BL24"/>
      <c s="551" r="BM24"/>
      <c s="551" r="BN24"/>
      <c s="551" r="BO24"/>
      <c s="671" r="BP24"/>
      <c s="51" r="BQ24"/>
      <c t="s" s="125" r="BR24">
        <v>2</v>
      </c>
      <c s="125" r="BS24"/>
      <c s="125" r="BT24"/>
      <c s="125" r="BU24"/>
      <c s="125" r="BV24"/>
      <c s="125" r="BW24"/>
      <c s="125" r="BX24"/>
      <c s="822" r="BY24"/>
      <c s="734" r="BZ24">
        <v>19</v>
      </c>
      <c s="903" r="CA24"/>
      <c s="903" r="CB24"/>
      <c s="903" r="CC24"/>
      <c s="903" r="CD24"/>
      <c s="903" r="CE24"/>
      <c s="631" r="CF24"/>
      <c s="631" r="CG24"/>
      <c s="687" r="CH24"/>
      <c t="s" s="482" r="CI24">
        <v>516</v>
      </c>
      <c t="str" s="459" r="CJ24">
        <f>362&amp;"  -"</f>
        <v>362  -</v>
      </c>
      <c s="253" r="CK24">
        <v>512</v>
      </c>
      <c s="91" r="CL24">
        <f>COUNTIF(CA6:CG30,"&gt;362")-COUNTIF(CA6:CG30,"&gt;512")</f>
        <v>0</v>
      </c>
    </row>
    <row r="25">
      <c s="822" r="A25"/>
      <c s="406" r="B25"/>
      <c t="s" s="886" r="C25">
        <v>517</v>
      </c>
      <c s="886" r="D25"/>
      <c s="886" r="E25"/>
      <c s="886" r="F25"/>
      <c s="886" r="G25"/>
      <c s="886" r="H25"/>
      <c s="418" r="I25"/>
      <c s="702" r="J25"/>
      <c s="460" r="K25"/>
      <c t="s" s="18" r="L25">
        <v>500</v>
      </c>
      <c t="str" s="658" r="M25">
        <f>45&amp;"  -"</f>
        <v>45  -</v>
      </c>
      <c s="672" r="N25">
        <v>64</v>
      </c>
      <c s="550" r="O25"/>
      <c t="str" s="42" r="P25">
        <f>(O25/O$35)+(SUM(O$11:O24)/O$35)</f>
        <v>#DIV/0!:divZero</v>
      </c>
      <c t="str" s="619" r="Q25">
        <f>IF(OR((SUM(O$11:O26)=0),(SUM(O25:O$34)=0)),NA(),P25)</f>
        <v>#N/A:explicit</v>
      </c>
      <c s="140" r="R25"/>
      <c s="908" r="S25"/>
      <c s="551" r="T25"/>
      <c s="551" r="U25"/>
      <c s="551" r="V25"/>
      <c s="551" r="W25"/>
      <c s="551" r="X25"/>
      <c s="551" r="Y25"/>
      <c s="551" r="Z25"/>
      <c s="551" r="AA25"/>
      <c s="551" r="AB25"/>
      <c s="671" r="AC25"/>
      <c s="702" r="AD25"/>
      <c s="217" r="AE25"/>
      <c t="s" s="294" r="AF25">
        <v>494</v>
      </c>
      <c t="str" s="595" r="AG25">
        <f>16&amp;"  -"</f>
        <v>16  -</v>
      </c>
      <c s="730" r="AH25">
        <v>22</v>
      </c>
      <c s="356" r="AI25">
        <f>((IF((AI$74&gt;0),((AI61*AL$12)/AI$74),0)+IF((AI$110&gt;0),((AI97*AL$13)/AI$110),0))+IF((AI$146&gt;0),((AI133*AL$14)/AI$146),0))+IF((AI$182&gt;0),((AI169*AL$15)/AI$182),0)</f>
        <v>0</v>
      </c>
      <c t="str" s="42" r="AJ25">
        <f>(AI25/AI$38)+AJ24</f>
        <v>#DIV/0!:divZero</v>
      </c>
      <c t="str" s="619" r="AK25">
        <f>IF(OR((SUM(AI$14:AI26)=0),(SUM(AI25:AI$37)=0)),NA(),AJ25)</f>
        <v>#N/A:explicit</v>
      </c>
      <c s="140" r="AL25"/>
      <c s="762" r="AM25"/>
      <c s="69" r="AN25"/>
      <c s="69" r="AO25"/>
      <c s="69" r="AP25"/>
      <c s="69" r="AQ25"/>
      <c s="69" r="AR25"/>
      <c s="69" r="AS25"/>
      <c s="69" r="AT25"/>
      <c s="69" r="AU25"/>
      <c s="69" r="AV25"/>
      <c s="58" r="AW25">
        <f>IF((SUM(AI14:AI37)&lt;&gt;0),(AI23/SUM(AI14:AI37)),0)</f>
        <v>0</v>
      </c>
      <c s="702" r="AX25"/>
      <c s="550" r="AY25"/>
      <c s="382" r="AZ25"/>
      <c s="550" r="BA25"/>
      <c s="787" r="BB25">
        <f>IF(ISBLANK(BA25),0,(BA25-AZ25))</f>
        <v>0</v>
      </c>
      <c t="str" s="540" r="BC25">
        <f>IF((BB$32&gt;0),(BB25/BB$32),"---")</f>
        <v>---</v>
      </c>
      <c t="str" s="826" r="BD25">
        <f>BC24</f>
        <v>---</v>
      </c>
      <c t="str" s="540" r="BE25">
        <f>IF(ISNUMBER(BD25),(BD25+BE24),"---")</f>
        <v>---</v>
      </c>
      <c s="150" r="BF25"/>
      <c t="s" s="409" r="BG25">
        <v>459</v>
      </c>
      <c s="551" r="BH25"/>
      <c s="551" r="BI25"/>
      <c s="551" r="BJ25"/>
      <c s="551" r="BK25"/>
      <c s="551" r="BL25"/>
      <c s="551" r="BM25"/>
      <c s="551" r="BN25"/>
      <c s="551" r="BO25"/>
      <c s="671" r="BP25"/>
      <c s="51" r="BQ25"/>
      <c s="125" r="BR25"/>
      <c s="125" r="BS25"/>
      <c s="125" r="BT25"/>
      <c s="125" r="BU25"/>
      <c s="125" r="BV25"/>
      <c s="125" r="BW25"/>
      <c s="125" r="BX25"/>
      <c s="822" r="BY25"/>
      <c s="734" r="BZ25">
        <v>20</v>
      </c>
      <c s="59" r="CA25"/>
      <c s="903" r="CB25"/>
      <c s="903" r="CC25"/>
      <c s="903" r="CD25"/>
      <c s="59" r="CE25"/>
      <c s="631" r="CF25"/>
      <c s="631" r="CG25"/>
      <c s="687" r="CH25"/>
      <c t="s" s="482" r="CI25">
        <v>518</v>
      </c>
      <c t="str" s="459" r="CJ25">
        <f>512&amp;"  -"</f>
        <v>512  -</v>
      </c>
      <c s="253" r="CK25">
        <v>1024</v>
      </c>
      <c s="91" r="CL25">
        <f>COUNTIF(CA6:CG30,"&gt;512")-COUNTIF(CA6:CG30,"&gt;1024")</f>
        <v>0</v>
      </c>
    </row>
    <row r="26">
      <c s="822" r="A26"/>
      <c s="406" r="B26"/>
      <c t="s" s="886" r="C26">
        <v>519</v>
      </c>
      <c s="886" r="D26"/>
      <c s="886" r="E26"/>
      <c s="886" r="F26"/>
      <c s="886" r="G26"/>
      <c s="886" r="H26"/>
      <c s="418" r="I26"/>
      <c s="702" r="J26"/>
      <c s="511" r="K26"/>
      <c t="s" s="416" r="L26">
        <v>505</v>
      </c>
      <c t="str" s="73" r="M26">
        <f>64&amp;"  -"</f>
        <v>64  -</v>
      </c>
      <c s="860" r="N26">
        <v>90</v>
      </c>
      <c s="550" r="O26"/>
      <c t="str" s="42" r="P26">
        <f>(O26/O$35)+(SUM(O$11:O25)/O$35)</f>
        <v>#DIV/0!:divZero</v>
      </c>
      <c t="str" s="619" r="Q26">
        <f>IF(OR((SUM(O$11:O27)=0),(SUM(O26:O$34)=0)),NA(),P26)</f>
        <v>#N/A:explicit</v>
      </c>
      <c s="140" r="R26"/>
      <c s="908" r="S26"/>
      <c s="551" r="T26"/>
      <c s="551" r="U26"/>
      <c s="551" r="V26"/>
      <c s="551" r="W26"/>
      <c s="551" r="X26"/>
      <c s="551" r="Y26"/>
      <c s="551" r="Z26"/>
      <c s="551" r="AA26"/>
      <c s="551" r="AB26"/>
      <c s="671" r="AC26"/>
      <c s="702" r="AD26"/>
      <c s="217" r="AE26"/>
      <c t="s" s="294" r="AF26">
        <v>494</v>
      </c>
      <c t="str" s="595" r="AG26">
        <f>22&amp;"  -"</f>
        <v>22  -</v>
      </c>
      <c s="730" r="AH26">
        <v>32</v>
      </c>
      <c s="356" r="AI26">
        <f>((IF((AI$74&gt;0),((AI62*AL$12)/AI$74),0)+IF((AI$110&gt;0),((AI98*AL$13)/AI$110),0))+IF((AI$146&gt;0),((AI134*AL$14)/AI$146),0))+IF((AI$182&gt;0),((AI170*AL$15)/AI$182),0)</f>
        <v>0</v>
      </c>
      <c t="str" s="42" r="AJ26">
        <f>(AI26/AI$38)+AJ25</f>
        <v>#DIV/0!:divZero</v>
      </c>
      <c t="str" s="619" r="AK26">
        <f>IF(OR((SUM(AI$14:AI27)=0),(SUM(AI26:AI$37)=0)),NA(),AJ26)</f>
        <v>#N/A:explicit</v>
      </c>
      <c s="140" r="AL26"/>
      <c s="762" r="AM26"/>
      <c s="69" r="AN26"/>
      <c s="69" r="AO26"/>
      <c s="69" r="AP26"/>
      <c s="69" r="AQ26"/>
      <c s="69" r="AR26"/>
      <c s="69" r="AS26"/>
      <c s="69" r="AT26"/>
      <c s="69" r="AU26"/>
      <c s="69" r="AV26"/>
      <c s="58" r="AW26">
        <f>IF((SUM(AI14:AI37)&lt;&gt;0),(AI24/SUM(AI14:AI37)),0)</f>
        <v>0</v>
      </c>
      <c s="702" r="AX26"/>
      <c s="550" r="AY26"/>
      <c s="550" r="AZ26"/>
      <c s="550" r="BA26"/>
      <c s="787" r="BB26">
        <f>IF(ISBLANK(BA26),0,(BA26-AZ26))</f>
        <v>0</v>
      </c>
      <c t="str" s="540" r="BC26">
        <f>IF((BB$32&gt;0),(BB26/BB$32),"---")</f>
        <v>---</v>
      </c>
      <c t="str" s="826" r="BD26">
        <f>BC25</f>
        <v>---</v>
      </c>
      <c t="str" s="540" r="BE26">
        <f>IF(ISNUMBER(BD26),(BD26+BE25),"---")</f>
        <v>---</v>
      </c>
      <c s="513" r="BF26">
        <v>0.01</v>
      </c>
      <c s="409" r="BG26"/>
      <c s="551" r="BH26"/>
      <c s="551" r="BI26"/>
      <c s="551" r="BJ26"/>
      <c s="551" r="BK26"/>
      <c s="551" r="BL26"/>
      <c s="551" r="BM26"/>
      <c s="551" r="BN26"/>
      <c s="551" r="BO26"/>
      <c s="671" r="BP26"/>
      <c s="51" r="BQ26"/>
      <c s="125" r="BR26"/>
      <c s="125" r="BS26"/>
      <c s="125" r="BT26"/>
      <c s="125" r="BU26"/>
      <c s="125" r="BV26"/>
      <c s="125" r="BW26"/>
      <c s="125" r="BX26"/>
      <c s="822" r="BY26"/>
      <c s="734" r="BZ26">
        <v>21</v>
      </c>
      <c s="903" r="CA26"/>
      <c s="903" r="CB26"/>
      <c s="903" r="CC26"/>
      <c s="903" r="CD26"/>
      <c s="903" r="CE26"/>
      <c s="631" r="CF26"/>
      <c s="631" r="CG26"/>
      <c s="687" r="CH26"/>
      <c t="s" s="482" r="CI26">
        <v>520</v>
      </c>
      <c t="str" s="459" r="CJ26">
        <f>1024&amp;"  -"</f>
        <v>1024  -</v>
      </c>
      <c s="253" r="CK26">
        <v>2048</v>
      </c>
      <c s="91" r="CL26">
        <f>COUNTIF(CA6:CG30,"&gt;1024")-COUNTIF(CA6:CG30,"&gt;2048")</f>
        <v>0</v>
      </c>
    </row>
    <row customHeight="1" r="27" ht="13.5">
      <c s="822" r="A27"/>
      <c s="406" r="B27"/>
      <c t="s" s="886" r="C27">
        <v>521</v>
      </c>
      <c s="886" r="D27"/>
      <c s="886" r="E27"/>
      <c s="886" r="F27"/>
      <c s="886" r="G27"/>
      <c s="886" r="H27"/>
      <c s="418" r="I27"/>
      <c s="702" r="J27"/>
      <c s="409" r="K27"/>
      <c t="s" s="8" r="L27">
        <v>507</v>
      </c>
      <c t="str" s="595" r="M27">
        <f>90&amp;"  -"</f>
        <v>90  -</v>
      </c>
      <c s="411" r="N27">
        <v>128</v>
      </c>
      <c s="550" r="O27"/>
      <c t="str" s="42" r="P27">
        <f>(O27/O$35)+(SUM(O$11:O26)/O$35)</f>
        <v>#DIV/0!:divZero</v>
      </c>
      <c t="str" s="619" r="Q27">
        <f>IF(OR((SUM(O$11:O28)=0),(SUM(O27:O$34)=0)),NA(),P27)</f>
        <v>#N/A:explicit</v>
      </c>
      <c s="140" r="R27"/>
      <c s="908" r="S27"/>
      <c s="551" r="T27"/>
      <c s="551" r="U27"/>
      <c s="551" r="V27"/>
      <c s="551" r="W27"/>
      <c s="551" r="X27"/>
      <c s="551" r="Y27"/>
      <c s="551" r="Z27"/>
      <c s="551" r="AA27"/>
      <c s="551" r="AB27"/>
      <c s="671" r="AC27"/>
      <c s="702" r="AD27"/>
      <c s="409" r="AE27"/>
      <c t="s" s="8" r="AF27">
        <v>500</v>
      </c>
      <c t="str" s="595" r="AG27">
        <f>32&amp;"  -"</f>
        <v>32  -</v>
      </c>
      <c s="730" r="AH27">
        <v>45</v>
      </c>
      <c s="356" r="AI27">
        <f>((IF((AI$74&gt;0),((AI63*AL$12)/AI$74),0)+IF((AI$110&gt;0),((AI99*AL$13)/AI$110),0))+IF((AI$146&gt;0),((AI135*AL$14)/AI$146),0))+IF((AI$182&gt;0),((AI171*AL$15)/AI$182),0)</f>
        <v>0</v>
      </c>
      <c t="str" s="42" r="AJ27">
        <f>(AI27/AI$38)+AJ26</f>
        <v>#DIV/0!:divZero</v>
      </c>
      <c t="str" s="619" r="AK27">
        <f>IF(OR((SUM(AI$14:AI28)=0),(SUM(AI27:AI$37)=0)),NA(),AJ27)</f>
        <v>#N/A:explicit</v>
      </c>
      <c s="140" r="AL27"/>
      <c s="762" r="AM27"/>
      <c s="69" r="AN27"/>
      <c s="69" r="AO27"/>
      <c s="69" r="AP27"/>
      <c s="69" r="AQ27"/>
      <c s="69" r="AR27"/>
      <c s="69" r="AS27"/>
      <c s="69" r="AT27"/>
      <c s="69" r="AU27"/>
      <c s="69" r="AV27"/>
      <c s="58" r="AW27">
        <f>IF((SUM(AI14:AI37)&lt;&gt;0),(AI25/SUM(AI14:AI37)),0)</f>
        <v>0</v>
      </c>
      <c s="702" r="AX27"/>
      <c s="550" r="AY27"/>
      <c s="550" r="AZ27"/>
      <c s="550" r="BA27"/>
      <c s="787" r="BB27">
        <f>IF(ISBLANK(BA27),0,(BA27-AZ27))</f>
        <v>0</v>
      </c>
      <c t="str" s="540" r="BC27">
        <f>IF((BB$32&gt;0),(BB27/BB$32),"---")</f>
        <v>---</v>
      </c>
      <c t="str" s="826" r="BD27">
        <f>BC26</f>
        <v>---</v>
      </c>
      <c t="str" s="540" r="BE27">
        <f>IF(ISNUMBER(BD27),(BD27+BE26),"---")</f>
        <v>---</v>
      </c>
      <c t="str" s="513" r="BF27">
        <f>IF(ISNUMBER(BI35),BI35,NA())</f>
        <v>#N/A:explicit</v>
      </c>
      <c s="409" r="BG27"/>
      <c s="551" r="BH27"/>
      <c s="551" r="BI27"/>
      <c s="551" r="BJ27"/>
      <c s="551" r="BK27"/>
      <c s="551" r="BL27"/>
      <c s="551" r="BM27"/>
      <c s="551" r="BN27"/>
      <c s="551" r="BO27"/>
      <c s="671" r="BP27"/>
      <c s="51" r="BQ27"/>
      <c s="125" r="BR27"/>
      <c s="125" r="BS27"/>
      <c s="125" r="BT27"/>
      <c s="125" r="BU27"/>
      <c s="125" r="BV27"/>
      <c s="125" r="BW27"/>
      <c s="125" r="BX27"/>
      <c s="822" r="BY27"/>
      <c s="734" r="BZ27">
        <v>22</v>
      </c>
      <c s="903" r="CA27"/>
      <c s="903" r="CB27"/>
      <c s="903" r="CC27"/>
      <c s="903" r="CD27"/>
      <c s="903" r="CE27"/>
      <c s="631" r="CF27"/>
      <c s="631" r="CG27"/>
      <c s="687" r="CH27"/>
      <c t="s" s="482" r="CI27">
        <v>522</v>
      </c>
      <c t="str" s="630" r="CJ27">
        <f>2048&amp;"  -"</f>
        <v>2048  -</v>
      </c>
      <c s="530" r="CK27">
        <v>4096</v>
      </c>
      <c s="387" r="CL27">
        <f>COUNTIF(CA6:CG30,"&gt;2048")-COUNTIF(CA6:CG30,"&gt;4096")</f>
        <v>0</v>
      </c>
    </row>
    <row r="28">
      <c s="822" r="A28"/>
      <c s="406" r="B28"/>
      <c s="886" r="C28"/>
      <c s="886" r="D28"/>
      <c s="886" r="E28"/>
      <c s="886" r="F28"/>
      <c s="886" r="G28"/>
      <c s="886" r="H28"/>
      <c s="418" r="I28"/>
      <c s="702" r="J28"/>
      <c s="409" r="K28"/>
      <c t="s" s="8" r="L28">
        <v>510</v>
      </c>
      <c t="str" s="595" r="M28">
        <f>128&amp;"  -"</f>
        <v>128  -</v>
      </c>
      <c s="411" r="N28">
        <v>180</v>
      </c>
      <c s="550" r="O28"/>
      <c t="str" s="42" r="P28">
        <f>(O28/O$35)+(SUM(O$11:O27)/O$35)</f>
        <v>#DIV/0!:divZero</v>
      </c>
      <c t="str" s="619" r="Q28">
        <f>IF(OR((SUM(O$11:O29)=0),(SUM(O28:O$34)=0)),NA(),P28)</f>
        <v>#N/A:explicit</v>
      </c>
      <c s="140" r="R28"/>
      <c s="908" r="S28"/>
      <c s="551" r="T28"/>
      <c s="551" r="U28"/>
      <c s="551" r="V28"/>
      <c s="551" r="W28"/>
      <c s="551" r="X28"/>
      <c s="551" r="Y28"/>
      <c s="551" r="Z28"/>
      <c s="551" r="AA28"/>
      <c s="551" r="AB28"/>
      <c s="671" r="AC28"/>
      <c s="702" r="AD28"/>
      <c s="460" r="AE28"/>
      <c t="s" s="18" r="AF28">
        <v>500</v>
      </c>
      <c t="str" s="658" r="AG28">
        <f>45&amp;"  -"</f>
        <v>45  -</v>
      </c>
      <c s="143" r="AH28">
        <v>64</v>
      </c>
      <c s="696" r="AI28">
        <f>((IF((AI$74&gt;0),((AI64*AL$12)/AI$74),0)+IF((AI$110&gt;0),((AI100*AL$13)/AI$110),0))+IF((AI$146&gt;0),((AI136*AL$14)/AI$146),0))+IF((AI$182&gt;0),((AI172*AL$15)/AI$182),0)</f>
        <v>0</v>
      </c>
      <c t="str" s="42" r="AJ28">
        <f>(AI28/AI$38)+AJ27</f>
        <v>#DIV/0!:divZero</v>
      </c>
      <c t="str" s="619" r="AK28">
        <f>IF(OR((SUM(AI$14:AI29)=0),(SUM(AI28:AI$37)=0)),NA(),AJ28)</f>
        <v>#N/A:explicit</v>
      </c>
      <c s="140" r="AL28"/>
      <c s="762" r="AM28"/>
      <c s="69" r="AN28"/>
      <c s="69" r="AO28"/>
      <c s="69" r="AP28"/>
      <c s="69" r="AQ28"/>
      <c s="69" r="AR28"/>
      <c s="69" r="AS28"/>
      <c s="69" r="AT28"/>
      <c s="69" r="AU28"/>
      <c s="69" r="AV28"/>
      <c s="58" r="AW28">
        <f>IF((SUM(AI14:AI37)&lt;&gt;0),(AI26/SUM(AI14:AI37)),0)</f>
        <v>0</v>
      </c>
      <c s="702" r="AX28"/>
      <c s="550" r="AY28"/>
      <c s="550" r="AZ28"/>
      <c s="550" r="BA28"/>
      <c s="787" r="BB28">
        <f>IF(ISBLANK(BA28),0,(BA28-AZ28))</f>
        <v>0</v>
      </c>
      <c t="str" s="540" r="BC28">
        <f>IF((BB$32&gt;0),(BB28/BB$32),"---")</f>
        <v>---</v>
      </c>
      <c t="str" s="826" r="BD28">
        <f>BC27</f>
        <v>---</v>
      </c>
      <c t="str" s="540" r="BE28">
        <f>IF(ISNUMBER(BD28),(BD28+BE27),"---")</f>
        <v>---</v>
      </c>
      <c t="str" s="513" r="BF28">
        <f>BF27</f>
        <v>#N/A:explicit</v>
      </c>
      <c s="409" r="BG28"/>
      <c s="551" r="BH28"/>
      <c s="551" r="BI28"/>
      <c s="551" r="BJ28"/>
      <c s="551" r="BK28"/>
      <c s="551" r="BL28"/>
      <c s="551" r="BM28"/>
      <c s="551" r="BN28"/>
      <c s="551" r="BO28"/>
      <c s="671" r="BP28"/>
      <c s="51" r="BQ28"/>
      <c s="125" r="BR28"/>
      <c s="125" r="BS28"/>
      <c s="125" r="BT28"/>
      <c s="125" r="BU28"/>
      <c s="125" r="BV28"/>
      <c s="125" r="BW28"/>
      <c s="125" r="BX28"/>
      <c s="822" r="BY28"/>
      <c s="734" r="BZ28">
        <v>23</v>
      </c>
      <c s="903" r="CA28"/>
      <c s="903" r="CB28"/>
      <c s="903" r="CC28"/>
      <c s="903" r="CD28"/>
      <c s="903" r="CE28"/>
      <c s="631" r="CF28"/>
      <c s="631" r="CG28"/>
      <c s="406" r="CH28"/>
      <c s="886" r="CI28"/>
      <c s="886" r="CJ28"/>
      <c s="886" r="CK28"/>
      <c s="760" r="CL28"/>
    </row>
    <row r="29">
      <c s="822" r="A29"/>
      <c s="406" r="B29"/>
      <c t="s" s="886" r="C29">
        <v>523</v>
      </c>
      <c s="886" r="D29"/>
      <c s="886" r="E29"/>
      <c s="886" r="F29"/>
      <c s="886" r="G29"/>
      <c s="886" r="H29"/>
      <c s="418" r="I29"/>
      <c s="702" r="J29"/>
      <c s="460" r="K29"/>
      <c t="s" s="18" r="L29">
        <v>513</v>
      </c>
      <c t="str" s="658" r="M29">
        <f>180&amp;"  -"</f>
        <v>180  -</v>
      </c>
      <c s="672" r="N29">
        <v>256</v>
      </c>
      <c s="550" r="O29"/>
      <c t="str" s="42" r="P29">
        <f>(O29/O$35)+(SUM(O$11:O28)/O$35)</f>
        <v>#DIV/0!:divZero</v>
      </c>
      <c t="str" s="619" r="Q29">
        <f>IF(OR((SUM(O$11:O30)=0),(SUM(O29:O$34)=0)),NA(),P29)</f>
        <v>#N/A:explicit</v>
      </c>
      <c s="140" r="R29"/>
      <c s="908" r="S29"/>
      <c s="551" r="T29"/>
      <c s="551" r="U29"/>
      <c s="551" r="V29"/>
      <c s="551" r="W29"/>
      <c s="551" r="X29"/>
      <c s="551" r="Y29"/>
      <c s="551" r="Z29"/>
      <c s="551" r="AA29"/>
      <c s="551" r="AB29"/>
      <c s="671" r="AC29"/>
      <c s="702" r="AD29"/>
      <c s="511" r="AE29"/>
      <c t="s" s="416" r="AF29">
        <v>505</v>
      </c>
      <c t="str" s="73" r="AG29">
        <f>64&amp;"  -"</f>
        <v>64  -</v>
      </c>
      <c s="497" r="AH29">
        <v>90</v>
      </c>
      <c s="570" r="AI29">
        <f>((IF((AI$74&gt;0),((AI65*AL$12)/AI$74),0)+IF((AI$110&gt;0),((AI101*AL$13)/AI$110),0))+IF((AI$146&gt;0),((AI137*AL$14)/AI$146),0))+IF((AI$182&gt;0),((AI173*AL$15)/AI$182),0)</f>
        <v>0</v>
      </c>
      <c t="str" s="42" r="AJ29">
        <f>(AI29/AI$38)+AJ28</f>
        <v>#DIV/0!:divZero</v>
      </c>
      <c t="str" s="619" r="AK29">
        <f>IF(OR((SUM(AI$14:AI30)=0),(SUM(AI29:AI$37)=0)),NA(),AJ29)</f>
        <v>#N/A:explicit</v>
      </c>
      <c s="140" r="AL29"/>
      <c s="762" r="AM29"/>
      <c s="69" r="AN29"/>
      <c s="69" r="AO29"/>
      <c s="69" r="AP29"/>
      <c s="69" r="AQ29"/>
      <c s="69" r="AR29"/>
      <c s="69" r="AS29"/>
      <c s="69" r="AT29"/>
      <c s="69" r="AU29"/>
      <c s="69" r="AV29"/>
      <c s="58" r="AW29">
        <f>IF((SUM(AI14:AI37)&lt;&gt;0),(AI27/SUM(AI14:AI37)),0)</f>
        <v>0</v>
      </c>
      <c s="702" r="AX29"/>
      <c s="550" r="AY29"/>
      <c s="550" r="AZ29"/>
      <c s="550" r="BA29"/>
      <c s="787" r="BB29">
        <f>IF(ISBLANK(BA29),0,(BA29-AZ29))</f>
        <v>0</v>
      </c>
      <c t="str" s="540" r="BC29">
        <f>IF((BB$32&gt;0),(BB29/BB$32),"---")</f>
        <v>---</v>
      </c>
      <c t="str" s="826" r="BD29">
        <f>BC28</f>
        <v>---</v>
      </c>
      <c t="str" s="540" r="BE29">
        <f>IF(ISNUMBER(BD29),(BD29+BE28),"---")</f>
        <v>---</v>
      </c>
      <c t="str" s="513" r="BF29">
        <f>IF((BB32&gt;0),0.5,NA())</f>
        <v>#N/A:explicit</v>
      </c>
      <c s="409" r="BG29"/>
      <c s="551" r="BH29"/>
      <c s="551" r="BI29"/>
      <c s="551" r="BJ29"/>
      <c s="551" r="BK29"/>
      <c s="551" r="BL29"/>
      <c s="551" r="BM29"/>
      <c s="551" r="BN29"/>
      <c s="551" r="BO29"/>
      <c s="671" r="BP29"/>
      <c s="51" r="BQ29"/>
      <c s="125" r="BR29"/>
      <c s="125" r="BS29"/>
      <c s="125" r="BT29"/>
      <c s="125" r="BU29"/>
      <c s="125" r="BV29"/>
      <c s="125" r="BW29"/>
      <c s="125" r="BX29"/>
      <c s="822" r="BY29"/>
      <c s="734" r="BZ29">
        <v>24</v>
      </c>
      <c s="903" r="CA29"/>
      <c s="903" r="CB29"/>
      <c s="903" r="CC29"/>
      <c s="903" r="CD29"/>
      <c s="903" r="CE29"/>
      <c s="631" r="CF29"/>
      <c s="631" r="CG29"/>
      <c s="406" r="CH29"/>
      <c s="886" r="CI29"/>
      <c s="886" r="CJ29"/>
      <c s="886" r="CK29"/>
      <c s="418" r="CL29"/>
    </row>
    <row customHeight="1" r="30" ht="13.5">
      <c s="822" r="A30"/>
      <c s="695" r="B30"/>
      <c s="566" r="C30"/>
      <c s="566" r="D30"/>
      <c s="566" r="E30"/>
      <c s="566" r="F30"/>
      <c s="566" r="G30"/>
      <c s="566" r="H30"/>
      <c s="704" r="I30"/>
      <c s="702" r="J30"/>
      <c s="511" r="K30"/>
      <c t="s" s="416" r="L30">
        <v>516</v>
      </c>
      <c t="str" s="73" r="M30">
        <f>256&amp;"  -"</f>
        <v>256  -</v>
      </c>
      <c s="860" r="N30">
        <v>362</v>
      </c>
      <c s="550" r="O30"/>
      <c t="str" s="42" r="P30">
        <f>(O30/O$35)+(SUM(O$11:O29)/O$35)</f>
        <v>#DIV/0!:divZero</v>
      </c>
      <c t="str" s="619" r="Q30">
        <f>IF(OR((SUM(O$11:O31)=0),(SUM(O30:O$34)=0)),NA(),P30)</f>
        <v>#N/A:explicit</v>
      </c>
      <c s="140" r="R30"/>
      <c s="908" r="S30"/>
      <c s="551" r="T30"/>
      <c s="551" r="U30"/>
      <c s="551" r="V30"/>
      <c s="551" r="W30"/>
      <c s="551" r="X30"/>
      <c s="551" r="Y30"/>
      <c s="551" r="Z30"/>
      <c s="551" r="AA30"/>
      <c s="551" r="AB30"/>
      <c s="671" r="AC30"/>
      <c s="702" r="AD30"/>
      <c s="409" r="AE30"/>
      <c t="s" s="8" r="AF30">
        <v>507</v>
      </c>
      <c t="str" s="595" r="AG30">
        <f>90&amp;"  -"</f>
        <v>90  -</v>
      </c>
      <c s="730" r="AH30">
        <v>128</v>
      </c>
      <c s="356" r="AI30">
        <f>((IF((AI$74&gt;0),((AI66*AL$12)/AI$74),0)+IF((AI$110&gt;0),((AI102*AL$13)/AI$110),0))+IF((AI$146&gt;0),((AI138*AL$14)/AI$146),0))+IF((AI$182&gt;0),((AI174*AL$15)/AI$182),0)</f>
        <v>0</v>
      </c>
      <c t="str" s="42" r="AJ30">
        <f>(AI30/AI$38)+AJ29</f>
        <v>#DIV/0!:divZero</v>
      </c>
      <c t="str" s="619" r="AK30">
        <f>IF(OR((SUM(AI$14:AI31)=0),(SUM(AI30:AI$37)=0)),NA(),AJ30)</f>
        <v>#N/A:explicit</v>
      </c>
      <c s="140" r="AL30"/>
      <c s="762" r="AM30"/>
      <c s="69" r="AN30"/>
      <c s="69" r="AO30"/>
      <c s="69" r="AP30"/>
      <c s="69" r="AQ30"/>
      <c s="69" r="AR30"/>
      <c s="69" r="AS30"/>
      <c s="69" r="AT30"/>
      <c s="69" r="AU30"/>
      <c s="69" r="AV30"/>
      <c s="58" r="AW30">
        <f>IF((SUM(AI14:AI37)&lt;&gt;0),(AI28/SUM(AI14:AI37)),0)</f>
        <v>0</v>
      </c>
      <c s="702" r="AX30"/>
      <c s="550" r="AY30"/>
      <c s="550" r="AZ30"/>
      <c s="550" r="BA30"/>
      <c s="787" r="BB30">
        <f>IF(ISBLANK(BA30),0,(BA30-AZ30))</f>
        <v>0</v>
      </c>
      <c t="str" s="540" r="BC30">
        <f>IF((BB$32&gt;0),(BB30/BB$32),"---")</f>
        <v>---</v>
      </c>
      <c t="str" s="826" r="BD30">
        <f>BC29</f>
        <v>---</v>
      </c>
      <c t="str" s="540" r="BE30">
        <f>IF(ISNUMBER(BD30),(BD30+BE29),"---")</f>
        <v>---</v>
      </c>
      <c t="str" s="513" r="BF30">
        <f>BF29</f>
        <v>#N/A:explicit</v>
      </c>
      <c s="409" r="BG30"/>
      <c s="551" r="BH30"/>
      <c s="551" r="BI30"/>
      <c s="551" r="BJ30"/>
      <c s="551" r="BK30"/>
      <c s="551" r="BL30"/>
      <c s="551" r="BM30"/>
      <c s="551" r="BN30"/>
      <c s="551" r="BO30"/>
      <c s="671" r="BP30"/>
      <c s="51" r="BQ30"/>
      <c s="125" r="BR30"/>
      <c s="125" r="BS30"/>
      <c s="125" r="BT30"/>
      <c s="125" r="BU30"/>
      <c s="125" r="BV30"/>
      <c s="125" r="BW30"/>
      <c s="125" r="BX30"/>
      <c s="822" r="BY30"/>
      <c s="355" r="BZ30">
        <v>25</v>
      </c>
      <c s="903" r="CA30"/>
      <c s="903" r="CB30"/>
      <c s="903" r="CC30"/>
      <c s="903" r="CD30"/>
      <c s="903" r="CE30"/>
      <c s="631" r="CF30"/>
      <c s="631" r="CG30"/>
      <c s="695" r="CH30"/>
      <c s="566" r="CI30"/>
      <c s="566" r="CJ30"/>
      <c s="566" r="CK30"/>
      <c s="704" r="CL30"/>
    </row>
    <row customHeight="1" r="31" ht="14.25">
      <c s="125" r="A31"/>
      <c s="412" r="B31"/>
      <c s="412" r="C31"/>
      <c s="412" r="D31"/>
      <c s="412" r="E31"/>
      <c s="412" r="F31"/>
      <c s="412" r="G31"/>
      <c s="412" r="H31"/>
      <c s="412" r="I31"/>
      <c s="822" r="J31"/>
      <c s="409" r="K31"/>
      <c t="s" s="8" r="L31">
        <v>516</v>
      </c>
      <c t="str" s="595" r="M31">
        <f>362&amp;"  -"</f>
        <v>362  -</v>
      </c>
      <c s="411" r="N31">
        <v>512</v>
      </c>
      <c s="550" r="O31"/>
      <c t="str" s="42" r="P31">
        <f>(O31/O$35)+(SUM(O$11:O30)/O$35)</f>
        <v>#DIV/0!:divZero</v>
      </c>
      <c t="str" s="619" r="Q31">
        <f>IF(OR((SUM(O$11:O32)=0),(SUM(O31:O$34)=0)),NA(),P31)</f>
        <v>#N/A:explicit</v>
      </c>
      <c s="72" r="R31"/>
      <c s="908" r="S31"/>
      <c s="551" r="T31"/>
      <c s="551" r="U31"/>
      <c s="551" r="V31"/>
      <c s="551" r="W31"/>
      <c s="551" r="X31"/>
      <c s="551" r="Y31"/>
      <c s="551" r="Z31"/>
      <c s="551" r="AA31"/>
      <c s="551" r="AB31"/>
      <c s="671" r="AC31"/>
      <c s="702" r="AD31"/>
      <c s="409" r="AE31"/>
      <c t="s" s="8" r="AF31">
        <v>510</v>
      </c>
      <c t="str" s="595" r="AG31">
        <f>128&amp;"  -"</f>
        <v>128  -</v>
      </c>
      <c s="730" r="AH31">
        <v>180</v>
      </c>
      <c s="356" r="AI31">
        <f>((IF((AI$74&gt;0),((AI67*AL$12)/AI$74),0)+IF((AI$110&gt;0),((AI103*AL$13)/AI$110),0))+IF((AI$146&gt;0),((AI139*AL$14)/AI$146),0))+IF((AI$182&gt;0),((AI175*AL$15)/AI$182),0)</f>
        <v>0</v>
      </c>
      <c t="str" s="42" r="AJ31">
        <f>(AI31/AI$38)+AJ30</f>
        <v>#DIV/0!:divZero</v>
      </c>
      <c t="str" s="619" r="AK31">
        <f>IF(OR((SUM(AI$14:AI32)=0),(SUM(AI31:AI$37)=0)),NA(),AJ31)</f>
        <v>#N/A:explicit</v>
      </c>
      <c s="140" r="AL31"/>
      <c s="762" r="AM31"/>
      <c s="69" r="AN31"/>
      <c s="69" r="AO31"/>
      <c s="69" r="AP31"/>
      <c s="69" r="AQ31"/>
      <c s="69" r="AR31"/>
      <c s="69" r="AS31"/>
      <c s="69" r="AT31"/>
      <c s="69" r="AU31"/>
      <c s="69" r="AV31"/>
      <c s="58" r="AW31">
        <f>IF((SUM(AI14:AI37)&lt;&gt;0),(AI29/SUM(AI14:AI37)),0)</f>
        <v>0</v>
      </c>
      <c s="702" r="AX31"/>
      <c s="550" r="AY31"/>
      <c s="550" r="AZ31"/>
      <c s="550" r="BA31"/>
      <c s="261" r="BB31">
        <f>IF(ISBLANK(BA31),0,(BA31-AZ31))</f>
        <v>0</v>
      </c>
      <c t="str" s="540" r="BC31">
        <f>IF((BB$32&gt;0),(BB31/BB$32),"---")</f>
        <v>---</v>
      </c>
      <c t="str" s="826" r="BD31">
        <f>BC30</f>
        <v>---</v>
      </c>
      <c t="str" s="540" r="BE31">
        <f>IF(ISNUMBER(BD31),(BD31+BE30),"---")</f>
        <v>---</v>
      </c>
      <c s="513" r="BF31">
        <v>0</v>
      </c>
      <c s="409" r="BG31"/>
      <c s="551" r="BH31"/>
      <c s="551" r="BI31"/>
      <c s="551" r="BJ31"/>
      <c s="551" r="BK31"/>
      <c s="551" r="BL31"/>
      <c s="551" r="BM31"/>
      <c s="52" r="BN31"/>
      <c s="52" r="BO31"/>
      <c s="671" r="BP31"/>
      <c s="51" r="BQ31"/>
      <c s="125" r="BR31"/>
      <c s="125" r="BS31"/>
      <c s="125" r="BT31"/>
      <c s="125" r="BU31"/>
      <c s="125" r="BV31"/>
      <c s="125" r="BW31"/>
      <c s="125" r="BX31"/>
      <c s="125" r="BY31"/>
      <c s="442" r="BZ31"/>
      <c s="442" r="CA31"/>
      <c s="442" r="CB31"/>
      <c s="442" r="CC31"/>
      <c s="442" r="CD31"/>
      <c s="442" r="CE31"/>
      <c s="442" r="CF31"/>
      <c s="442" r="CG31"/>
      <c s="442" r="CH31"/>
      <c s="442" r="CI31"/>
      <c s="442" r="CJ31"/>
      <c s="442" r="CK31"/>
      <c s="442" r="CL31"/>
    </row>
    <row customHeight="1" r="32" ht="15.75">
      <c s="822" r="A32"/>
      <c t="s" s="659" r="B32">
        <v>402</v>
      </c>
      <c s="516" r="C32"/>
      <c s="516" r="D32"/>
      <c s="507" r="E32"/>
      <c s="507" r="F32"/>
      <c s="507" r="G32"/>
      <c s="507" r="H32"/>
      <c s="138" r="I32"/>
      <c s="702" r="J32"/>
      <c s="409" r="K32"/>
      <c t="s" s="8" r="L32">
        <v>518</v>
      </c>
      <c t="str" s="595" r="M32">
        <f>512&amp;"  -"</f>
        <v>512  -</v>
      </c>
      <c s="411" r="N32">
        <v>1024</v>
      </c>
      <c s="550" r="O32"/>
      <c t="str" s="42" r="P32">
        <f>(O32/O$35)+(SUM(O$11:O31)/O$35)</f>
        <v>#DIV/0!:divZero</v>
      </c>
      <c t="str" s="619" r="Q32">
        <f>IF(OR((SUM(O$11:O33)=0),(SUM(O32:O$34)=0)),NA(),P32)</f>
        <v>#N/A:explicit</v>
      </c>
      <c s="140" r="R32">
        <v>0.01</v>
      </c>
      <c s="908" r="S32"/>
      <c s="551" r="T32"/>
      <c s="551" r="U32"/>
      <c s="551" r="V32"/>
      <c s="551" r="W32"/>
      <c s="551" r="X32"/>
      <c s="551" r="Y32"/>
      <c s="551" r="Z32"/>
      <c s="551" r="AA32"/>
      <c s="551" r="AB32"/>
      <c s="671" r="AC32"/>
      <c s="702" r="AD32"/>
      <c s="460" r="AE32"/>
      <c t="s" s="18" r="AF32">
        <v>513</v>
      </c>
      <c t="str" s="658" r="AG32">
        <f>180&amp;"  -"</f>
        <v>180  -</v>
      </c>
      <c s="143" r="AH32">
        <v>256</v>
      </c>
      <c s="696" r="AI32">
        <f>((IF((AI$74&gt;0),((AI68*AL$12)/AI$74),0)+IF((AI$110&gt;0),((AI104*AL$13)/AI$110),0))+IF((AI$146&gt;0),((AI140*AL$14)/AI$146),0))+IF((AI$182&gt;0),((AI176*AL$15)/AI$182),0)</f>
        <v>0</v>
      </c>
      <c t="str" s="42" r="AJ32">
        <f>(AI32/AI$38)+AJ31</f>
        <v>#DIV/0!:divZero</v>
      </c>
      <c t="str" s="619" r="AK32">
        <f>IF(OR((SUM(AI$14:AI33)=0),(SUM(AI32:AI$37)=0)),NA(),AJ32)</f>
        <v>#N/A:explicit</v>
      </c>
      <c s="140" r="AL32"/>
      <c s="762" r="AM32"/>
      <c s="69" r="AN32"/>
      <c s="69" r="AO32"/>
      <c s="69" r="AP32"/>
      <c s="69" r="AQ32"/>
      <c s="69" r="AR32"/>
      <c s="69" r="AS32"/>
      <c s="69" r="AT32"/>
      <c s="69" r="AU32"/>
      <c s="69" r="AV32"/>
      <c s="58" r="AW32">
        <f>IF((SUM(AI14:AI37)&lt;&gt;0),(AI30/SUM(AI14:AI37)),0)</f>
        <v>0</v>
      </c>
      <c s="702" r="AX32"/>
      <c s="178" r="AY32"/>
      <c s="640" r="AZ32"/>
      <c t="s" s="783" r="BA32">
        <v>524</v>
      </c>
      <c s="213" r="BB32">
        <f>SUM(BB15:BB31)</f>
        <v>0</v>
      </c>
      <c s="522" r="BC32"/>
      <c s="522" r="BD32"/>
      <c s="671" r="BE32"/>
      <c s="513" r="BF32">
        <v>0.01</v>
      </c>
      <c s="409" r="BG32"/>
      <c t="s" s="538" r="BH32">
        <v>525</v>
      </c>
      <c s="538" r="BI32"/>
      <c s="538" r="BJ32"/>
      <c s="680" r="BK32"/>
      <c s="680" r="BL32"/>
      <c s="551" r="BM32"/>
      <c s="37" r="BN32"/>
      <c s="776" r="BO32"/>
      <c s="671" r="BP32"/>
      <c t="s" s="51" r="BQ32">
        <v>2</v>
      </c>
      <c s="125" r="BR32"/>
      <c s="125" r="BS32"/>
      <c s="125" r="BT32"/>
      <c s="125" r="BU32"/>
      <c s="125" r="BV32"/>
      <c s="125" r="BW32"/>
      <c s="125" r="BX32"/>
      <c s="125" r="BY32"/>
      <c s="125" r="BZ32"/>
      <c s="125" r="CA32"/>
      <c s="125" r="CB32"/>
      <c s="125" r="CC32"/>
      <c s="125" r="CD32"/>
      <c s="125" r="CE32"/>
      <c s="125" r="CF32"/>
      <c s="125" r="CG32"/>
      <c s="125" r="CH32"/>
      <c s="125" r="CI32"/>
      <c s="125" r="CJ32"/>
      <c s="125" r="CK32"/>
      <c s="125" r="CL32"/>
    </row>
    <row r="33">
      <c s="822" r="A33"/>
      <c s="738" r="B33"/>
      <c t="s" s="94" r="C33">
        <v>13</v>
      </c>
      <c t="str" s="10" r="D33">
        <f>Summary!$N$6</f>
        <v>---</v>
      </c>
      <c s="664" r="E33"/>
      <c s="664" r="F33"/>
      <c s="664" r="G33"/>
      <c s="664" r="H33"/>
      <c s="726" r="I33"/>
      <c s="702" r="J33"/>
      <c s="409" r="K33"/>
      <c t="s" s="8" r="L33">
        <v>520</v>
      </c>
      <c t="str" s="595" r="M33">
        <f>1024&amp;"  -"</f>
        <v>1024  -</v>
      </c>
      <c s="411" r="N33">
        <v>2048</v>
      </c>
      <c s="550" r="O33"/>
      <c t="str" s="42" r="P33">
        <f>(O33/O$35)+(SUM(O$11:O32)/O$35)</f>
        <v>#DIV/0!:divZero</v>
      </c>
      <c t="str" s="619" r="Q33">
        <f>IF(OR((SUM(O$11:O34)=0),(SUM(O33:O$34)=0)),NA(),P33)</f>
        <v>#N/A:explicit</v>
      </c>
      <c t="str" s="140" r="R33">
        <f>U39</f>
        <v>---</v>
      </c>
      <c s="908" r="S33"/>
      <c s="551" r="T33"/>
      <c s="551" r="U33"/>
      <c s="551" r="V33"/>
      <c s="551" r="W33"/>
      <c s="551" r="X33"/>
      <c s="551" r="Y33"/>
      <c s="551" r="Z33"/>
      <c s="551" r="AA33"/>
      <c s="551" r="AB33"/>
      <c s="671" r="AC33"/>
      <c s="702" r="AD33"/>
      <c s="511" r="AE33"/>
      <c t="s" s="416" r="AF33">
        <v>516</v>
      </c>
      <c t="str" s="73" r="AG33">
        <f>256&amp;"  -"</f>
        <v>256  -</v>
      </c>
      <c s="497" r="AH33">
        <v>362</v>
      </c>
      <c s="570" r="AI33">
        <f>((IF((AI$74&gt;0),((AI69*AL$12)/AI$74),0)+IF((AI$110&gt;0),((AI105*AL$13)/AI$110),0))+IF((AI$146&gt;0),((AI141*AL$14)/AI$146),0))+IF((AI$182&gt;0),((AI177*AL$15)/AI$182),0)</f>
        <v>0</v>
      </c>
      <c t="str" s="42" r="AJ33">
        <f>(AI33/AI$38)+AJ32</f>
        <v>#DIV/0!:divZero</v>
      </c>
      <c t="str" s="619" r="AK33">
        <f>IF(OR((SUM(AI$14:AI34)=0),(SUM(AI33:AI$37)=0)),NA(),AJ33)</f>
        <v>#N/A:explicit</v>
      </c>
      <c s="140" r="AL33"/>
      <c s="762" r="AM33"/>
      <c s="69" r="AN33"/>
      <c s="69" r="AO33"/>
      <c s="69" r="AP33"/>
      <c s="69" r="AQ33"/>
      <c s="69" r="AR33"/>
      <c s="69" r="AS33"/>
      <c s="69" r="AT33"/>
      <c s="69" r="AU33"/>
      <c s="69" r="AV33"/>
      <c s="58" r="AW33">
        <f>IF((SUM(AI14:AI37)&lt;&gt;0),(AI31/SUM(AI14:AI37)),0)</f>
        <v>0</v>
      </c>
      <c s="702" r="AX33"/>
      <c s="908" r="AY33"/>
      <c s="414" r="AZ33"/>
      <c s="712" r="BA33"/>
      <c s="414" r="BB33"/>
      <c s="414" r="BC33"/>
      <c s="414" r="BD33"/>
      <c s="397" r="BE33"/>
      <c t="str" s="513" r="BF33">
        <f>IF(ISNUMBER(BL34),BL34,NA())</f>
        <v>#N/A:explicit</v>
      </c>
      <c s="409" r="BG33"/>
      <c t="s" s="168" r="BH33">
        <v>526</v>
      </c>
      <c t="str" s="736" r="BI33">
        <f>IF((BF19=0),"---",(ROUND((BF19/(10^TRUNC(LOG(BF19)))),(2-IF((BF19&gt;1),1,0)))*(10^TRUNC(LOG(BF19)))))</f>
        <v>---</v>
      </c>
      <c s="640" r="BJ33"/>
      <c t="s" s="168" r="BK33">
        <v>527</v>
      </c>
      <c t="str" s="736" r="BL33">
        <f>IF((BF22=0),"---",(ROUND((BF22/(10^TRUNC(LOG(BF22)))),(2-IF((BF22&gt;1),1,0)))*(10^TRUNC(LOG(BF22)))))</f>
        <v>---</v>
      </c>
      <c s="551" r="BM33"/>
      <c t="s" s="37" r="BN33">
        <v>528</v>
      </c>
      <c s="776" r="BO33">
        <v>1</v>
      </c>
      <c s="671" r="BP33"/>
      <c s="51" r="BQ33"/>
      <c s="125" r="BR33"/>
      <c s="125" r="BS33"/>
      <c s="125" r="BT33"/>
      <c s="125" r="BU33"/>
      <c s="125" r="BV33"/>
      <c s="125" r="BW33"/>
      <c s="125" r="BX33"/>
      <c s="125" r="BY33"/>
      <c s="125" r="BZ33"/>
      <c s="125" r="CA33"/>
      <c s="125" r="CB33"/>
      <c s="125" r="CC33"/>
      <c s="125" r="CD33"/>
      <c s="125" r="CE33"/>
      <c s="125" r="CF33"/>
      <c s="125" r="CG33"/>
      <c s="125" r="CH33"/>
      <c s="125" r="CI33"/>
      <c s="125" r="CJ33"/>
      <c s="125" r="CK33"/>
      <c s="125" r="CL33"/>
    </row>
    <row customHeight="1" r="34" ht="13.5">
      <c s="822" r="A34"/>
      <c s="908" r="B34"/>
      <c t="s" s="812" r="C34">
        <v>15</v>
      </c>
      <c t="str" s="582" r="D34">
        <f>Summary!$N$7</f>
        <v>---</v>
      </c>
      <c s="551" r="E34"/>
      <c s="551" r="F34"/>
      <c s="551" r="G34"/>
      <c s="551" r="H34"/>
      <c s="671" r="I34"/>
      <c s="702" r="J34"/>
      <c s="340" r="K34"/>
      <c t="s" s="759" r="L34">
        <v>522</v>
      </c>
      <c t="str" s="820" r="M34">
        <f>2048&amp;"  -"</f>
        <v>2048  -</v>
      </c>
      <c s="565" r="N34">
        <v>4096</v>
      </c>
      <c s="550" r="O34"/>
      <c t="str" s="42" r="P34">
        <f>(O34/O$35)+(SUM(O$11:O33)/O$35)</f>
        <v>#DIV/0!:divZero</v>
      </c>
      <c t="str" s="619" r="Q34">
        <f>IF(OR((SUM(O$11:O35)=0),(SUM(O34:O$34)=0)),NA(),P34)</f>
        <v>#N/A:explicit</v>
      </c>
      <c t="str" s="140" r="R34">
        <f>U39</f>
        <v>---</v>
      </c>
      <c s="908" r="S34"/>
      <c s="551" r="T34"/>
      <c s="551" r="U34"/>
      <c s="551" r="V34"/>
      <c s="551" r="W34"/>
      <c s="551" r="X34"/>
      <c s="551" r="Y34"/>
      <c s="551" r="Z34"/>
      <c s="551" r="AA34"/>
      <c s="551" r="AB34"/>
      <c s="671" r="AC34"/>
      <c s="702" r="AD34"/>
      <c s="409" r="AE34"/>
      <c t="s" s="8" r="AF34">
        <v>516</v>
      </c>
      <c t="str" s="595" r="AG34">
        <f>362&amp;"  -"</f>
        <v>362  -</v>
      </c>
      <c s="730" r="AH34">
        <v>512</v>
      </c>
      <c s="356" r="AI34">
        <f>((IF((AI$74&gt;0),((AI70*AL$12)/AI$74),0)+IF((AI$110&gt;0),((AI106*AL$13)/AI$110),0))+IF((AI$146&gt;0),((AI142*AL$14)/AI$146),0))+IF((AI$182&gt;0),((AI178*AL$15)/AI$182),0)</f>
        <v>0</v>
      </c>
      <c t="str" s="42" r="AJ34">
        <f>(AI34/AI$38)+AJ33</f>
        <v>#DIV/0!:divZero</v>
      </c>
      <c t="str" s="619" r="AK34">
        <f>IF(OR((SUM(AI$14:AI35)=0),(SUM(AI34:AI$37)=0)),NA(),AJ34)</f>
        <v>#N/A:explicit</v>
      </c>
      <c s="140" r="AL34"/>
      <c s="762" r="AM34"/>
      <c s="69" r="AN34"/>
      <c s="69" r="AO34"/>
      <c s="69" r="AP34"/>
      <c s="69" r="AQ34"/>
      <c s="69" r="AR34"/>
      <c s="69" r="AS34"/>
      <c s="69" r="AT34"/>
      <c s="69" r="AU34"/>
      <c s="69" r="AV34"/>
      <c s="58" r="AW34">
        <f>IF((SUM(AI14:AI37)&lt;&gt;0),(AI32/SUM(AI14:AI37)),0)</f>
        <v>0</v>
      </c>
      <c s="702" r="AX34"/>
      <c t="s" s="583" r="AY34">
        <v>529</v>
      </c>
      <c s="256" r="AZ34"/>
      <c s="650" r="BA34"/>
      <c s="650" r="BB34"/>
      <c s="650" r="BC34"/>
      <c s="650" r="BD34"/>
      <c s="500" r="BE34"/>
      <c t="str" s="513" r="BF34">
        <f>BF33</f>
        <v>#N/A:explicit</v>
      </c>
      <c s="409" r="BG34"/>
      <c t="s" s="569" r="BH34">
        <v>530</v>
      </c>
      <c t="str" s="52" r="BI34">
        <f>IF((BF20=0),"---",(ROUND((BF20/(10^TRUNC(LOG(BF20)))),(2-IF((BF20&gt;1),1,0)))*(10^TRUNC(LOG(BF20)))))</f>
        <v>---</v>
      </c>
      <c s="551" r="BJ34"/>
      <c t="s" s="569" r="BK34">
        <v>531</v>
      </c>
      <c t="str" s="52" r="BL34">
        <f>IF((BF23=0),"---",(ROUND((BF23/(10^TRUNC(LOG(BF23)))),(2-IF((BF23&gt;1),1,0)))*(10^TRUNC(LOG(BF23)))))</f>
        <v>---</v>
      </c>
      <c s="551" r="BM34"/>
      <c s="37" r="BN34"/>
      <c s="776" r="BO34"/>
      <c s="671" r="BP34"/>
      <c s="51" r="BQ34"/>
      <c s="125" r="BR34"/>
      <c s="125" r="BS34"/>
      <c s="125" r="BT34"/>
      <c s="125" r="BU34"/>
      <c s="125" r="BV34"/>
      <c s="125" r="BW34"/>
      <c s="125" r="BX34"/>
      <c s="125" r="BY34"/>
      <c s="125" r="BZ34"/>
      <c s="125" r="CA34"/>
      <c s="125" r="CB34"/>
      <c s="125" r="CC34"/>
      <c s="125" r="CD34"/>
      <c s="125" r="CE34"/>
      <c s="125" r="CF34"/>
      <c s="125" r="CG34"/>
      <c s="125" r="CH34"/>
      <c s="125" r="CI34"/>
      <c s="125" r="CJ34"/>
      <c s="125" r="CK34"/>
      <c s="125" r="CL34"/>
    </row>
    <row customHeight="1" r="35" ht="15.0">
      <c s="822" r="A35"/>
      <c s="908" r="B35"/>
      <c t="s" s="812" r="C35">
        <v>18</v>
      </c>
      <c t="str" s="207" r="D35">
        <f>Summary!$N$8</f>
        <v>---</v>
      </c>
      <c s="304" r="E35"/>
      <c s="304" r="F35"/>
      <c s="304" r="G35"/>
      <c s="304" r="H35"/>
      <c s="12" r="I35"/>
      <c s="702" r="J35"/>
      <c s="178" r="K35"/>
      <c s="640" r="L35"/>
      <c s="213" r="M35"/>
      <c t="s" s="65" r="N35">
        <v>532</v>
      </c>
      <c s="897" r="O35">
        <f>SUM(O11:O34)</f>
        <v>0</v>
      </c>
      <c t="s" s="767" r="P35">
        <v>503</v>
      </c>
      <c s="732" r="Q35"/>
      <c t="str" s="140" r="R35">
        <f>IF((O35&gt;0),0.5,NA())</f>
        <v>#N/A:explicit</v>
      </c>
      <c s="908" r="S35"/>
      <c s="551" r="T35"/>
      <c s="551" r="U35"/>
      <c s="551" r="V35"/>
      <c s="551" r="W35"/>
      <c s="551" r="X35"/>
      <c s="551" r="Y35"/>
      <c s="551" r="Z35"/>
      <c s="551" r="AA35"/>
      <c s="551" r="AB35"/>
      <c s="671" r="AC35"/>
      <c s="702" r="AD35"/>
      <c s="409" r="AE35"/>
      <c t="s" s="8" r="AF35">
        <v>518</v>
      </c>
      <c t="str" s="595" r="AG35">
        <f>512&amp;"  -"</f>
        <v>512  -</v>
      </c>
      <c s="730" r="AH35">
        <v>1024</v>
      </c>
      <c s="356" r="AI35">
        <f>((IF((AI$74&gt;0),((AI71*AL$12)/AI$74),0)+IF((AI$110&gt;0),((AI107*AL$13)/AI$110),0))+IF((AI$146&gt;0),((AI143*AL$14)/AI$146),0))+IF((AI$182&gt;0),((AI179*AL$15)/AI$182),0)</f>
        <v>0</v>
      </c>
      <c t="str" s="42" r="AJ35">
        <f>(AI35/AI$38)+AJ34</f>
        <v>#DIV/0!:divZero</v>
      </c>
      <c t="str" s="619" r="AK35">
        <f>IF(OR((SUM(AI$14:AI36)=0),(SUM(AI35:AI$37)=0)),NA(),AJ35)</f>
        <v>#N/A:explicit</v>
      </c>
      <c s="140" r="AL35">
        <v>0.01</v>
      </c>
      <c s="762" r="AM35"/>
      <c s="69" r="AN35"/>
      <c s="69" r="AO35"/>
      <c s="69" r="AP35"/>
      <c s="69" r="AQ35"/>
      <c s="69" r="AR35"/>
      <c s="69" r="AS35"/>
      <c s="69" r="AT35"/>
      <c s="69" r="AU35"/>
      <c s="69" r="AV35"/>
      <c s="58" r="AW35">
        <f>IF((SUM(AI14:AI37)&lt;&gt;0),(AI33/SUM(AI14:AI37)),0)</f>
        <v>0</v>
      </c>
      <c s="702" r="AX35"/>
      <c s="307" r="AY35"/>
      <c s="640" r="AZ35"/>
      <c s="640" r="BA35"/>
      <c s="640" r="BB35"/>
      <c s="640" r="BC35"/>
      <c s="640" r="BD35"/>
      <c s="688" r="BE35"/>
      <c t="str" s="513" r="BF35">
        <f>IF((BB32&gt;0),0.84,NA())</f>
        <v>#N/A:explicit</v>
      </c>
      <c s="409" r="BG35"/>
      <c t="s" s="569" r="BH35">
        <v>533</v>
      </c>
      <c t="str" s="52" r="BI35">
        <f>IF((BF21=0),"---",(ROUND((BF21/(10^TRUNC(LOG(BF21)))),(2-IF((BF21&gt;1),1,0)))*(10^TRUNC(LOG(BF21)))))</f>
        <v>---</v>
      </c>
      <c s="551" r="BJ35"/>
      <c t="s" s="569" r="BK35">
        <v>534</v>
      </c>
      <c t="str" s="52" r="BL35">
        <f>IF((BF24=0),"---",(ROUND((BF24/(10^TRUNC(LOG(BF24)))),(2-IF((BF24&gt;1),1,0)))*(10^TRUNC(LOG(BF24)))))</f>
        <v>---</v>
      </c>
      <c s="551" r="BM35"/>
      <c s="37" r="BN35"/>
      <c s="776" r="BO35"/>
      <c s="671" r="BP35"/>
      <c s="51" r="BQ35"/>
      <c s="125" r="BR35"/>
      <c s="125" r="BS35"/>
      <c s="125" r="BT35"/>
      <c s="125" r="BU35"/>
      <c s="125" r="BV35"/>
      <c s="125" r="BW35"/>
      <c s="125" r="BX35"/>
      <c s="125" r="BY35"/>
      <c s="125" r="BZ35"/>
      <c s="125" r="CA35"/>
      <c s="125" r="CB35"/>
      <c s="125" r="CC35"/>
      <c s="125" r="CD35"/>
      <c s="125" r="CE35"/>
      <c s="125" r="CF35"/>
      <c s="125" r="CG35"/>
      <c s="125" r="CH35"/>
      <c s="125" r="CI35"/>
      <c s="125" r="CJ35"/>
      <c s="125" r="CK35"/>
      <c s="125" r="CL35"/>
    </row>
    <row r="36">
      <c s="822" r="A36"/>
      <c s="908" r="B36"/>
      <c s="8" r="C36"/>
      <c s="207" r="D36"/>
      <c s="304" r="E36"/>
      <c s="304" r="F36"/>
      <c s="304" r="G36"/>
      <c s="304" r="H36"/>
      <c s="12" r="I36"/>
      <c s="702" r="J36"/>
      <c s="908" r="K36"/>
      <c s="551" r="L36"/>
      <c s="551" r="M36"/>
      <c s="551" r="N36"/>
      <c s="397" r="O36"/>
      <c s="259" r="P36">
        <f>IF((O35=0),0,IF((P11&gt;=0.16),0.062,IF((SUMIF(P11:P34,"=.16")&gt;=1),INDEX(N11:N34,MATCH(0.16,P11:P34,0)),(2^(LOG((INDEX(N11:N34,MATCH(0.16,P11:P34,1))),2)+(((LOG((INDEX(N11:N34,(MATCH(0.16,P11:P34,1)+1))),2)-LOG((INDEX(N11:N34,MATCH(0.16,P11:P34,1))),2))*(0.16-INDEX(P11:P34,MATCH(0.16,P11:P34,1))))/(INDEX(P11:P34,(MATCH(0.16,P11:P34,1)+1))-INDEX(P11:P34,MATCH(0.16,P11:P34,1)))))))))</f>
        <v>0</v>
      </c>
      <c s="832" r="Q36"/>
      <c t="str" s="140" r="R36">
        <f>R35</f>
        <v>#N/A:explicit</v>
      </c>
      <c s="116" r="S36"/>
      <c t="s" s="247" r="T36">
        <v>525</v>
      </c>
      <c s="247" r="U36"/>
      <c s="518" r="V36"/>
      <c t="s" s="247" r="W36">
        <v>535</v>
      </c>
      <c s="247" r="X36"/>
      <c s="518" r="Y36"/>
      <c s="685" r="Z36"/>
      <c t="s" s="685" r="AA36">
        <v>536</v>
      </c>
      <c s="685" r="AB36"/>
      <c s="452" r="AC36"/>
      <c s="702" r="AD36"/>
      <c s="409" r="AE36"/>
      <c t="s" s="8" r="AF36">
        <v>520</v>
      </c>
      <c t="str" s="595" r="AG36">
        <f>1024&amp;"  -"</f>
        <v>1024  -</v>
      </c>
      <c s="730" r="AH36">
        <v>2048</v>
      </c>
      <c s="356" r="AI36">
        <f>((IF((AI$74&gt;0),((AI72*AL$12)/AI$74),0)+IF((AI$110&gt;0),((AI108*AL$13)/AI$110),0))+IF((AI$146&gt;0),((AI144*AL$14)/AI$146),0))+IF((AI$182&gt;0),((AI180*AL$15)/AI$182),0)</f>
        <v>0</v>
      </c>
      <c t="str" s="42" r="AJ36">
        <f>(AI36/AI$38)+AJ35</f>
        <v>#DIV/0!:divZero</v>
      </c>
      <c t="str" s="619" r="AK36">
        <f>IF(OR((SUM(AI$14:AI37)=0),(SUM(AI36:AI$37)=0)),NA(),AJ36)</f>
        <v>#N/A:explicit</v>
      </c>
      <c t="str" s="140" r="AL36">
        <f>AO42</f>
        <v>---</v>
      </c>
      <c s="762" r="AM36"/>
      <c s="69" r="AN36"/>
      <c s="69" r="AO36"/>
      <c s="69" r="AP36"/>
      <c s="69" r="AQ36"/>
      <c s="69" r="AR36"/>
      <c s="69" r="AS36"/>
      <c s="69" r="AT36"/>
      <c s="69" r="AU36"/>
      <c s="69" r="AV36"/>
      <c s="58" r="AW36">
        <f>IF((SUM(AI14:AI37)&lt;&gt;0),(AI34/SUM(AI14:AI37)),0)</f>
        <v>0</v>
      </c>
      <c s="702" r="AX36"/>
      <c t="str" s="307" r="AY36">
        <f>IF((BB32=0),"",IF((INDEX(BB15:BB31,MATCH(MAX(AY15:AY31),AY15:AY31,1))=0),"","Enter sieve size that passed 100% of sample."))</f>
        <v/>
      </c>
      <c s="551" r="AZ36"/>
      <c s="551" r="BA36"/>
      <c s="551" r="BB36"/>
      <c s="551" r="BC36"/>
      <c s="551" r="BD36"/>
      <c s="671" r="BE36"/>
      <c t="str" s="513" r="BF36">
        <f>BF35</f>
        <v>#N/A:explicit</v>
      </c>
      <c s="409" r="BG36"/>
      <c s="551" r="BH36"/>
      <c s="551" r="BI36"/>
      <c s="551" r="BJ36"/>
      <c s="551" r="BK36"/>
      <c s="551" r="BL36"/>
      <c s="551" r="BM36"/>
      <c s="37" r="BN36"/>
      <c s="776" r="BO36"/>
      <c s="671" r="BP36"/>
      <c s="840" r="BQ36"/>
      <c s="125" r="BR36"/>
      <c s="125" r="BS36"/>
      <c s="125" r="BT36"/>
      <c s="125" r="BU36"/>
      <c s="125" r="BV36"/>
      <c s="125" r="BW36"/>
      <c s="125" r="BX36"/>
      <c s="125" r="BY36"/>
      <c s="125" r="BZ36"/>
      <c s="125" r="CA36"/>
      <c s="125" r="CB36"/>
      <c s="125" r="CC36"/>
      <c s="125" r="CD36"/>
      <c s="125" r="CE36"/>
      <c s="125" r="CF36"/>
      <c s="125" r="CG36"/>
      <c s="125" r="CH36"/>
      <c s="125" r="CI36"/>
      <c s="125" r="CJ36"/>
      <c s="125" r="CK36"/>
      <c s="125" r="CL36"/>
    </row>
    <row customHeight="1" r="37" ht="13.5">
      <c s="822" r="A37"/>
      <c s="908" r="B37"/>
      <c s="8" r="C37"/>
      <c s="207" r="D37"/>
      <c s="304" r="E37"/>
      <c s="304" r="F37"/>
      <c s="304" r="G37"/>
      <c s="304" r="H37"/>
      <c s="12" r="I37"/>
      <c s="702" r="J37"/>
      <c s="424" r="K37"/>
      <c t="s" s="37" r="L37">
        <v>537</v>
      </c>
      <c t="str" s="67" r="M37">
        <f>"-------------"</f>
        <v>-------------</v>
      </c>
      <c s="671" r="N37"/>
      <c s="598" r="O37"/>
      <c s="259" r="P37">
        <f>IF((O35=0),0,IF((P11&gt;=0.35),0.062,IF((SUMIF(P11:P34,"=.35")&gt;=1),INDEX(N11:N34,MATCH(0.35,P11:P34,0)),(2^(LOG((INDEX(N11:N34,MATCH(0.35,P11:P34,1))),2)+(((LOG((INDEX(N11:N34,(MATCH(0.35,P11:P34,1)+1))),2)-LOG((INDEX(N11:N34,MATCH(0.35,P11:P34,1))),2))*(0.35-INDEX(P11:P34,MATCH(0.35,P11:P34,1))))/(INDEX(P11:P34,(MATCH(0.35,P11:P34,1)+1))-INDEX(P11:P34,MATCH(0.35,P11:P34,1)))))))))</f>
        <v>0</v>
      </c>
      <c s="95" r="Q37"/>
      <c s="140" r="R37">
        <v>0</v>
      </c>
      <c s="116" r="S37"/>
      <c t="s" s="155" r="T37">
        <v>526</v>
      </c>
      <c t="str" s="736" r="U37">
        <f>IF((O35=0),"---",(ROUND((P36/(10^TRUNC(LOG(P36)))),(2-IF((P36&gt;1),1,0)))*(10^TRUNC(LOG(P36)))))</f>
        <v>---</v>
      </c>
      <c s="551" r="V37"/>
      <c t="s" s="155" r="W37">
        <v>538</v>
      </c>
      <c t="str" s="13" r="X37">
        <f>IF(ISNUMBER((U37*U41)),((U37*U41)^0.5),"---")</f>
        <v>---</v>
      </c>
      <c s="518" r="Y37"/>
      <c t="s" s="403" r="Z37">
        <v>469</v>
      </c>
      <c t="str" s="200" r="AA37">
        <f>IF(O41,((O11)/O41),"---")</f>
        <v>---</v>
      </c>
      <c t="str" s="403" r="AB37">
        <f>IF((O37&gt;0),"bedrock","")</f>
        <v/>
      </c>
      <c t="str" s="26" r="AC37">
        <f>IF((O37&gt;0),(O37/O41),"")</f>
        <v/>
      </c>
      <c s="702" r="AD37"/>
      <c s="759" r="AE37"/>
      <c t="s" s="538" r="AF37">
        <v>522</v>
      </c>
      <c t="str" s="820" r="AG37">
        <f>2048&amp;"  -"</f>
        <v>2048  -</v>
      </c>
      <c s="197" r="AH37">
        <v>4096</v>
      </c>
      <c s="75" r="AI37">
        <f>((IF((AI$74&gt;0),((AI73*AL$12)/AI$74),0)+IF((AI$110&gt;0),((AI109*AL$13)/AI$110),0))+IF((AI$146&gt;0),((AI145*AL$14)/AI$146),0))+IF((AI$182&gt;0),((AI181*AL$15)/AI$182),0)</f>
        <v>0</v>
      </c>
      <c t="str" s="42" r="AJ37">
        <f>(AI37/AI$38)+AJ36</f>
        <v>#DIV/0!:divZero</v>
      </c>
      <c t="str" s="619" r="AK37">
        <f>IF(OR((SUM(AI$14:AI38)=0),(SUM(AI$37:AI37)=0)),NA(),AJ37)</f>
        <v>#N/A:explicit</v>
      </c>
      <c t="str" s="140" r="AL37">
        <f>AO42</f>
        <v>---</v>
      </c>
      <c s="762" r="AM37"/>
      <c s="69" r="AN37"/>
      <c s="69" r="AO37"/>
      <c s="69" r="AP37"/>
      <c s="69" r="AQ37"/>
      <c s="69" r="AR37"/>
      <c s="69" r="AS37"/>
      <c s="69" r="AT37"/>
      <c s="69" r="AU37"/>
      <c s="69" r="AV37"/>
      <c s="58" r="AW37">
        <f>IF((SUM(AI14:AI37)&lt;&gt;0),(AI35/SUM(AI14:AI37)),0)</f>
        <v>0</v>
      </c>
      <c s="702" r="AX37"/>
      <c s="20" r="AY37"/>
      <c s="414" r="AZ37"/>
      <c s="414" r="BA37"/>
      <c s="414" r="BB37"/>
      <c s="414" r="BC37"/>
      <c s="414" r="BD37"/>
      <c s="397" r="BE37"/>
      <c s="513" r="BF37">
        <v>0</v>
      </c>
      <c s="759" r="BG37"/>
      <c s="685" r="BH37"/>
      <c s="685" r="BI37"/>
      <c s="685" r="BJ37"/>
      <c s="685" r="BK37"/>
      <c s="685" r="BL37"/>
      <c s="667" r="BM37"/>
      <c s="667" r="BN37"/>
      <c s="667" r="BO37"/>
      <c s="233" r="BP37"/>
      <c s="786" r="BQ37"/>
      <c s="125" r="BR37"/>
      <c s="125" r="BS37"/>
      <c s="125" r="BT37"/>
      <c s="125" r="BU37"/>
      <c s="125" r="BV37"/>
      <c s="125" r="BW37"/>
      <c s="125" r="BX37"/>
      <c s="125" r="BY37"/>
      <c s="125" r="BZ37"/>
      <c s="125" r="CA37"/>
      <c s="125" r="CB37"/>
      <c s="125" r="CC37"/>
      <c s="125" r="CD37"/>
      <c s="125" r="CE37"/>
      <c s="125" r="CF37"/>
      <c s="125" r="CG37"/>
      <c s="125" r="CH37"/>
      <c s="125" r="CI37"/>
      <c s="125" r="CJ37"/>
      <c s="125" r="CK37"/>
      <c s="125" r="CL37"/>
    </row>
    <row customHeight="1" r="38" ht="15.75">
      <c s="822" r="A38"/>
      <c s="908" r="B38"/>
      <c t="s" s="812" r="C38">
        <v>24</v>
      </c>
      <c t="str" s="624" r="D38">
        <f>Summary!$N$11</f>
        <v>---</v>
      </c>
      <c s="551" r="E38"/>
      <c s="551" r="F38"/>
      <c s="551" r="G38"/>
      <c s="551" r="H38"/>
      <c s="671" r="I38"/>
      <c t="s" s="702" r="J38">
        <v>2</v>
      </c>
      <c s="424" r="K38"/>
      <c t="s" s="37" r="L38">
        <v>539</v>
      </c>
      <c t="str" s="67" r="M38">
        <f>"-------------"</f>
        <v>-------------</v>
      </c>
      <c s="671" r="N38"/>
      <c s="598" r="O38"/>
      <c s="259" r="P38">
        <f>IF((O35=0),0,IF((P11&gt;=0.5),0.062,IF((SUMIF(P11:P34,"=.5")&gt;=1),INDEX(N11:N34,MATCH(0.5,P11:P34,0)),(2^(LOG((INDEX(N11:N34,MATCH(0.5,P11:P34,1))),2)+(((LOG((INDEX(N11:N34,(MATCH(0.5,P11:P34,1)+1))),2)-LOG((INDEX(N11:N34,MATCH(0.5,P11:P34,1))),2))*(0.5-INDEX(P11:P34,MATCH(0.5,P11:P34,1))))/(INDEX(P11:P34,(MATCH(0.5,P11:P34,1)+1))-INDEX(P11:P34,MATCH(0.5,P11:P34,1)))))))))</f>
        <v>0</v>
      </c>
      <c s="95" r="Q38"/>
      <c s="140" r="R38">
        <v>0.01</v>
      </c>
      <c s="116" r="S38"/>
      <c t="s" s="766" r="T38">
        <v>530</v>
      </c>
      <c t="str" s="52" r="U38">
        <f>IF((O35=0),"---",(ROUND((P37/(10^TRUNC(LOG(P37)))),(2-IF((P37&gt;1),1,0)))*(10^TRUNC(LOG(P37)))))</f>
        <v>---</v>
      </c>
      <c s="551" r="V38"/>
      <c t="s" s="766" r="W38">
        <v>183</v>
      </c>
      <c t="str" s="258" r="X38">
        <f>IF(ISNUMBER(((U41/U39)+(U39/U37))),(((U41/U39)+(U39/U37))/2),"---")</f>
        <v>---</v>
      </c>
      <c s="518" r="Y38"/>
      <c t="s" s="294" r="Z38">
        <v>528</v>
      </c>
      <c t="str" s="479" r="AA38">
        <f>IF(O41,(SUM(O12:O16)/O41),"---")</f>
        <v>---</v>
      </c>
      <c t="str" s="37" r="AB38">
        <f>IF((O38&gt;0),"hardpan","")</f>
        <v/>
      </c>
      <c t="str" s="26" r="AC38">
        <f>IF((O38&gt;0),(O38/O41),"")</f>
        <v/>
      </c>
      <c s="702" r="AD38"/>
      <c s="178" r="AE38"/>
      <c s="640" r="AF38"/>
      <c s="213" r="AG38"/>
      <c t="s" s="65" r="AH38">
        <v>540</v>
      </c>
      <c s="897" r="AI38">
        <f>SUM(AI14:AI37)</f>
        <v>0</v>
      </c>
      <c t="s" s="42" r="AJ38">
        <v>503</v>
      </c>
      <c s="619" r="AK38"/>
      <c t="str" s="140" r="AL38">
        <f>IF((AI38&gt;0),0.5,NA())</f>
        <v>#N/A:explicit</v>
      </c>
      <c s="278" r="AM38"/>
      <c s="750" r="AN38"/>
      <c s="721" r="AO38"/>
      <c s="69" r="AP38"/>
      <c s="69" r="AQ38"/>
      <c s="69" r="AR38"/>
      <c s="69" r="AS38"/>
      <c s="69" r="AT38"/>
      <c s="69" r="AU38"/>
      <c s="69" r="AV38"/>
      <c s="58" r="AW38">
        <f>IF((SUM(AI14:AI37)&lt;&gt;0),(AI36/SUM(AI14:AI37)),0)</f>
        <v>0</v>
      </c>
      <c s="51" r="AX38"/>
      <c s="412" r="AY38"/>
      <c s="412" r="AZ38"/>
      <c s="412" r="BA38"/>
      <c s="412" r="BB38"/>
      <c s="412" r="BC38"/>
      <c s="412" r="BD38"/>
      <c s="412" r="BE38"/>
      <c s="498" r="BF38"/>
      <c s="191" r="BG38"/>
      <c s="412" r="BH38"/>
      <c s="412" r="BI38"/>
      <c s="412" r="BJ38"/>
      <c s="412" r="BK38"/>
      <c s="412" r="BL38"/>
      <c s="412" r="BM38"/>
      <c s="412" r="BN38"/>
      <c s="412" r="BO38"/>
      <c s="412" r="BP38"/>
      <c s="125" r="BQ38"/>
      <c s="125" r="BR38"/>
      <c s="125" r="BS38"/>
      <c s="125" r="BT38"/>
      <c s="125" r="BU38"/>
      <c s="125" r="BV38"/>
      <c s="125" r="BW38"/>
      <c s="125" r="BX38"/>
      <c s="125" r="BY38"/>
      <c s="125" r="BZ38"/>
      <c s="125" r="CA38"/>
      <c s="125" r="CB38"/>
      <c s="125" r="CC38"/>
      <c s="125" r="CD38"/>
      <c s="125" r="CE38"/>
      <c s="125" r="CF38"/>
      <c s="125" r="CG38"/>
      <c s="125" r="CH38"/>
      <c s="125" r="CI38"/>
      <c s="125" r="CJ38"/>
      <c s="125" r="CK38"/>
      <c s="125" r="CL38"/>
    </row>
    <row customHeight="1" r="39" ht="13.5">
      <c s="822" r="A39"/>
      <c s="908" r="B39"/>
      <c t="s" s="812" r="C39">
        <v>26</v>
      </c>
      <c t="str" s="624" r="D39">
        <f>Summary!$N$12</f>
        <v>---</v>
      </c>
      <c s="551" r="E39"/>
      <c s="551" r="F39"/>
      <c s="551" r="G39"/>
      <c s="551" r="H39"/>
      <c s="671" r="I39"/>
      <c s="702" r="J39"/>
      <c s="424" r="K39"/>
      <c t="s" s="37" r="L39">
        <v>541</v>
      </c>
      <c t="str" s="67" r="M39">
        <f>"-------------"</f>
        <v>-------------</v>
      </c>
      <c s="671" r="N39"/>
      <c s="598" r="O39"/>
      <c s="259" r="P39">
        <f>IF((O35=0),0,IF((P11&gt;=0.65),0.062,IF((SUMIF(P11:P34,"=.65")&gt;=1),INDEX(N11:N34,MATCH(0.65,P11:P34,0)),(2^(LOG((INDEX(N11:N34,MATCH(0.65,P11:P34,1))),2)+(((LOG((INDEX(N11:N34,(MATCH(0.65,P11:P34,1)+1))),2)-LOG((INDEX(N11:N34,MATCH(0.65,P11:P34,1))),2))*(0.65-INDEX(P11:P34,MATCH(0.65,P11:P34,1))))/(INDEX(P11:P34,(MATCH(0.65,P11:P34,1)+1))-INDEX(P11:P34,MATCH(0.65,P11:P34,1)))))))))</f>
        <v>0</v>
      </c>
      <c s="832" r="Q39"/>
      <c t="str" s="140" r="R39">
        <f>U41</f>
        <v>---</v>
      </c>
      <c s="116" r="S39"/>
      <c t="s" s="766" r="T39">
        <v>533</v>
      </c>
      <c t="str" s="52" r="U39">
        <f>IF((O35=0),"---",(ROUND((P38/(10^TRUNC(LOG(P38)))),(2-IF((P38&gt;1),1,0)))*(10^TRUNC(LOG(P38)))))</f>
        <v>---</v>
      </c>
      <c s="551" r="V39"/>
      <c t="s" s="766" r="W39">
        <v>185</v>
      </c>
      <c t="str" s="4" r="X39">
        <f>IF(ISNUMBER((U41*U37)),IF((U41=U37),"---",(LOG((((U41*U37)^0.5)/U39))/(LOG((U41/U37))^0.5))),"---")</f>
        <v>---</v>
      </c>
      <c s="518" r="Y39"/>
      <c t="s" s="294" r="Z39">
        <v>542</v>
      </c>
      <c t="str" s="479" r="AA39">
        <f>IF(O41,(SUM(O17:O25)/O41),"---")</f>
        <v>---</v>
      </c>
      <c t="str" s="37" r="AB39">
        <f>IF((O39&gt;0),"wood/det","")</f>
        <v/>
      </c>
      <c t="str" s="26" r="AC39">
        <f>IF((O39&gt;0),(O39/O41),"")</f>
        <v/>
      </c>
      <c s="702" r="AD39"/>
      <c s="908" r="AE39"/>
      <c s="551" r="AF39"/>
      <c s="551" r="AG39"/>
      <c s="551" r="AH39"/>
      <c s="671" r="AI39"/>
      <c s="259" r="AJ39">
        <f>IF((AI38=0),0,IF((AJ14&gt;=0.16),0.062,IF((SUMIF(AJ14:AJ37,"=.16")&gt;=1),INDEX(AH14:AH37,MATCH(0.16,AJ14:AJ37,0)),(2^(LOG((INDEX(AH14:AH37,MATCH(0.16,AJ14:AJ37,1))),2)+(((LOG((INDEX(AH14:AH37,(MATCH(0.16,AJ14:AJ37,1)+1))),2)-LOG((INDEX(AH14:AH37,MATCH(0.16,AJ14:AJ37,1))),2))*(0.16-INDEX(AJ14:AJ37,MATCH(0.16,AJ14:AJ37,1))))/(INDEX(AJ14:AJ37,(MATCH(0.16,AJ14:AJ37,1)+1))-INDEX(AJ14:AJ37,MATCH(0.16,AJ14:AJ37,1)))))))))</f>
        <v>0</v>
      </c>
      <c s="832" r="AK39"/>
      <c t="str" s="140" r="AL39">
        <f>AL38</f>
        <v>#N/A:explicit</v>
      </c>
      <c s="908" r="AM39"/>
      <c t="s" s="680" r="AN39">
        <v>525</v>
      </c>
      <c s="680" r="AO39"/>
      <c s="551" r="AP39"/>
      <c t="s" s="680" r="AQ39">
        <v>535</v>
      </c>
      <c s="680" r="AR39"/>
      <c s="551" r="AS39"/>
      <c s="414" r="AT39"/>
      <c t="s" s="414" r="AU39">
        <v>536</v>
      </c>
      <c s="414" r="AV39"/>
      <c s="671" r="AW39"/>
      <c s="702" r="AX39"/>
      <c s="508" r="AY39"/>
      <c s="640" r="AZ39"/>
      <c s="640" r="BA39"/>
      <c s="640" r="BB39"/>
      <c s="640" r="BC39"/>
      <c s="640" r="BD39"/>
      <c s="688" r="BE39"/>
      <c t="str" s="150" r="BF39">
        <f>IF((BF42=1),BF44,IF((BF42=2),BF45,IF((BF42=3),BF46,"")))</f>
        <v>Point Bar</v>
      </c>
      <c t="s" s="311" r="BG39">
        <v>459</v>
      </c>
      <c s="640" r="BH39"/>
      <c s="640" r="BI39"/>
      <c s="640" r="BJ39"/>
      <c s="640" r="BK39"/>
      <c s="640" r="BL39"/>
      <c s="640" r="BM39"/>
      <c s="640" r="BN39"/>
      <c s="640" r="BO39"/>
      <c s="688" r="BP39"/>
      <c s="51" r="BQ39"/>
      <c s="125" r="BR39"/>
      <c s="125" r="BS39"/>
      <c s="125" r="BT39"/>
      <c s="125" r="BU39"/>
      <c s="125" r="BV39"/>
      <c s="125" r="BW39"/>
      <c s="125" r="BX39"/>
      <c s="125" r="BY39"/>
      <c s="125" r="BZ39"/>
      <c s="125" r="CA39"/>
      <c s="125" r="CB39"/>
      <c s="125" r="CC39"/>
      <c s="125" r="CD39"/>
      <c s="125" r="CE39"/>
      <c s="125" r="CF39"/>
      <c s="125" r="CG39"/>
      <c s="125" r="CH39"/>
      <c s="125" r="CI39"/>
      <c s="125" r="CJ39"/>
      <c s="125" r="CK39"/>
      <c s="125" r="CL39"/>
    </row>
    <row customHeight="1" r="40" ht="13.5">
      <c s="822" r="A40"/>
      <c s="908" r="B40"/>
      <c t="s" s="812" r="C40">
        <v>32</v>
      </c>
      <c t="str" s="582" r="D40">
        <f>Summary!$N$14</f>
        <v>---</v>
      </c>
      <c s="551" r="E40"/>
      <c s="551" r="F40"/>
      <c s="551" r="G40"/>
      <c s="551" r="H40"/>
      <c s="671" r="I40"/>
      <c s="702" r="J40"/>
      <c s="63" r="K40"/>
      <c t="s" s="298" r="L40">
        <v>543</v>
      </c>
      <c t="str" s="220" r="M40">
        <f>"-------------"</f>
        <v>-------------</v>
      </c>
      <c s="397" r="N40"/>
      <c s="598" r="O40"/>
      <c s="259" r="P40">
        <f>IF((O35=0),0,IF((P11&gt;=0.84),0.062,IF((SUMIF(P11:P34,"=.84")&gt;=1),INDEX(N11:N34,MATCH(0.84,P11:P34,0)),(2^(LOG((INDEX(N11:N34,MATCH(0.84,P11:P34,1))),2)+(((LOG((INDEX(N11:N34,(MATCH(0.84,P11:P34,1)+1))),2)-LOG((INDEX(N11:N34,MATCH(0.84,P11:P34,1))),2))*(0.84-INDEX(P11:P34,MATCH(0.84,P11:P34,1))))/(INDEX(P11:P34,(MATCH(0.84,P11:P34,1)+1))-INDEX(P11:P34,MATCH(0.84,P11:P34,1)))))))))</f>
        <v>0</v>
      </c>
      <c s="832" r="Q40"/>
      <c t="str" s="140" r="R40">
        <f>U41</f>
        <v>---</v>
      </c>
      <c s="116" r="S40"/>
      <c t="s" s="766" r="T40">
        <v>527</v>
      </c>
      <c t="str" s="52" r="U40">
        <f>IF((O35=0),"---",(ROUND((P39/(10^TRUNC(LOG(P39)))),(2-IF((P39&gt;1),1,0)))*(10^TRUNC(LOG(P39)))))</f>
        <v>---</v>
      </c>
      <c s="551" r="V40"/>
      <c s="551" r="W40"/>
      <c s="551" r="X40"/>
      <c s="518" r="Y40"/>
      <c t="s" s="294" r="Z40">
        <v>544</v>
      </c>
      <c t="str" s="479" r="AA40">
        <f>IF(O41,(SUM(O26:O29)/O41),"---")</f>
        <v>---</v>
      </c>
      <c t="str" s="37" r="AB40">
        <f>IF((O40&gt;0),"artificial","")</f>
        <v/>
      </c>
      <c t="str" s="26" r="AC40">
        <f>IF((O40&gt;0),(O40/O41),"")</f>
        <v/>
      </c>
      <c s="702" r="AD40"/>
      <c s="424" r="AE40"/>
      <c t="s" s="294" r="AF40">
        <v>537</v>
      </c>
      <c t="str" s="48" r="AG40">
        <f>"---------------------"</f>
        <v>---------------------</v>
      </c>
      <c s="294" r="AH40"/>
      <c s="635" r="AI40">
        <f>((IF((AI$80&gt;0),((AI76*AL$12)/AI$80),0)+IF((AI$110&gt;0),((AI112*AL$13)/AI$110),0))+IF((AI$146&gt;0),((AI148*AL$14)/AI$146),0))+IF((AI$182&gt;0),((AI184*AL$15)/AI$182),0)</f>
        <v>0</v>
      </c>
      <c s="259" r="AJ40">
        <f>IF((AI38=0),0,IF((AJ14&gt;=0.35),0.062,IF((SUMIF(AJ14:AJ37,"=.35")&gt;=1),INDEX(AH14:AH37,MATCH(0.35,AJ14:AJ37,0)),(2^(LOG((INDEX(AH14:AH37,MATCH(0.35,AJ14:AJ37,1))),2)+(((LOG((INDEX(AH14:AH37,(MATCH(0.35,AJ14:AJ37,1)+1))),2)-LOG((INDEX(AH14:AH37,MATCH(0.35,AJ14:AJ37,1))),2))*(0.35-INDEX(AJ14:AJ37,MATCH(0.35,AJ14:AJ37,1))))/(INDEX(AJ14:AJ37,(MATCH(0.35,AJ14:AJ37,1)+1))-INDEX(AJ14:AJ37,MATCH(0.35,AJ14:AJ37,1)))))))))</f>
        <v>0</v>
      </c>
      <c s="95" r="AK40"/>
      <c s="140" r="AL40">
        <v>0</v>
      </c>
      <c s="908" r="AM40"/>
      <c t="s" s="155" r="AN40">
        <v>526</v>
      </c>
      <c t="str" s="736" r="AO40">
        <f>IF((AI38=0),"---",(ROUND((AJ39/(10^TRUNC(LOG(AJ39)))),(2-IF((AJ39&gt;1),1,0)))*(10^TRUNC(LOG(AJ39)))))</f>
        <v>---</v>
      </c>
      <c s="551" r="AP40"/>
      <c t="s" s="155" r="AQ40">
        <v>538</v>
      </c>
      <c t="str" s="13" r="AR40">
        <f>IF(ISNUMBER((AO40*AO44)),((AO40*AO44)^0.5),"---")</f>
        <v>---</v>
      </c>
      <c s="551" r="AS40"/>
      <c t="s" s="417" r="AT40">
        <v>469</v>
      </c>
      <c t="str" s="290" r="AU40">
        <f>IF(AI44,((AI14)/AI44),"---")</f>
        <v>---</v>
      </c>
      <c t="str" s="403" r="AV40">
        <f>IF((AI40&gt;0),"bedrock","")</f>
        <v/>
      </c>
      <c t="str" s="26" r="AW40">
        <f>IF((AI40&gt;0),(AI40/AI44),"")</f>
        <v/>
      </c>
      <c s="702" r="AX40"/>
      <c s="57" r="AY40"/>
      <c s="551" r="AZ40"/>
      <c s="551" r="BA40"/>
      <c s="551" r="BB40"/>
      <c s="551" r="BC40"/>
      <c s="551" r="BD40"/>
      <c s="671" r="BE40"/>
      <c t="str" s="150" r="BF40">
        <f>$D$33</f>
        <v>---</v>
      </c>
      <c t="s" s="815" r="BG40">
        <v>459</v>
      </c>
      <c s="551" r="BH40"/>
      <c s="551" r="BI40"/>
      <c s="551" r="BJ40"/>
      <c s="551" r="BK40"/>
      <c s="551" r="BL40"/>
      <c s="551" r="BM40"/>
      <c s="551" r="BN40"/>
      <c s="551" r="BO40"/>
      <c s="671" r="BP40"/>
      <c s="51" r="BQ40"/>
      <c s="125" r="BR40"/>
      <c s="125" r="BS40"/>
      <c s="125" r="BT40"/>
      <c s="125" r="BU40"/>
      <c s="125" r="BV40"/>
      <c s="125" r="BW40"/>
      <c s="125" r="BX40"/>
      <c s="125" r="BY40"/>
      <c s="125" r="BZ40"/>
      <c s="125" r="CA40"/>
      <c s="125" r="CB40"/>
      <c s="125" r="CC40"/>
      <c s="125" r="CD40"/>
      <c s="125" r="CE40"/>
      <c s="125" r="CF40"/>
      <c s="125" r="CG40"/>
      <c s="125" r="CH40"/>
      <c s="125" r="CI40"/>
      <c s="125" r="CJ40"/>
      <c s="125" r="CK40"/>
      <c s="125" r="CL40"/>
    </row>
    <row customHeight="1" r="41" ht="15.0">
      <c s="822" r="A41"/>
      <c s="908" r="B41"/>
      <c t="s" s="812" r="C41">
        <v>34</v>
      </c>
      <c t="str" s="717" r="D41">
        <f>Summary!$N$15</f>
        <v>---</v>
      </c>
      <c s="335" r="E41"/>
      <c s="335" r="F41"/>
      <c s="335" r="G41"/>
      <c s="335" r="H41"/>
      <c s="326" r="I41"/>
      <c s="702" r="J41"/>
      <c s="178" r="K41"/>
      <c s="640" r="L41"/>
      <c s="560" r="M41"/>
      <c t="s" s="232" r="N41">
        <v>545</v>
      </c>
      <c s="897" r="O41">
        <f>SUM(O11:O34)+SUM(O37:O40)</f>
        <v>0</v>
      </c>
      <c s="259" r="P41">
        <f>IF((O35=0),0,IF((P11&gt;=0.95),0.062,IF((SUMIF(P11:P34,"=.95")&gt;=1),INDEX(N11:N34,MATCH(0.95,P11:P34,0)),(2^(LOG((INDEX(N11:N34,MATCH(0.95,P11:P34,1))),2)+(((LOG((INDEX(N11:N34,(MATCH(0.95,P11:P34,1)+1))),2)-LOG((INDEX(N11:N34,MATCH(0.95,P11:P34,1))),2))*(0.95-INDEX(P11:P34,MATCH(0.95,P11:P34,1))))/(INDEX(P11:P34,(MATCH(0.95,P11:P34,1)+1))-INDEX(P11:P34,MATCH(0.95,P11:P34,1)))))))))</f>
        <v>0</v>
      </c>
      <c s="832" r="Q41"/>
      <c t="str" s="140" r="R41">
        <f>IF((O35&gt;0),0.84,NA())</f>
        <v>#N/A:explicit</v>
      </c>
      <c s="116" r="S41"/>
      <c t="s" s="766" r="T41">
        <v>531</v>
      </c>
      <c t="str" s="52" r="U41">
        <f>IF((O35=0),"---",(ROUND((P40/(10^TRUNC(LOG(P40)))),(2-IF((P40&gt;1),1,0)))*(10^TRUNC(LOG(P40)))))</f>
        <v>---</v>
      </c>
      <c s="551" r="V41"/>
      <c s="551" r="W41"/>
      <c s="551" r="X41"/>
      <c s="518" r="Y41"/>
      <c t="s" s="294" r="Z41">
        <v>546</v>
      </c>
      <c t="str" s="479" r="AA41">
        <f>IF(O41,(SUM(O30:O34)/O41),"---")</f>
        <v>---</v>
      </c>
      <c s="518" r="AB41"/>
      <c s="671" r="AC41"/>
      <c s="702" r="AD41"/>
      <c s="424" r="AE41"/>
      <c t="s" s="294" r="AF41">
        <v>539</v>
      </c>
      <c t="str" s="48" r="AG41">
        <f>"---------------------"</f>
        <v>---------------------</v>
      </c>
      <c s="294" r="AH41"/>
      <c s="154" r="AI41">
        <f>((IF((AI$80&gt;0),((AI77*AL$12)/AI$80),0)+IF((AI$110&gt;0),((AI113*AL$13)/AI$110),0))+IF((AI$146&gt;0),((AI149*AL$14)/AI$146),0))+IF((AI$182&gt;0),((AI185*AL$15)/AI$182),0)</f>
        <v>0</v>
      </c>
      <c s="259" r="AJ41">
        <f>IF((AI38=0),0,IF((AJ14&gt;=0.5),0.062,IF((SUMIF(AJ14:AJ37,"=.5")&gt;=1),INDEX(AH14:AH37,MATCH(0.5,AJ14:AJ37,0)),(2^(LOG((INDEX(AH14:AH37,MATCH(0.5,AJ14:AJ37,1))),2)+(((LOG((INDEX(AH14:AH37,(MATCH(0.5,AJ14:AJ37,1)+1))),2)-LOG((INDEX(AH14:AH37,MATCH(0.5,AJ14:AJ37,1))),2))*(0.5-INDEX(AJ14:AJ37,MATCH(0.5,AJ14:AJ37,1))))/(INDEX(AJ14:AJ37,(MATCH(0.5,AJ14:AJ37,1)+1))-INDEX(AJ14:AJ37,MATCH(0.5,AJ14:AJ37,1)))))))))</f>
        <v>0</v>
      </c>
      <c s="282" r="AK41"/>
      <c s="140" r="AL41">
        <v>0.01</v>
      </c>
      <c s="908" r="AM41"/>
      <c t="s" s="766" r="AN41">
        <v>530</v>
      </c>
      <c t="str" s="52" r="AO41">
        <f>IF((AI38=0),"---",(ROUND((AJ40/(10^TRUNC(LOG(AJ40)))),(2-IF((AJ40&gt;1),1,0)))*(10^TRUNC(LOG(AJ40)))))</f>
        <v>---</v>
      </c>
      <c s="551" r="AP41"/>
      <c t="s" s="766" r="AQ41">
        <v>183</v>
      </c>
      <c t="str" s="258" r="AR41">
        <f>IF(ISNUMBER(((AO44/AO42)+(AO42/AO40))),(((AO44/AO42)+(AO42/AO40))/2),"---")</f>
        <v>---</v>
      </c>
      <c s="551" r="AS41"/>
      <c t="s" s="37" r="AT41">
        <v>528</v>
      </c>
      <c t="str" s="776" r="AU41">
        <f>IF(AI44,(SUM(AI15:AI19)/AI44),"---")</f>
        <v>---</v>
      </c>
      <c t="str" s="37" r="AV41">
        <f>IF((AI41&gt;0),"hardpan","")</f>
        <v/>
      </c>
      <c t="str" s="26" r="AW41">
        <f>IF((AI41&gt;0),(AI41/AI44),"")</f>
        <v/>
      </c>
      <c s="702" r="AX41"/>
      <c s="582" r="AY41"/>
      <c s="472" r="AZ41"/>
      <c s="186" r="BA41"/>
      <c s="372" r="BB41"/>
      <c s="372" r="BC41"/>
      <c s="372" r="BD41"/>
      <c s="328" r="BE41"/>
      <c s="150" r="BF41"/>
      <c s="815" r="BG41"/>
      <c s="8" r="BH41"/>
      <c s="551" r="BI41"/>
      <c s="472" r="BJ41"/>
      <c s="472" r="BK41"/>
      <c s="472" r="BL41"/>
      <c s="472" r="BM41"/>
      <c s="472" r="BN41"/>
      <c s="472" r="BO41"/>
      <c s="323" r="BP41"/>
      <c s="51" r="BQ41"/>
      <c s="125" r="BR41"/>
      <c s="125" r="BS41"/>
      <c s="125" r="BT41"/>
      <c s="125" r="BU41"/>
      <c s="125" r="BV41"/>
      <c s="125" r="BW41"/>
      <c s="125" r="BX41"/>
      <c s="125" r="BY41"/>
      <c s="125" r="BZ41"/>
      <c s="125" r="CA41"/>
      <c s="125" r="CB41"/>
      <c s="125" r="CC41"/>
      <c s="125" r="CD41"/>
      <c s="125" r="CE41"/>
      <c s="125" r="CF41"/>
      <c s="125" r="CG41"/>
      <c s="125" r="CH41"/>
      <c s="125" r="CI41"/>
      <c s="125" r="CJ41"/>
      <c s="125" r="CK41"/>
      <c s="125" r="CL41"/>
    </row>
    <row r="42">
      <c s="822" r="A42"/>
      <c s="908" r="B42"/>
      <c t="s" s="812" r="C42">
        <v>37</v>
      </c>
      <c t="str" s="207" r="D42">
        <f>Summary!$N$16</f>
        <v>---</v>
      </c>
      <c s="304" r="E42"/>
      <c s="304" r="F42"/>
      <c s="304" r="G42"/>
      <c s="304" r="H42"/>
      <c s="12" r="I42"/>
      <c s="702" r="J42"/>
      <c s="908" r="K42"/>
      <c s="414" r="L42"/>
      <c s="414" r="M42"/>
      <c s="414" r="N42"/>
      <c s="397" r="O42"/>
      <c s="119" r="P42"/>
      <c s="714" r="Q42"/>
      <c t="str" s="140" r="R42">
        <f>R41</f>
        <v>#N/A:explicit</v>
      </c>
      <c s="116" r="S42"/>
      <c t="s" s="766" r="T42">
        <v>534</v>
      </c>
      <c t="str" s="52" r="U42">
        <f>IF((O35=0),"---",(ROUND((P41/(10^TRUNC(LOG(P41)))),(2-IF((P41&gt;1),1,0)))*(10^TRUNC(LOG(P41)))))</f>
        <v>---</v>
      </c>
      <c s="518" r="V42"/>
      <c s="518" r="W42"/>
      <c s="518" r="X42"/>
      <c s="518" r="Y42"/>
      <c s="518" r="Z42"/>
      <c s="518" r="AA42"/>
      <c s="518" r="AB42"/>
      <c s="452" r="AC42"/>
      <c s="702" r="AD42"/>
      <c s="424" r="AE42"/>
      <c t="s" s="294" r="AF42">
        <v>541</v>
      </c>
      <c t="str" s="48" r="AG42">
        <f>"---------------------"</f>
        <v>---------------------</v>
      </c>
      <c s="294" r="AH42"/>
      <c s="154" r="AI42">
        <f>((IF((AI$80&gt;0),((AI78*AL$12)/AI$80),0)+IF((AI$110&gt;0),((AI114*AL$13)/AI$110),0))+IF((AI$146&gt;0),((AI150*AL$14)/AI$146),0))+IF((AI$182&gt;0),((AI186*AL$15)/AI$182),0)</f>
        <v>0</v>
      </c>
      <c s="259" r="AJ42">
        <f>IF((AI38=0),0,IF((AJ14&gt;=0.65),0.062,IF((SUMIF(AJ14:AJ37,"=.65")&gt;=1),INDEX(AH14:AH37,MATCH(0.65,AJ14:AJ37,0)),(2^(LOG((INDEX(AH14:AH37,MATCH(0.65,AJ14:AJ37,1))),2)+(((LOG((INDEX(AH14:AH37,(MATCH(0.65,AJ14:AJ37,1)+1))),2)-LOG((INDEX(AH14:AH37,MATCH(0.65,AJ14:AJ37,1))),2))*(0.65-INDEX(AJ14:AJ37,MATCH(0.65,AJ14:AJ37,1))))/(INDEX(AJ14:AJ37,(MATCH(0.65,AJ14:AJ37,1)+1))-INDEX(AJ14:AJ37,MATCH(0.65,AJ14:AJ37,1)))))))))</f>
        <v>0</v>
      </c>
      <c s="832" r="AK42"/>
      <c t="str" s="140" r="AL42">
        <f>AO44</f>
        <v>---</v>
      </c>
      <c s="908" r="AM42"/>
      <c t="s" s="766" r="AN42">
        <v>533</v>
      </c>
      <c t="str" s="52" r="AO42">
        <f>IF((AI38=0),"---",(ROUND((AJ41/(10^TRUNC(LOG(AJ41)))),(2-IF((AJ41&gt;1),1,0)))*(10^TRUNC(LOG(AJ41)))))</f>
        <v>---</v>
      </c>
      <c s="551" r="AP42"/>
      <c t="s" s="766" r="AQ42">
        <v>185</v>
      </c>
      <c t="str" s="4" r="AR42">
        <f>IF(ISNUMBER((AO44*AO40)),(LOG((((AO44*AO40)^0.5)/AO42))/(LOG((AO44/AO40))^0.5)),"---")</f>
        <v>---</v>
      </c>
      <c s="551" r="AS42"/>
      <c t="s" s="37" r="AT42">
        <v>542</v>
      </c>
      <c t="str" s="776" r="AU42">
        <f>IF(AI44,(SUM(AI20:AI28)/AI44),"---")</f>
        <v>---</v>
      </c>
      <c t="str" s="37" r="AV42">
        <f>IF((AI42&gt;0),"wood/det","")</f>
        <v/>
      </c>
      <c t="str" s="26" r="AW42">
        <f>IF((AI42&gt;0),(AI42/AI44),"")</f>
        <v/>
      </c>
      <c s="702" r="AX42"/>
      <c s="289" r="AY42"/>
      <c s="914" r="AZ42"/>
      <c t="s" s="52" r="BA42">
        <v>470</v>
      </c>
      <c s="551" r="BB42"/>
      <c s="551" r="BC42"/>
      <c s="551" r="BD42"/>
      <c s="671" r="BE42"/>
      <c s="150" r="BF42">
        <v>1</v>
      </c>
      <c s="815" r="BG42"/>
      <c s="8" r="BH42"/>
      <c s="472" r="BI42"/>
      <c s="472" r="BJ42"/>
      <c s="472" r="BK42"/>
      <c s="472" r="BL42"/>
      <c s="472" r="BM42"/>
      <c s="472" r="BN42"/>
      <c s="472" r="BO42"/>
      <c s="323" r="BP42"/>
      <c s="51" r="BQ42"/>
      <c s="125" r="BR42"/>
      <c s="125" r="BS42"/>
      <c s="125" r="BT42"/>
      <c s="125" r="BU42"/>
      <c s="125" r="BV42"/>
      <c s="125" r="BW42"/>
      <c s="125" r="BX42"/>
      <c s="125" r="BY42"/>
      <c s="125" r="BZ42"/>
      <c s="125" r="CA42"/>
      <c s="125" r="CB42"/>
      <c s="125" r="CC42"/>
      <c s="125" r="CD42"/>
      <c s="125" r="CE42"/>
      <c s="125" r="CF42"/>
      <c s="125" r="CG42"/>
      <c s="125" r="CH42"/>
      <c s="125" r="CI42"/>
      <c s="125" r="CJ42"/>
      <c s="125" r="CK42"/>
      <c s="125" r="CL42"/>
    </row>
    <row customHeight="1" r="43" ht="13.5">
      <c s="822" r="A43"/>
      <c s="908" r="B43"/>
      <c s="812" r="C43"/>
      <c s="207" r="D43"/>
      <c s="304" r="E43"/>
      <c s="304" r="F43"/>
      <c s="304" r="G43"/>
      <c s="304" r="H43"/>
      <c s="12" r="I43"/>
      <c s="702" r="J43"/>
      <c t="s" s="340" r="K43">
        <v>529</v>
      </c>
      <c s="669" r="L43"/>
      <c s="221" r="M43"/>
      <c s="647" r="N43"/>
      <c s="842" r="O43"/>
      <c s="119" r="P43"/>
      <c s="714" r="Q43"/>
      <c s="140" r="R43">
        <v>0</v>
      </c>
      <c s="533" r="S43"/>
      <c s="685" r="T43"/>
      <c s="685" r="U43"/>
      <c s="685" r="V43"/>
      <c s="685" r="W43"/>
      <c s="685" r="X43"/>
      <c s="685" r="Y43"/>
      <c s="685" r="Z43"/>
      <c s="685" r="AA43"/>
      <c s="685" r="AB43"/>
      <c s="877" r="AC43"/>
      <c s="702" r="AD43"/>
      <c s="63" r="AE43"/>
      <c t="s" s="483" r="AF43">
        <v>543</v>
      </c>
      <c t="str" s="438" r="AG43">
        <f>"---------------------"</f>
        <v>---------------------</v>
      </c>
      <c s="483" r="AH43"/>
      <c s="818" r="AI43">
        <f>((IF((AI$80&gt;0),((AI79*AL$12)/AI$80),0)+IF((AI$110&gt;0),((AI115*AL$13)/AI$110),0))+IF((AI$146&gt;0),((AI151*AL$14)/AI$146),0))+IF((AI$182&gt;0),((AI187*AL$15)/AI$182),0)</f>
        <v>0</v>
      </c>
      <c s="259" r="AJ43">
        <f>IF((AI38=0),0,IF((AJ14&gt;=0.84),0.062,IF((SUMIF(AJ14:AJ37,"=.84")&gt;=1),INDEX(AH14:AH37,MATCH(0.84,AJ14:AJ37,0)),(2^(LOG((INDEX(AH14:AH37,MATCH(0.84,AJ14:AJ37,1))),2)+(((LOG((INDEX(AH14:AH37,(MATCH(0.84,AJ14:AJ37,1)+1))),2)-LOG((INDEX(AH14:AH37,MATCH(0.84,AJ14:AJ37,1))),2))*(0.84-INDEX(AJ14:AJ37,MATCH(0.84,AJ14:AJ37,1))))/(INDEX(AJ14:AJ37,(MATCH(0.84,AJ14:AJ37,1)+1))-INDEX(AJ14:AJ37,MATCH(0.84,AJ14:AJ37,1)))))))))</f>
        <v>0</v>
      </c>
      <c s="835" r="AK43"/>
      <c t="str" s="140" r="AL43">
        <f>AO44</f>
        <v>---</v>
      </c>
      <c s="908" r="AM43"/>
      <c t="s" s="766" r="AN43">
        <v>527</v>
      </c>
      <c t="str" s="52" r="AO43">
        <f>IF((AI38=0),"---",(ROUND((AJ42/(10^TRUNC(LOG(AJ42)))),(2-IF((AJ42&gt;1),1,0)))*(10^TRUNC(LOG(AJ42)))))</f>
        <v>---</v>
      </c>
      <c s="551" r="AP43"/>
      <c s="551" r="AQ43"/>
      <c s="551" r="AR43"/>
      <c s="551" r="AS43"/>
      <c t="s" s="37" r="AT43">
        <v>544</v>
      </c>
      <c t="str" s="776" r="AU43">
        <f>IF(AI44,(SUM(AI29:AI32)/AI44),"---")</f>
        <v>---</v>
      </c>
      <c t="str" s="37" r="AV43">
        <f>IF((AI43&gt;0),"artificial","")</f>
        <v/>
      </c>
      <c t="str" s="26" r="AW43">
        <f>IF((AI43&gt;0),(AI43/AI44),"")</f>
        <v/>
      </c>
      <c s="702" r="AX43"/>
      <c t="s" s="289" r="AY43">
        <v>475</v>
      </c>
      <c t="s" s="52" r="AZ43">
        <v>475</v>
      </c>
      <c t="s" s="52" r="BA43">
        <v>476</v>
      </c>
      <c t="s" s="52" r="BB43">
        <v>477</v>
      </c>
      <c s="52" r="BC43"/>
      <c t="s" s="52" r="BD43">
        <v>478</v>
      </c>
      <c s="328" r="BE43"/>
      <c s="150" r="BF43">
        <f>IF((BB63&gt;0),BF42,0)</f>
        <v>0</v>
      </c>
      <c s="815" r="BG43"/>
      <c s="8" r="BH43"/>
      <c s="472" r="BI43"/>
      <c s="472" r="BJ43"/>
      <c s="472" r="BK43"/>
      <c s="472" r="BL43"/>
      <c s="472" r="BM43"/>
      <c s="472" r="BN43"/>
      <c s="472" r="BO43"/>
      <c s="323" r="BP43"/>
      <c s="51" r="BQ43"/>
      <c s="125" r="BR43"/>
      <c s="125" r="BS43"/>
      <c s="125" r="BT43"/>
      <c s="125" r="BU43"/>
      <c s="125" r="BV43"/>
      <c s="125" r="BW43"/>
      <c s="125" r="BX43"/>
      <c s="125" r="BY43"/>
      <c s="125" r="BZ43"/>
      <c s="125" r="CA43"/>
      <c s="125" r="CB43"/>
      <c s="125" r="CC43"/>
      <c s="125" r="CD43"/>
      <c s="125" r="CE43"/>
      <c s="125" r="CF43"/>
      <c s="125" r="CG43"/>
      <c s="125" r="CH43"/>
      <c s="125" r="CI43"/>
      <c s="125" r="CJ43"/>
      <c s="125" r="CK43"/>
      <c s="125" r="CL43"/>
    </row>
    <row customHeight="1" r="44" ht="15.75">
      <c s="822" r="A44"/>
      <c s="908" r="B44"/>
      <c t="s" s="812" r="C44">
        <v>403</v>
      </c>
      <c t="str" s="582" r="D44">
        <f>Summary!$N$20</f>
        <v>---</v>
      </c>
      <c s="551" r="E44"/>
      <c s="551" r="F44"/>
      <c s="551" r="G44"/>
      <c s="551" r="H44"/>
      <c s="671" r="I44"/>
      <c s="51" r="J44"/>
      <c s="412" r="K44"/>
      <c s="412" r="L44"/>
      <c s="412" r="M44"/>
      <c s="412" r="N44"/>
      <c s="412" r="O44"/>
      <c s="714" r="P44"/>
      <c s="714" r="Q44"/>
      <c s="735" r="R44"/>
      <c s="412" r="S44"/>
      <c s="412" r="T44"/>
      <c s="412" r="U44"/>
      <c s="412" r="V44"/>
      <c s="412" r="W44"/>
      <c s="412" r="X44"/>
      <c s="412" r="Y44"/>
      <c s="412" r="Z44"/>
      <c s="412" r="AA44"/>
      <c s="412" r="AB44"/>
      <c s="412" r="AC44"/>
      <c s="822" r="AD44"/>
      <c s="178" r="AE44"/>
      <c s="640" r="AF44"/>
      <c s="640" r="AG44"/>
      <c t="s" s="232" r="AH44">
        <v>547</v>
      </c>
      <c s="60" r="AI44">
        <f>SUM(AI14:AI37)+SUM(AI40:AI43)</f>
        <v>0</v>
      </c>
      <c s="259" r="AJ44">
        <f>IF((AI38=0),0,IF((AJ14&gt;=0.95),0.062,IF((SUMIF(AJ14:AJ37,"=.95")&gt;=1),INDEX(AH14:AH37,MATCH(0.95,AJ14:AJ37,0)),(2^(LOG((INDEX(AH14:AH37,MATCH(0.95,AJ14:AJ37,1))),2)+(((LOG((INDEX(AH14:AH37,(MATCH(0.95,AJ14:AJ37,1)+1))),2)-LOG((INDEX(AH14:AH37,MATCH(0.95,AJ14:AJ37,1))),2))*(0.95-INDEX(AJ14:AJ37,MATCH(0.95,AJ14:AJ37,1))))/(INDEX(AJ14:AJ37,(MATCH(0.95,AJ14:AJ37,1)+1))-INDEX(AJ14:AJ37,MATCH(0.95,AJ14:AJ37,1)))))))))</f>
        <v>0</v>
      </c>
      <c s="835" r="AK44"/>
      <c t="str" s="140" r="AL44">
        <f>IF((AI38&gt;0),0.84,NA())</f>
        <v>#N/A:explicit</v>
      </c>
      <c s="908" r="AM44"/>
      <c t="s" s="766" r="AN44">
        <v>531</v>
      </c>
      <c t="str" s="52" r="AO44">
        <f>IF((AI38=0),"---",(ROUND((AJ43/(10^TRUNC(LOG(AJ43)))),(2-IF((AJ43&gt;1),1,0)))*(10^TRUNC(LOG(AJ43)))))</f>
        <v>---</v>
      </c>
      <c s="551" r="AP44"/>
      <c s="551" r="AQ44"/>
      <c s="551" r="AR44"/>
      <c s="551" r="AS44"/>
      <c t="s" s="37" r="AT44">
        <v>546</v>
      </c>
      <c t="str" s="776" r="AU44">
        <f>IF(AI44,(SUM(AI33:AI37)/AI44),"---")</f>
        <v>---</v>
      </c>
      <c s="551" r="AV44"/>
      <c s="671" r="AW44"/>
      <c s="702" r="AX44"/>
      <c t="s" s="289" r="AY44">
        <v>481</v>
      </c>
      <c t="s" s="52" r="AZ44">
        <v>482</v>
      </c>
      <c t="s" s="52" r="BA44">
        <v>482</v>
      </c>
      <c t="s" s="52" r="BB44">
        <v>483</v>
      </c>
      <c s="52" r="BC44"/>
      <c t="s" s="52" r="BD44">
        <v>475</v>
      </c>
      <c s="328" r="BE44"/>
      <c t="s" s="150" r="BF44">
        <v>484</v>
      </c>
      <c t="s" s="815" r="BG44">
        <v>459</v>
      </c>
      <c s="551" r="BH44"/>
      <c s="551" r="BI44"/>
      <c s="551" r="BJ44"/>
      <c s="505" r="BK44"/>
      <c s="505" r="BL44"/>
      <c s="375" r="BM44"/>
      <c s="375" r="BN44"/>
      <c s="375" r="BO44"/>
      <c s="809" r="BP44"/>
      <c s="51" r="BQ44"/>
      <c s="125" r="BR44"/>
      <c s="125" r="BS44"/>
      <c s="125" r="BT44"/>
      <c s="125" r="BU44"/>
      <c s="125" r="BV44"/>
      <c s="125" r="BW44"/>
      <c s="125" r="BX44"/>
      <c s="125" r="BY44"/>
      <c s="125" r="BZ44"/>
      <c s="125" r="CA44"/>
      <c s="125" r="CB44"/>
      <c s="125" r="CC44"/>
      <c s="125" r="CD44"/>
      <c s="125" r="CE44"/>
      <c s="125" r="CF44"/>
      <c s="125" r="CG44"/>
      <c s="125" r="CH44"/>
      <c s="125" r="CI44"/>
      <c s="125" r="CJ44"/>
      <c s="125" r="CK44"/>
      <c s="125" r="CL44"/>
    </row>
    <row customHeight="1" r="45" ht="14.25">
      <c s="822" r="A45"/>
      <c s="20" r="B45"/>
      <c t="str" s="393" r="C45">
        <f>"Drainage Area "&amp;IF((Summary!J4=2),"(sq.km)","(sq.mi)")</f>
        <v>Drainage Area (sq.mi)</v>
      </c>
      <c t="str" s="662" r="D45">
        <f>Summary!$N$21</f>
        <v>---</v>
      </c>
      <c s="414" r="E45"/>
      <c s="414" r="F45"/>
      <c s="414" r="G45"/>
      <c s="414" r="H45"/>
      <c s="397" r="I45"/>
      <c s="702" r="J45"/>
      <c s="627" r="K45"/>
      <c s="250" r="L45"/>
      <c s="250" r="M45"/>
      <c s="250" r="N45"/>
      <c s="801" r="O45"/>
      <c s="899" r="P45"/>
      <c s="498" r="Q45"/>
      <c s="140" r="R45"/>
      <c s="487" r="S45"/>
      <c s="250" r="T45"/>
      <c s="250" r="U45"/>
      <c s="250" r="V45"/>
      <c s="250" r="W45"/>
      <c s="250" r="X45"/>
      <c s="250" r="Y45"/>
      <c s="250" r="Z45"/>
      <c s="250" r="AA45"/>
      <c s="250" r="AB45"/>
      <c s="801" r="AC45"/>
      <c s="702" r="AD45"/>
      <c s="908" r="AE45"/>
      <c s="414" r="AF45"/>
      <c s="414" r="AG45"/>
      <c s="414" r="AH45"/>
      <c s="397" r="AI45"/>
      <c s="901" r="AJ45"/>
      <c s="291" r="AK45"/>
      <c t="str" s="140" r="AL45">
        <f>AL44</f>
        <v>#N/A:explicit</v>
      </c>
      <c s="116" r="AM45"/>
      <c t="s" s="766" r="AN45">
        <v>534</v>
      </c>
      <c t="str" s="52" r="AO45">
        <f>IF((AI38=0),"---",(ROUND((AJ44/(10^TRUNC(LOG(AJ44)))),(2-IF((AJ44&gt;1),1,0)))*(10^TRUNC(LOG(AJ44)))))</f>
        <v>---</v>
      </c>
      <c s="518" r="AP45"/>
      <c s="518" r="AQ45"/>
      <c s="518" r="AR45"/>
      <c s="518" r="AS45"/>
      <c s="518" r="AT45"/>
      <c s="518" r="AU45"/>
      <c s="518" r="AV45"/>
      <c s="452" r="AW45"/>
      <c s="702" r="AX45"/>
      <c t="s" s="495" r="AY45">
        <v>488</v>
      </c>
      <c t="s" s="912" r="AZ45">
        <v>489</v>
      </c>
      <c t="s" s="912" r="BA45">
        <v>489</v>
      </c>
      <c t="s" s="912" r="BB45">
        <v>489</v>
      </c>
      <c s="66" r="BC45"/>
      <c s="495" r="BD45"/>
      <c s="557" r="BE45"/>
      <c t="s" s="150" r="BF45">
        <v>490</v>
      </c>
      <c t="s" s="409" r="BG45">
        <v>459</v>
      </c>
      <c s="551" r="BH45"/>
      <c s="551" r="BI45"/>
      <c s="551" r="BJ45"/>
      <c s="551" r="BK45"/>
      <c s="551" r="BL45"/>
      <c s="551" r="BM45"/>
      <c s="551" r="BN45"/>
      <c s="551" r="BO45"/>
      <c s="671" r="BP45"/>
      <c s="51" r="BQ45"/>
      <c s="125" r="BR45"/>
      <c s="125" r="BS45"/>
      <c s="125" r="BT45"/>
      <c s="125" r="BU45"/>
      <c s="125" r="BV45"/>
      <c s="125" r="BW45"/>
      <c s="125" r="BX45"/>
      <c s="125" r="BY45"/>
      <c s="125" r="BZ45"/>
      <c s="125" r="CA45"/>
      <c s="125" r="CB45"/>
      <c s="125" r="CC45"/>
      <c s="125" r="CD45"/>
      <c s="125" r="CE45"/>
      <c s="125" r="CF45"/>
      <c s="125" r="CG45"/>
      <c s="125" r="CH45"/>
      <c s="125" r="CI45"/>
      <c s="125" r="CJ45"/>
      <c s="125" r="CK45"/>
      <c s="125" r="CL45"/>
    </row>
    <row customHeight="1" r="46" ht="13.5">
      <c s="822" r="A46"/>
      <c t="s" s="720" r="B46">
        <v>40</v>
      </c>
      <c s="467" r="C46"/>
      <c s="467" r="D46"/>
      <c t="str" s="572" r="E46">
        <f>IF((R16=1),"Riffle",IF((R16=2),"Bed",IF((R53=1),"Riffle",IF((R53=2),"Bed",IF((AL20=1),"Riffle",IF((AL20=2),"bed",IF(OR((AL20=3),(R16=3),(R53=3)),"Channel","")))))))</f>
        <v/>
      </c>
      <c s="572" r="F46"/>
      <c t="str" s="572" r="G46">
        <f>IF(($BF$12=1),"Point",IF((BF$12=2),"Sub",IF((BF43=1),"Point",IF((BF43=2),"Sub",""))))</f>
        <v/>
      </c>
      <c s="572" r="H46"/>
      <c t="str" s="888" r="I46">
        <f>IF((I47=""),"","BkF")</f>
        <v>#VALUE!:cantParseText:---</v>
      </c>
      <c s="702" r="J46"/>
      <c s="723" r="K46"/>
      <c s="782" r="L46"/>
      <c s="782" r="M46"/>
      <c s="782" r="N46"/>
      <c s="39" r="O46"/>
      <c s="899" r="P46"/>
      <c s="498" r="Q46"/>
      <c s="140" r="R46"/>
      <c s="329" r="S46"/>
      <c s="782" r="T46"/>
      <c s="782" r="U46"/>
      <c s="782" r="V46"/>
      <c s="782" r="W46"/>
      <c s="782" r="X46"/>
      <c s="782" r="Y46"/>
      <c s="782" r="Z46"/>
      <c s="782" r="AA46"/>
      <c s="782" r="AB46"/>
      <c s="39" r="AC46"/>
      <c s="702" r="AD46"/>
      <c t="s" s="340" r="AE46">
        <v>529</v>
      </c>
      <c s="256" r="AF46"/>
      <c s="650" r="AG46"/>
      <c s="650" r="AH46"/>
      <c s="500" r="AI46"/>
      <c s="901" r="AJ46"/>
      <c s="291" r="AK46"/>
      <c s="140" r="AL46">
        <v>0</v>
      </c>
      <c s="533" r="AM46"/>
      <c s="685" r="AN46"/>
      <c s="685" r="AO46"/>
      <c s="685" r="AP46"/>
      <c s="685" r="AQ46"/>
      <c s="685" r="AR46"/>
      <c s="685" r="AS46"/>
      <c s="685" r="AT46"/>
      <c s="685" r="AU46"/>
      <c s="685" r="AV46"/>
      <c s="877" r="AW46"/>
      <c s="702" r="AX46"/>
      <c s="426" r="AY46"/>
      <c s="426" r="AZ46"/>
      <c s="426" r="BA46"/>
      <c s="573" r="BB46">
        <f>IF(ISBLANK(BA46),0,(BA46-AZ46))</f>
        <v>0</v>
      </c>
      <c t="str" s="45" r="BC46">
        <f>IF((BB$63&gt;0),(BB46/BB$63),"---")</f>
        <v>---</v>
      </c>
      <c t="str" s="573" r="BD46">
        <f>"---"</f>
        <v>---</v>
      </c>
      <c t="str" s="281" r="BE46">
        <f>"---"</f>
        <v>---</v>
      </c>
      <c t="s" s="150" r="BF46">
        <v>493</v>
      </c>
      <c t="s" s="409" r="BG46">
        <v>459</v>
      </c>
      <c s="551" r="BH46"/>
      <c s="551" r="BI46"/>
      <c s="551" r="BJ46"/>
      <c s="551" r="BK46"/>
      <c s="551" r="BL46"/>
      <c s="551" r="BM46"/>
      <c s="551" r="BN46"/>
      <c s="551" r="BO46"/>
      <c s="671" r="BP46"/>
      <c s="51" r="BQ46"/>
      <c s="125" r="BR46"/>
      <c s="125" r="BS46"/>
      <c s="125" r="BT46"/>
      <c s="125" r="BU46"/>
      <c s="125" r="BV46"/>
      <c s="125" r="BW46"/>
      <c s="125" r="BX46"/>
      <c s="125" r="BY46"/>
      <c s="125" r="BZ46"/>
      <c s="125" r="CA46"/>
      <c s="125" r="CB46"/>
      <c s="125" r="CC46"/>
      <c s="125" r="CD46"/>
      <c s="125" r="CE46"/>
      <c s="125" r="CF46"/>
      <c s="125" r="CG46"/>
      <c s="125" r="CH46"/>
      <c s="125" r="CI46"/>
      <c s="125" r="CJ46"/>
      <c s="125" r="CK46"/>
      <c s="125" r="CL46"/>
    </row>
    <row customHeight="1" r="47" ht="14.25">
      <c s="822" r="A47"/>
      <c s="465" r="B47"/>
      <c s="310" r="C47"/>
      <c s="480" r="D47"/>
      <c t="str" s="209" r="E47">
        <f>IF((E46=""),"","Surface")</f>
        <v/>
      </c>
      <c t="str" s="209" r="F47">
        <f>IF(OR(ISNUMBER(F50),(SUM(F63:F66)&gt;0)),"Bank","")</f>
        <v>#VALUE!:cantParseText:---</v>
      </c>
      <c t="str" s="556" r="G47">
        <f>IF((G46="Point"),"Bar",IF((G46="Sub"),"Pavement",""))</f>
        <v/>
      </c>
      <c s="209" r="H47"/>
      <c t="str" s="14" r="I47">
        <f>IF(OR(ISNUMBER(I50),(SUM(I63:I66)&gt;0)),"Channel","")</f>
        <v>#VALUE!:cantParseText:---</v>
      </c>
      <c s="702" r="J47"/>
      <c s="376" r="K47"/>
      <c t="s" s="440" r="L47">
        <v>464</v>
      </c>
      <c t="s" s="93" r="M47">
        <v>465</v>
      </c>
      <c s="645" r="N47"/>
      <c t="s" s="66" r="O47">
        <v>466</v>
      </c>
      <c s="119" r="P47"/>
      <c s="714" r="Q47"/>
      <c s="140" r="R47"/>
      <c s="908" r="S47"/>
      <c s="551" r="T47"/>
      <c s="551" r="U47"/>
      <c s="551" r="V47"/>
      <c s="551" r="W47"/>
      <c s="551" r="X47"/>
      <c s="551" r="Y47"/>
      <c s="551" r="Z47"/>
      <c s="551" r="AA47"/>
      <c s="551" r="AB47"/>
      <c s="671" r="AC47"/>
      <c t="s" s="51" r="AD47">
        <v>2</v>
      </c>
      <c s="191" r="AE47"/>
      <c s="803" r="AF47"/>
      <c s="386" r="AG47"/>
      <c s="412" r="AH47"/>
      <c s="412" r="AI47"/>
      <c s="62" r="AJ47"/>
      <c s="62" r="AK47"/>
      <c s="205" r="AL47"/>
      <c s="412" r="AM47"/>
      <c s="412" r="AN47"/>
      <c s="412" r="AO47"/>
      <c s="412" r="AP47"/>
      <c s="412" r="AQ47"/>
      <c s="412" r="AR47"/>
      <c s="412" r="AS47"/>
      <c s="412" r="AT47"/>
      <c s="412" r="AU47"/>
      <c s="412" r="AV47"/>
      <c s="412" r="AW47"/>
      <c s="822" r="AX47"/>
      <c s="550" r="AY47"/>
      <c s="550" r="AZ47"/>
      <c s="550" r="BA47"/>
      <c s="787" r="BB47">
        <f>IF(ISBLANK(BA47),0,(BA47-AZ47))</f>
        <v>0</v>
      </c>
      <c t="str" s="540" r="BC47">
        <f>IF((BB$63&gt;0),(BB47/BB$63),"---")</f>
        <v>---</v>
      </c>
      <c t="str" s="826" r="BD47">
        <f>BC46</f>
        <v>---</v>
      </c>
      <c t="str" s="540" r="BE47">
        <f>BD47</f>
        <v>---</v>
      </c>
      <c s="150" r="BF47"/>
      <c s="409" r="BG47"/>
      <c s="551" r="BH47"/>
      <c s="551" r="BI47"/>
      <c s="551" r="BJ47"/>
      <c s="551" r="BK47"/>
      <c s="551" r="BL47"/>
      <c s="551" r="BM47"/>
      <c s="551" r="BN47"/>
      <c s="551" r="BO47"/>
      <c s="671" r="BP47"/>
      <c s="51" r="BQ47"/>
      <c s="125" r="BR47"/>
      <c s="125" r="BS47"/>
      <c s="125" r="BT47"/>
      <c s="125" r="BU47"/>
      <c s="125" r="BV47"/>
      <c s="125" r="BW47"/>
      <c s="125" r="BX47"/>
      <c s="125" r="BY47"/>
      <c s="125" r="BZ47"/>
      <c s="125" r="CA47"/>
      <c s="125" r="CB47"/>
      <c s="125" r="CC47"/>
      <c s="125" r="CD47"/>
      <c s="125" r="CE47"/>
      <c s="125" r="CF47"/>
      <c s="125" r="CG47"/>
      <c s="125" r="CH47"/>
      <c s="125" r="CI47"/>
      <c s="125" r="CJ47"/>
      <c s="125" r="CK47"/>
      <c s="125" r="CL47"/>
    </row>
    <row customHeight="1" r="48" ht="13.5">
      <c s="822" r="A48"/>
      <c s="738" r="B48"/>
      <c s="664" r="C48"/>
      <c t="s" s="94" r="D48">
        <v>171</v>
      </c>
      <c t="str" s="722" r="E48">
        <f>IF(OR((R$16=1),(R$16=2)),U37,IF(OR((R$53=1),(R$53=2)),U74,IF(OR((AL$20=1),(AL$20=2)),AO76,IF((R$16=3),U37,IF((R$53=3),U74,IF(OR((AL$20=2),(AL$20=3)),AO40,"---"))))))</f>
        <v>---</v>
      </c>
      <c t="str" s="283" r="F48">
        <f>IF(($BF$12=3),BI33,IF(($BF$43=3),BI64,IF(($AL$20=2),AO112,"---")))</f>
        <v>---</v>
      </c>
      <c t="str" s="283" r="G48">
        <f>IF(OR(($BF$12=1),($BF$12=2)),BI33,IF(OR((BF43=1),(BF43=2)),BI64,"---"))</f>
        <v>---</v>
      </c>
      <c s="283" r="H48"/>
      <c t="str" s="281" r="I48">
        <f>IF(($R$16=3),U37,IF(($R$53=3),U74,IF(($AI$38&gt;0),AO40,"---")))</f>
        <v>---</v>
      </c>
      <c s="702" r="J48"/>
      <c s="865" r="K48"/>
      <c t="s" s="742" r="L48">
        <v>469</v>
      </c>
      <c t="str" s="813" r="M48">
        <f>0&amp;"    -"</f>
        <v>0    -</v>
      </c>
      <c s="231" r="N48">
        <v>0.062</v>
      </c>
      <c s="426" r="O48"/>
      <c t="str" s="42" r="P48">
        <f>O48/O$72</f>
        <v>#DIV/0!:divZero</v>
      </c>
      <c t="str" s="619" r="Q48">
        <f>IF(OR((SUM(O$48:O49)=0),(SUM(O48:O$71)=0)),NA(),P48)</f>
        <v>#N/A:explicit</v>
      </c>
      <c t="str" s="140" r="R48">
        <f>IF((R52=1),"Riffle Surface",IF((R52=2),"Bed Surface",IF((R52=3),"Bankfull Channel","")))</f>
        <v>Bankfull Channel</v>
      </c>
      <c s="908" r="S48"/>
      <c s="8" r="T48"/>
      <c s="472" r="U48"/>
      <c s="472" r="V48"/>
      <c s="472" r="W48"/>
      <c s="472" r="X48"/>
      <c s="472" r="Y48"/>
      <c s="472" r="Z48"/>
      <c s="472" r="AA48"/>
      <c s="472" r="AB48"/>
      <c s="323" r="AC48"/>
      <c s="702" r="AD48"/>
      <c t="str" s="34" r="AE48">
        <f>IF((AL19=1),"Riffle",IF((AL19=2),"Bed",IF((AL19=3),"Facies #1","")))</f>
        <v>Facies #1</v>
      </c>
      <c s="110" r="AF48"/>
      <c s="110" r="AG48"/>
      <c s="110" r="AH48"/>
      <c s="295" r="AI48"/>
      <c s="901" r="AJ48"/>
      <c s="291" r="AK48"/>
      <c s="140" r="AL48"/>
      <c s="178" r="AM48"/>
      <c s="863" r="AN48"/>
      <c s="640" r="AO48"/>
      <c s="693" r="AP48"/>
      <c s="693" r="AQ48"/>
      <c s="693" r="AR48"/>
      <c s="693" r="AS48"/>
      <c s="693" r="AT48"/>
      <c s="693" r="AU48"/>
      <c s="693" r="AV48"/>
      <c s="847" r="AW48"/>
      <c s="702" r="AX48"/>
      <c s="550" r="AY48"/>
      <c s="382" r="AZ48"/>
      <c s="550" r="BA48"/>
      <c s="787" r="BB48">
        <f>IF(ISBLANK(BA48),0,(BA48-AZ48))</f>
        <v>0</v>
      </c>
      <c t="str" s="540" r="BC48">
        <f>IF((BB$63&gt;0),(BB48/BB$63),"---")</f>
        <v>---</v>
      </c>
      <c t="str" s="826" r="BD48">
        <f>BC47</f>
        <v>---</v>
      </c>
      <c t="str" s="540" r="BE48">
        <f>IF(ISNUMBER(BD48),(BD48+BE47),"---")</f>
        <v>---</v>
      </c>
      <c s="150" r="BF48"/>
      <c s="409" r="BG48"/>
      <c s="551" r="BH48"/>
      <c s="551" r="BI48"/>
      <c s="551" r="BJ48"/>
      <c s="551" r="BK48"/>
      <c s="551" r="BL48"/>
      <c s="551" r="BM48"/>
      <c s="551" r="BN48"/>
      <c s="551" r="BO48"/>
      <c s="671" r="BP48"/>
      <c s="51" r="BQ48"/>
      <c s="125" r="BR48"/>
      <c s="125" r="BS48"/>
      <c s="125" r="BT48"/>
      <c s="125" r="BU48"/>
      <c s="125" r="BV48"/>
      <c s="125" r="BW48"/>
      <c s="125" r="BX48"/>
      <c s="125" r="BY48"/>
      <c s="125" r="BZ48"/>
      <c s="125" r="CA48"/>
      <c s="125" r="CB48"/>
      <c s="125" r="CC48"/>
      <c s="125" r="CD48"/>
      <c s="125" r="CE48"/>
      <c s="125" r="CF48"/>
      <c s="125" r="CG48"/>
      <c s="125" r="CH48"/>
      <c s="125" r="CI48"/>
      <c s="125" r="CJ48"/>
      <c s="125" r="CK48"/>
      <c s="125" r="CL48"/>
    </row>
    <row customHeight="1" r="49" ht="13.5">
      <c s="822" r="A49"/>
      <c s="908" r="B49"/>
      <c s="551" r="C49"/>
      <c t="s" s="812" r="D49">
        <v>173</v>
      </c>
      <c t="str" s="309" r="E49">
        <f>IF(OR((R$16=1),(R$16=2)),U38,IF(OR((R$53=1),(R$53=2)),U75,IF(OR((AL$20=1),(AL$20=2)),AO77,IF((R$16=3),U38,IF((R$53=3),U75,IF(OR((AL$20=2),(AL$20=3)),AO41,"---"))))))</f>
        <v>---</v>
      </c>
      <c t="str" s="861" r="F49">
        <f>IF(($BF$12=3),BI34,IF(($BF$43=3),BI65,IF(($AL$20=2),AO113,"---")))</f>
        <v>---</v>
      </c>
      <c t="str" s="861" r="G49">
        <f>IF(OR(($BF$12=1),($BF$12=2)),BI34,IF(OR((BF44=1),(BF44=2)),BI65,"---"))</f>
        <v>---</v>
      </c>
      <c s="861" r="H49"/>
      <c t="str" s="823" r="I49">
        <f>IF(($R$16=3),U38,IF(($R$53=3),U75,IF(($AI$38&gt;0),AO41,"---")))</f>
        <v>---</v>
      </c>
      <c s="702" r="J49"/>
      <c s="511" r="K49"/>
      <c t="s" s="416" r="L49">
        <v>473</v>
      </c>
      <c t="str" s="425" r="M49">
        <f>0.062&amp;"  -"</f>
        <v>0.062  -</v>
      </c>
      <c s="600" r="N49">
        <v>0.125</v>
      </c>
      <c s="550" r="O49"/>
      <c t="str" s="42" r="P49">
        <f>(O49/O$72)+(SUM(O48:O$48)/O$72)</f>
        <v>#DIV/0!:divZero</v>
      </c>
      <c t="str" s="619" r="Q49">
        <f>IF(OR((SUM(O$48:O50)=0),(SUM(O49:O$71)=0)),NA(),P49)</f>
        <v>#N/A:explicit</v>
      </c>
      <c t="s" s="140" r="R49">
        <v>474</v>
      </c>
      <c s="908" r="S49"/>
      <c s="8" r="T49"/>
      <c s="472" r="U49"/>
      <c s="472" r="V49"/>
      <c s="472" r="W49"/>
      <c s="472" r="X49"/>
      <c s="472" r="Y49"/>
      <c s="472" r="Z49"/>
      <c s="472" r="AA49"/>
      <c s="472" r="AB49"/>
      <c s="323" r="AC49"/>
      <c s="702" r="AD49"/>
      <c s="376" r="AE49"/>
      <c t="s" s="440" r="AF49">
        <v>464</v>
      </c>
      <c t="s" s="93" r="AG49">
        <v>465</v>
      </c>
      <c s="645" r="AH49"/>
      <c t="s" s="66" r="AI49">
        <v>466</v>
      </c>
      <c s="872" r="AJ49"/>
      <c s="622" r="AK49"/>
      <c s="492" r="AL49"/>
      <c s="908" r="AM49"/>
      <c s="551" r="AN49"/>
      <c s="551" r="AO49"/>
      <c s="551" r="AP49"/>
      <c s="551" r="AQ49"/>
      <c s="551" r="AR49"/>
      <c s="551" r="AS49"/>
      <c s="551" r="AT49"/>
      <c s="551" r="AU49"/>
      <c s="551" r="AV49"/>
      <c s="671" r="AW49"/>
      <c s="702" r="AX49"/>
      <c s="550" r="AY49"/>
      <c s="382" r="AZ49"/>
      <c s="550" r="BA49"/>
      <c s="787" r="BB49">
        <f>IF(ISBLANK(BA49),0,(BA49-AZ49))</f>
        <v>0</v>
      </c>
      <c t="str" s="540" r="BC49">
        <f>IF((BB$63&gt;0),(BB49/BB$63),"---")</f>
        <v>---</v>
      </c>
      <c t="str" s="826" r="BD49">
        <f>BC48</f>
        <v>---</v>
      </c>
      <c t="str" s="540" r="BE49">
        <f>IF(ISNUMBER(BD49),(BD49+BE48),"---")</f>
        <v>---</v>
      </c>
      <c t="s" s="150" r="BF49">
        <v>503</v>
      </c>
      <c t="s" s="409" r="BG49">
        <v>459</v>
      </c>
      <c s="551" r="BH49"/>
      <c s="551" r="BI49"/>
      <c s="551" r="BJ49"/>
      <c s="551" r="BK49"/>
      <c s="551" r="BL49"/>
      <c s="551" r="BM49"/>
      <c s="551" r="BN49"/>
      <c s="551" r="BO49"/>
      <c s="671" r="BP49"/>
      <c s="51" r="BQ49"/>
      <c s="125" r="BR49"/>
      <c s="125" r="BS49"/>
      <c s="125" r="BT49"/>
      <c s="125" r="BU49"/>
      <c s="125" r="BV49"/>
      <c s="125" r="BW49"/>
      <c s="125" r="BX49"/>
      <c s="125" r="BY49"/>
      <c s="125" r="BZ49"/>
      <c s="125" r="CA49"/>
      <c s="125" r="CB49"/>
      <c s="125" r="CC49"/>
      <c s="125" r="CD49"/>
      <c s="125" r="CE49"/>
      <c s="125" r="CF49"/>
      <c s="125" r="CG49"/>
      <c s="125" r="CH49"/>
      <c s="125" r="CI49"/>
      <c s="125" r="CJ49"/>
      <c s="125" r="CK49"/>
      <c s="125" r="CL49"/>
    </row>
    <row r="50">
      <c s="822" r="A50"/>
      <c s="908" r="B50"/>
      <c s="551" r="C50"/>
      <c t="s" s="812" r="D50">
        <v>175</v>
      </c>
      <c t="str" s="289" r="E50">
        <f>IF(OR((R$16=1),(R$16=2)),U39,IF(OR((R$53=1),(R$53=2)),U76,IF(OR((AL$20=1),(AL$20=2)),AO78,IF((R$16=3),U39,IF((R$53=3),U76,IF(OR((AL$20=2),(AL$20=3)),AO42,"---"))))))</f>
        <v>---</v>
      </c>
      <c t="str" s="52" r="F50">
        <f>IF(($BF$12=3),BI35,IF(($BF$43=3),BI66,IF(($AL$20=2),AO114,"---")))</f>
        <v>---</v>
      </c>
      <c t="str" s="52" r="G50">
        <f>IF(OR(($BF$12=1),($BF$12=2)),BI35,IF(OR((BF45=1),(BF45=2)),BI66,"---"))</f>
        <v>---</v>
      </c>
      <c s="52" r="H50"/>
      <c t="str" s="328" r="I50">
        <f>IF(($R$16=3),U39,IF(($R$53=3),U76,IF(($AI$38&gt;0),AO42,"---")))</f>
        <v>---</v>
      </c>
      <c s="388" r="J50"/>
      <c s="217" r="K50"/>
      <c t="s" s="294" r="L50">
        <v>479</v>
      </c>
      <c t="str" s="817" r="M50">
        <f>0.125&amp;"  -"</f>
        <v>0.125  -</v>
      </c>
      <c s="512" r="N50">
        <v>0.25</v>
      </c>
      <c s="550" r="O50"/>
      <c t="str" s="42" r="P50">
        <f>(O50/O$72)+(SUM(O$48:O49)/O$72)</f>
        <v>#DIV/0!:divZero</v>
      </c>
      <c t="str" s="619" r="Q50">
        <f>IF(OR((SUM(O$48:O51)=0),(SUM(O50:O$71)=0)),NA(),P50)</f>
        <v>#N/A:explicit</v>
      </c>
      <c t="str" s="140" r="R50">
        <f>$D$33</f>
        <v>---</v>
      </c>
      <c s="908" r="S50"/>
      <c s="551" r="T50"/>
      <c s="551" r="U50"/>
      <c s="551" r="V50"/>
      <c s="551" r="W50"/>
      <c s="551" r="X50"/>
      <c s="375" r="Y50"/>
      <c s="375" r="Z50"/>
      <c s="375" r="AA50"/>
      <c s="375" r="AB50"/>
      <c s="809" r="AC50"/>
      <c s="702" r="AD50"/>
      <c s="865" r="AE50"/>
      <c t="s" s="742" r="AF50">
        <v>469</v>
      </c>
      <c t="str" s="38" r="AG50">
        <f>0&amp;"    -"</f>
        <v>0    -</v>
      </c>
      <c s="357" r="AH50">
        <v>0.062</v>
      </c>
      <c s="426" r="AI50"/>
      <c t="str" s="42" r="AJ50">
        <f>(AI50/AI$74)+AJ49</f>
        <v>#DIV/0!:divZero</v>
      </c>
      <c t="str" s="619" r="AK50">
        <f>IF(OR((SUM(AI$50:AI51)=0),(SUM(AI50:AI$73)=0)),NA(),AJ50)</f>
        <v>#N/A:explicit</v>
      </c>
      <c t="str" s="72" r="AL50">
        <f>IF(ISBLANK(AE48),"",AE48)</f>
        <v>Facies #1</v>
      </c>
      <c s="908" r="AM50"/>
      <c s="8" r="AN50"/>
      <c s="551" r="AO50"/>
      <c s="472" r="AP50"/>
      <c s="472" r="AQ50"/>
      <c s="472" r="AR50"/>
      <c s="472" r="AS50"/>
      <c s="472" r="AT50"/>
      <c s="472" r="AU50"/>
      <c s="472" r="AV50"/>
      <c s="323" r="AW50"/>
      <c s="702" r="AX50"/>
      <c s="550" r="AY50"/>
      <c s="382" r="AZ50"/>
      <c s="550" r="BA50"/>
      <c s="787" r="BB50">
        <f>IF(ISBLANK(BA50),0,(BA50-AZ50))</f>
        <v>0</v>
      </c>
      <c t="str" s="540" r="BC50">
        <f>IF((BB$63&gt;0),(BB50/BB$63),"---")</f>
        <v>---</v>
      </c>
      <c t="str" s="826" r="BD50">
        <f>BC49</f>
        <v>---</v>
      </c>
      <c t="str" s="540" r="BE50">
        <f>IF(ISNUMBER(BD50),(BD50+BE49),"---")</f>
        <v>---</v>
      </c>
      <c s="752" r="BF50">
        <f>IF(OR((BB63=0),(BE47&gt;0.16)),0,(2^(LOG((INDEX(AY47:AY62,MATCH(0.16,BE47:BE62,1))),2)+(((LOG((INDEX(AY47:AY62,(MATCH(0.16,BE47:BE62,1)+1))),2)-LOG((INDEX(AY47:AY62,MATCH(0.16,BE47:BE62,1))),2))*(0.16-INDEX(BE47:BE62,MATCH(0.16,BE47:BE62,1))))/(INDEX(BE47:BE62,(MATCH(0.16,BE47:BE62,1)+1))-INDEX(BE47:BE62,MATCH(0.16,BE47:BE62,1)))))))</f>
        <v>0</v>
      </c>
      <c t="s" s="409" r="BG50">
        <v>459</v>
      </c>
      <c s="551" r="BH50"/>
      <c s="551" r="BI50"/>
      <c s="551" r="BJ50"/>
      <c s="551" r="BK50"/>
      <c s="551" r="BL50"/>
      <c s="551" r="BM50"/>
      <c s="551" r="BN50"/>
      <c s="551" r="BO50"/>
      <c s="671" r="BP50"/>
      <c s="51" r="BQ50"/>
      <c s="125" r="BR50"/>
      <c s="125" r="BS50"/>
      <c s="125" r="BT50"/>
      <c s="125" r="BU50"/>
      <c s="125" r="BV50"/>
      <c s="125" r="BW50"/>
      <c s="125" r="BX50"/>
      <c s="125" r="BY50"/>
      <c s="125" r="BZ50"/>
      <c s="125" r="CA50"/>
      <c s="125" r="CB50"/>
      <c s="125" r="CC50"/>
      <c s="125" r="CD50"/>
      <c s="125" r="CE50"/>
      <c s="125" r="CF50"/>
      <c s="125" r="CG50"/>
      <c s="125" r="CH50"/>
      <c s="125" r="CI50"/>
      <c s="125" r="CJ50"/>
      <c s="125" r="CK50"/>
      <c s="125" r="CL50"/>
    </row>
    <row r="51">
      <c s="822" r="A51"/>
      <c s="908" r="B51"/>
      <c s="551" r="C51"/>
      <c t="s" s="812" r="D51">
        <v>176</v>
      </c>
      <c t="str" s="309" r="E51">
        <f>IF(OR((R$16=1),(R$16=2)),U40,IF(OR((R$53=1),(R$53=2)),U77,IF(OR((AL$20=1),(AL$20=2)),AO79,IF((R$16=3),U40,IF((R$53=3),U77,IF(OR((AL$20=2),(AL$20=3)),AO43,"---"))))))</f>
        <v>---</v>
      </c>
      <c t="str" s="861" r="F51">
        <f>IF(($BF$12=3),BL33,IF(($BF$43=3),BL64,IF(($AL$20=2),AO115,"---")))</f>
        <v>---</v>
      </c>
      <c t="str" s="861" r="G51">
        <f>IF(OR(($BF$12=1),($BF$12=2)),BL33,IF(OR((BF46=1),(BF46=2)),BL64,"---"))</f>
        <v>---</v>
      </c>
      <c s="861" r="H51"/>
      <c t="str" s="823" r="I51">
        <f>IF(($R$16=3),U40,IF(($R$53=3),U77,IF(($AI$38&gt;0),AO43,"---")))</f>
        <v>---</v>
      </c>
      <c s="388" r="J51"/>
      <c s="217" r="K51"/>
      <c t="s" s="294" r="L51">
        <v>487</v>
      </c>
      <c t="str" s="817" r="M51">
        <f>0.25&amp;"  -"</f>
        <v>0.25  -</v>
      </c>
      <c s="674" r="N51">
        <v>0.5</v>
      </c>
      <c s="550" r="O51"/>
      <c t="str" s="42" r="P51">
        <f>(O51/O$72)+(SUM(O$48:O50)/O$72)</f>
        <v>#DIV/0!:divZero</v>
      </c>
      <c t="str" s="619" r="Q51">
        <f>IF(OR((SUM(O$48:O52)=0),(SUM(O51:O$71)=0)),NA(),P51)</f>
        <v>#N/A:explicit</v>
      </c>
      <c s="72" r="R51"/>
      <c s="908" r="S51"/>
      <c s="551" r="T51"/>
      <c s="551" r="U51"/>
      <c s="551" r="V51"/>
      <c s="551" r="W51"/>
      <c s="551" r="X51"/>
      <c s="551" r="Y51"/>
      <c s="551" r="Z51"/>
      <c s="551" r="AA51"/>
      <c s="551" r="AB51"/>
      <c s="671" r="AC51"/>
      <c s="702" r="AD51"/>
      <c s="511" r="AE51"/>
      <c t="s" s="416" r="AF51">
        <v>473</v>
      </c>
      <c t="str" s="141" r="AG51">
        <f>0.062&amp;"  -"</f>
        <v>0.062  -</v>
      </c>
      <c s="114" r="AH51">
        <v>0.125</v>
      </c>
      <c s="550" r="AI51"/>
      <c t="str" s="42" r="AJ51">
        <f>(AI51/AI$74)+AJ50</f>
        <v>#DIV/0!:divZero</v>
      </c>
      <c t="str" s="619" r="AK51">
        <f>IF(OR((SUM(AI$50:AI52)=0),(SUM(AI51:AI$73)=0)),NA(),AJ51)</f>
        <v>#N/A:explicit</v>
      </c>
      <c t="str" s="72" r="AL51">
        <f>$D$33</f>
        <v>---</v>
      </c>
      <c s="908" r="AM51"/>
      <c s="8" r="AN51"/>
      <c s="472" r="AO51"/>
      <c s="472" r="AP51"/>
      <c s="472" r="AQ51"/>
      <c s="472" r="AR51"/>
      <c s="472" r="AS51"/>
      <c s="472" r="AT51"/>
      <c s="472" r="AU51"/>
      <c s="472" r="AV51"/>
      <c s="323" r="AW51"/>
      <c s="702" r="AX51"/>
      <c s="550" r="AY51"/>
      <c s="550" r="AZ51"/>
      <c s="550" r="BA51"/>
      <c s="787" r="BB51">
        <f>IF(ISBLANK(BA51),0,(BA51-AZ51))</f>
        <v>0</v>
      </c>
      <c t="str" s="540" r="BC51">
        <f>IF((BB$63&gt;0),(BB51/BB$63),"---")</f>
        <v>---</v>
      </c>
      <c t="str" s="826" r="BD51">
        <f>BC50</f>
        <v>---</v>
      </c>
      <c t="str" s="540" r="BE51">
        <f>IF(ISNUMBER(BD51),(BD51+BE50),"---")</f>
        <v>---</v>
      </c>
      <c s="752" r="BF51">
        <f>IF(OR((BB63=0),(BE47&gt;0.35)),0,(2^(LOG((INDEX(AY47:AY62,MATCH(0.35,BE47:BE62,1))),2)+(((LOG((INDEX(AY47:AY62,(MATCH(0.35,BE47:BE62,1)+1))),2)-LOG((INDEX(AY47:AY62,MATCH(0.35,BE47:BE62,1))),2))*(0.35-INDEX(BE47:BE62,MATCH(0.35,BE47:BE62,1))))/(INDEX(BE47:BE62,(MATCH(0.35,BE47:BE62,1)+1))-INDEX(BE47:BE62,MATCH(0.35,BE47:BE62,1)))))))</f>
        <v>0</v>
      </c>
      <c t="s" s="409" r="BG51">
        <v>459</v>
      </c>
      <c s="551" r="BH51"/>
      <c s="551" r="BI51"/>
      <c s="551" r="BJ51"/>
      <c s="551" r="BK51"/>
      <c s="551" r="BL51"/>
      <c s="551" r="BM51"/>
      <c s="551" r="BN51"/>
      <c s="551" r="BO51"/>
      <c s="671" r="BP51"/>
      <c s="51" r="BQ51"/>
      <c s="125" r="BR51"/>
      <c s="125" r="BS51"/>
      <c s="125" r="BT51"/>
      <c s="125" r="BU51"/>
      <c s="125" r="BV51"/>
      <c s="125" r="BW51"/>
      <c s="125" r="BX51"/>
      <c s="125" r="BY51"/>
      <c s="125" r="BZ51"/>
      <c s="125" r="CA51"/>
      <c s="125" r="CB51"/>
      <c s="125" r="CC51"/>
      <c s="125" r="CD51"/>
      <c s="125" r="CE51"/>
      <c s="125" r="CF51"/>
      <c s="125" r="CG51"/>
      <c s="125" r="CH51"/>
      <c s="125" r="CI51"/>
      <c s="125" r="CJ51"/>
      <c s="125" r="CK51"/>
      <c s="125" r="CL51"/>
    </row>
    <row r="52">
      <c s="822" r="A52"/>
      <c s="908" r="B52"/>
      <c s="551" r="C52"/>
      <c t="s" s="812" r="D52">
        <v>178</v>
      </c>
      <c t="str" s="289" r="E52">
        <f>IF(OR((R$16=1),(R$16=2)),U41,IF(OR((R$53=1),(R$53=2)),U78,IF(OR((AL$20=1),(AL$20=2)),AO80,IF((R$16=3),U41,IF((R$53=3),U78,IF(OR((AL$20=2),(AL$20=3)),AO44,"---"))))))</f>
        <v>---</v>
      </c>
      <c t="str" s="52" r="F52">
        <f>IF(($BF$12=3),BL34,IF(($BF$43=3),BL65,IF(($AL$20=2),AO116,"---")))</f>
        <v>---</v>
      </c>
      <c t="str" s="52" r="G52">
        <f>IF(OR(($BF$12=1),($BF$12=2)),BL34,IF(OR((BF47=1),(BF47=2)),BL65,"---"))</f>
        <v>---</v>
      </c>
      <c s="52" r="H52"/>
      <c t="str" s="328" r="I52">
        <f>IF(($R$16=3),U41,IF(($R$53=3),U78,IF(($AI$38&gt;0),AO44,"---")))</f>
        <v>---</v>
      </c>
      <c s="388" r="J52"/>
      <c s="217" r="K52"/>
      <c t="s" s="294" r="L52">
        <v>492</v>
      </c>
      <c t="str" s="534" r="M52">
        <f>0.5&amp;"  -"</f>
        <v>0.5  -</v>
      </c>
      <c s="411" r="N52">
        <v>1</v>
      </c>
      <c s="550" r="O52"/>
      <c t="str" s="42" r="P52">
        <f>(O52/O$72)+(SUM(O$48:O51)/O$72)</f>
        <v>#DIV/0!:divZero</v>
      </c>
      <c t="str" s="619" r="Q52">
        <f>IF(OR((SUM(O$48:O53)=0),(SUM(O52:O$71)=0)),NA(),P52)</f>
        <v>#N/A:explicit</v>
      </c>
      <c s="140" r="R52">
        <v>3</v>
      </c>
      <c s="908" r="S52"/>
      <c s="551" r="T52"/>
      <c s="551" r="U52"/>
      <c s="551" r="V52"/>
      <c s="551" r="W52"/>
      <c s="551" r="X52"/>
      <c s="551" r="Y52"/>
      <c s="551" r="Z52"/>
      <c s="551" r="AA52"/>
      <c s="551" r="AB52"/>
      <c s="671" r="AC52"/>
      <c s="702" r="AD52"/>
      <c s="217" r="AE52"/>
      <c t="s" s="294" r="AF52">
        <v>479</v>
      </c>
      <c t="str" s="817" r="AG52">
        <f>0.125&amp;"  -"</f>
        <v>0.125  -</v>
      </c>
      <c s="512" r="AH52">
        <v>0.25</v>
      </c>
      <c s="550" r="AI52"/>
      <c t="str" s="42" r="AJ52">
        <f>(AI52/AI$74)+AJ51</f>
        <v>#DIV/0!:divZero</v>
      </c>
      <c t="str" s="619" r="AK52">
        <f>IF(OR((SUM(AI$50:AI53)=0),(SUM(AI52:AI$73)=0)),NA(),AJ52)</f>
        <v>#N/A:explicit</v>
      </c>
      <c s="72" r="AL52"/>
      <c s="908" r="AM52"/>
      <c s="8" r="AN52"/>
      <c s="375" r="AO52"/>
      <c s="505" r="AP52"/>
      <c s="505" r="AQ52"/>
      <c s="505" r="AR52"/>
      <c s="375" r="AS52"/>
      <c s="375" r="AT52"/>
      <c s="375" r="AU52"/>
      <c s="375" r="AV52"/>
      <c s="809" r="AW52"/>
      <c s="702" r="AX52"/>
      <c s="550" r="AY52"/>
      <c s="382" r="AZ52"/>
      <c s="550" r="BA52"/>
      <c s="787" r="BB52">
        <f>IF(ISBLANK(BA52),0,(BA52-AZ52))</f>
        <v>0</v>
      </c>
      <c t="str" s="540" r="BC52">
        <f>IF((BB$63&gt;0),(BB52/BB$63),"---")</f>
        <v>---</v>
      </c>
      <c t="str" s="826" r="BD52">
        <f>BC51</f>
        <v>---</v>
      </c>
      <c t="str" s="540" r="BE52">
        <f>IF(ISNUMBER(BD52),(BD52+BE51),"---")</f>
        <v>---</v>
      </c>
      <c s="752" r="BF52">
        <f>IF(OR((BB63=0),(BE47&gt;0.5)),0,(2^(LOG((INDEX(AY47:AY62,MATCH(0.5,BE47:BE62,1))),2)+(((LOG((INDEX(AY47:AY62,(MATCH(0.5,BE47:BE62,1)+1))),2)-LOG((INDEX(AY47:AY62,MATCH(0.5,BE47:BE62,1))),2))*(0.5-INDEX(BE47:BE62,MATCH(0.5,BE47:BE62,1))))/(INDEX(BE47:BE62,(MATCH(0.5,BE47:BE62,1)+1))-INDEX(BE47:BE62,MATCH(0.5,BE47:BE62,1)))))))</f>
        <v>0</v>
      </c>
      <c t="s" s="409" r="BG52">
        <v>459</v>
      </c>
      <c s="551" r="BH52"/>
      <c s="551" r="BI52"/>
      <c s="551" r="BJ52"/>
      <c s="551" r="BK52"/>
      <c s="551" r="BL52"/>
      <c s="551" r="BM52"/>
      <c s="551" r="BN52"/>
      <c s="551" r="BO52"/>
      <c s="671" r="BP52"/>
      <c s="51" r="BQ52"/>
      <c s="125" r="BR52"/>
      <c s="125" r="BS52"/>
      <c s="125" r="BT52"/>
      <c s="125" r="BU52"/>
      <c s="125" r="BV52"/>
      <c s="125" r="BW52"/>
      <c s="125" r="BX52"/>
      <c s="125" r="BY52"/>
      <c s="125" r="BZ52"/>
      <c s="125" r="CA52"/>
      <c s="125" r="CB52"/>
      <c s="125" r="CC52"/>
      <c s="125" r="CD52"/>
      <c s="125" r="CE52"/>
      <c s="125" r="CF52"/>
      <c s="125" r="CG52"/>
      <c s="125" r="CH52"/>
      <c s="125" r="CI52"/>
      <c s="125" r="CJ52"/>
      <c s="125" r="CK52"/>
      <c s="125" r="CL52"/>
    </row>
    <row r="53">
      <c s="822" r="A53"/>
      <c s="56" r="B53"/>
      <c s="673" r="C53"/>
      <c t="s" s="369" r="D53">
        <v>180</v>
      </c>
      <c t="str" s="306" r="E53">
        <f>IF(OR((R$16=1),(R$16=2)),U42,IF(OR((R$53=1),(R$53=2)),U79,IF(OR((AL$20=1),(AL$20=2)),AO81,IF((R$16=3),U42,IF((R$53=3),U79,IF(OR((AL$20=2),(AL$20=3)),AO45,"---"))))))</f>
        <v>---</v>
      </c>
      <c t="str" s="641" r="F53">
        <f>IF(($BF$12=3),BL35,IF(($BF$43=3),BL66,IF(($AL$20=2),AO117,"---")))</f>
        <v>---</v>
      </c>
      <c t="str" s="641" r="G53">
        <f>IF(OR(($BF$12=1),($BF$12=2)),BL35,IF(OR((BF48=1),(BF48=2)),BL66,"---"))</f>
        <v>---</v>
      </c>
      <c s="641" r="H53"/>
      <c t="str" s="539" r="I53">
        <f>IF(($R$16=3),U42,IF(($R$53=3),U79,IF(($AI$38&gt;0),AO45,"---")))</f>
        <v>---</v>
      </c>
      <c s="388" r="J53"/>
      <c s="460" r="K53"/>
      <c t="s" s="18" r="L53">
        <v>496</v>
      </c>
      <c t="str" s="658" r="M53">
        <f>1&amp;"  -"</f>
        <v>1  -</v>
      </c>
      <c s="672" r="N53">
        <v>2</v>
      </c>
      <c s="550" r="O53"/>
      <c t="str" s="42" r="P53">
        <f>(O53/O$72)+(SUM(O$48:O52)/O$72)</f>
        <v>#DIV/0!:divZero</v>
      </c>
      <c t="str" s="619" r="Q53">
        <f>IF(OR((SUM(O$48:O54)=0),(SUM(O53:O$71)=0)),NA(),P53)</f>
        <v>#N/A:explicit</v>
      </c>
      <c s="140" r="R53">
        <f>IF((O72&gt;0),R52,0)</f>
        <v>0</v>
      </c>
      <c s="908" r="S53"/>
      <c s="551" r="T53"/>
      <c s="551" r="U53"/>
      <c s="551" r="V53"/>
      <c s="551" r="W53"/>
      <c s="551" r="X53"/>
      <c s="551" r="Y53"/>
      <c s="551" r="Z53"/>
      <c s="551" r="AA53"/>
      <c s="551" r="AB53"/>
      <c s="671" r="AC53"/>
      <c s="702" r="AD53"/>
      <c s="217" r="AE53"/>
      <c t="s" s="294" r="AF53">
        <v>487</v>
      </c>
      <c t="str" s="817" r="AG53">
        <f>0.25&amp;"  -"</f>
        <v>0.25  -</v>
      </c>
      <c s="674" r="AH53">
        <v>0.5</v>
      </c>
      <c s="550" r="AI53"/>
      <c t="str" s="42" r="AJ53">
        <f>(AI53/AI$74)+AJ52</f>
        <v>#DIV/0!:divZero</v>
      </c>
      <c t="str" s="619" r="AK53">
        <f>IF(OR((SUM(AI$50:AI54)=0),(SUM(AI53:AI$73)=0)),NA(),AJ53)</f>
        <v>#N/A:explicit</v>
      </c>
      <c s="72" r="AL53"/>
      <c s="908" r="AM53"/>
      <c s="551" r="AN53"/>
      <c s="551" r="AO53"/>
      <c s="551" r="AP53"/>
      <c s="551" r="AQ53"/>
      <c s="551" r="AR53"/>
      <c s="551" r="AS53"/>
      <c s="551" r="AT53"/>
      <c s="551" r="AU53"/>
      <c s="551" r="AV53"/>
      <c s="671" r="AW53"/>
      <c s="702" r="AX53"/>
      <c s="550" r="AY53"/>
      <c s="382" r="AZ53"/>
      <c s="550" r="BA53"/>
      <c s="787" r="BB53">
        <f>IF(ISBLANK(BA53),0,(BA53-AZ53))</f>
        <v>0</v>
      </c>
      <c t="str" s="540" r="BC53">
        <f>IF((BB$63&gt;0),(BB53/BB$63),"---")</f>
        <v>---</v>
      </c>
      <c t="str" s="826" r="BD53">
        <f>BC52</f>
        <v>---</v>
      </c>
      <c t="str" s="540" r="BE53">
        <f>IF(ISNUMBER(BD53),(BD53+BE52),"---")</f>
        <v>---</v>
      </c>
      <c s="752" r="BF53">
        <f>IF(OR((BB63=0),(BE47&gt;0.65)),0,(2^(LOG((INDEX(AY47:AY62,MATCH(0.65,BE47:BE62,1))),2)+(((LOG((INDEX(AY47:AY62,(MATCH(0.65,BE47:BE62,1)+1))),2)-LOG((INDEX(AY47:AY62,MATCH(0.65,BE47:BE62,1))),2))*(0.65-INDEX(BE47:BE62,MATCH(0.65,BE47:BE62,1))))/(INDEX(BE47:BE62,(MATCH(0.65,BE47:BE62,1)+1))-INDEX(BE47:BE62,MATCH(0.65,BE47:BE62,1)))))))</f>
        <v>0</v>
      </c>
      <c s="409" r="BG53"/>
      <c s="551" r="BH53"/>
      <c s="551" r="BI53"/>
      <c s="551" r="BJ53"/>
      <c s="551" r="BK53"/>
      <c s="551" r="BL53"/>
      <c s="551" r="BM53"/>
      <c s="551" r="BN53"/>
      <c s="551" r="BO53"/>
      <c s="671" r="BP53"/>
      <c s="51" r="BQ53"/>
      <c s="125" r="BR53"/>
      <c s="125" r="BS53"/>
      <c s="125" r="BT53"/>
      <c s="125" r="BU53"/>
      <c s="125" r="BV53"/>
      <c s="125" r="BW53"/>
      <c s="125" r="BX53"/>
      <c s="125" r="BY53"/>
      <c s="125" r="BZ53"/>
      <c s="125" r="CA53"/>
      <c s="125" r="CB53"/>
      <c s="125" r="CC53"/>
      <c s="125" r="CD53"/>
      <c s="125" r="CE53"/>
      <c s="125" r="CF53"/>
      <c s="125" r="CG53"/>
      <c s="125" r="CH53"/>
      <c s="125" r="CI53"/>
      <c s="125" r="CJ53"/>
      <c s="125" r="CK53"/>
      <c s="125" r="CL53"/>
    </row>
    <row r="54">
      <c s="822" r="A54"/>
      <c s="678" r="B54"/>
      <c s="402" r="C54"/>
      <c t="s" s="129" r="D54">
        <v>181</v>
      </c>
      <c t="str" s="242" r="E54">
        <f>IF(OR((R$16=1),(R$16=2)),X37,IF(OR((R$53=1),(R$53=2)),X74,IF(OR((AL$20=1),(AL$20=2)),AR76,IF((R$16=3),X37,IF((R$53=3),X74,IF(OR((AL$20=2),(AL$20=3)),AR40,"---"))))))</f>
        <v>---</v>
      </c>
      <c s="366" r="F54"/>
      <c s="366" r="G54"/>
      <c s="366" r="H54"/>
      <c t="str" s="456" r="I54">
        <f>IF(($R$16=3),X37,IF(($R$53=3),X74,IF(($AI$38&gt;0),AR40,"---")))</f>
        <v>---</v>
      </c>
      <c s="388" r="J54"/>
      <c s="779" r="K54"/>
      <c t="s" s="880" r="L54">
        <v>467</v>
      </c>
      <c t="str" s="73" r="M54">
        <f>2&amp;"  -"</f>
        <v>2  -</v>
      </c>
      <c s="860" r="N54">
        <v>4</v>
      </c>
      <c s="550" r="O54"/>
      <c t="str" s="42" r="P54">
        <f>(O54/O$72)+(SUM(O$48:O53)/O$72)</f>
        <v>#DIV/0!:divZero</v>
      </c>
      <c t="str" s="619" r="Q54">
        <f>IF(OR((SUM(O$48:O55)=0),(SUM(O54:O$71)=0)),NA(),P54)</f>
        <v>#N/A:explicit</v>
      </c>
      <c t="s" s="140" r="R54">
        <v>498</v>
      </c>
      <c s="908" r="S54"/>
      <c s="551" r="T54"/>
      <c s="551" r="U54"/>
      <c s="551" r="V54"/>
      <c s="551" r="W54"/>
      <c s="551" r="X54"/>
      <c s="551" r="Y54"/>
      <c s="551" r="Z54"/>
      <c s="551" r="AA54"/>
      <c s="551" r="AB54"/>
      <c s="671" r="AC54"/>
      <c s="702" r="AD54"/>
      <c s="217" r="AE54"/>
      <c t="s" s="294" r="AF54">
        <v>492</v>
      </c>
      <c t="str" s="534" r="AG54">
        <f>0.5&amp;"  -"</f>
        <v>0.5  -</v>
      </c>
      <c s="411" r="AH54">
        <v>1</v>
      </c>
      <c s="550" r="AI54"/>
      <c t="str" s="42" r="AJ54">
        <f>(AI54/AI$74)+AJ53</f>
        <v>#DIV/0!:divZero</v>
      </c>
      <c t="str" s="619" r="AK54">
        <f>IF(OR((SUM(AI$50:AI55)=0),(SUM(AI54:AI$73)=0)),NA(),AJ54)</f>
        <v>#N/A:explicit</v>
      </c>
      <c s="72" r="AL54"/>
      <c s="908" r="AM54"/>
      <c s="551" r="AN54"/>
      <c s="551" r="AO54"/>
      <c s="551" r="AP54"/>
      <c s="551" r="AQ54"/>
      <c s="551" r="AR54"/>
      <c s="551" r="AS54"/>
      <c s="551" r="AT54"/>
      <c s="551" r="AU54"/>
      <c s="551" r="AV54"/>
      <c s="671" r="AW54"/>
      <c s="702" r="AX54"/>
      <c s="550" r="AY54"/>
      <c s="382" r="AZ54"/>
      <c s="550" r="BA54"/>
      <c s="787" r="BB54">
        <f>IF(ISBLANK(BA54),0,(BA54-AZ54))</f>
        <v>0</v>
      </c>
      <c t="str" s="540" r="BC54">
        <f>IF((BB$63&gt;0),(BB54/BB$63),"---")</f>
        <v>---</v>
      </c>
      <c t="str" s="826" r="BD54">
        <f>BC53</f>
        <v>---</v>
      </c>
      <c t="str" s="540" r="BE54">
        <f>IF(ISNUMBER(BD54),(BD54+BE53),"---")</f>
        <v>---</v>
      </c>
      <c s="752" r="BF54">
        <f>IF(OR((BB63=0),(BE47&gt;0.84)),0,(2^(LOG((INDEX(AY47:AY62,MATCH(0.84,BE47:BE62,1))),2)+(((LOG((INDEX(AY47:AY62,(MATCH(0.84,BE47:BE62,1)+1))),2)-LOG((INDEX(AY47:AY62,MATCH(0.84,BE47:BE62,1))),2))*(0.84-INDEX(BE47:BE62,MATCH(0.84,BE47:BE62,1))))/(INDEX(BE47:BE62,(MATCH(0.84,BE47:BE62,1)+1))-INDEX(BE47:BE62,MATCH(0.84,BE47:BE62,1)))))))</f>
        <v>0</v>
      </c>
      <c s="409" r="BG54"/>
      <c s="551" r="BH54"/>
      <c s="551" r="BI54"/>
      <c s="551" r="BJ54"/>
      <c s="551" r="BK54"/>
      <c s="551" r="BL54"/>
      <c s="551" r="BM54"/>
      <c s="551" r="BN54"/>
      <c s="551" r="BO54"/>
      <c s="671" r="BP54"/>
      <c s="51" r="BQ54"/>
      <c s="125" r="BR54"/>
      <c s="125" r="BS54"/>
      <c s="125" r="BT54"/>
      <c s="125" r="BU54"/>
      <c s="125" r="BV54"/>
      <c s="125" r="BW54"/>
      <c s="125" r="BX54"/>
      <c s="125" r="BY54"/>
      <c s="125" r="BZ54"/>
      <c s="125" r="CA54"/>
      <c s="125" r="CB54"/>
      <c s="125" r="CC54"/>
      <c s="125" r="CD54"/>
      <c s="125" r="CE54"/>
      <c s="125" r="CF54"/>
      <c s="125" r="CG54"/>
      <c s="125" r="CH54"/>
      <c s="125" r="CI54"/>
      <c s="125" r="CJ54"/>
      <c s="125" r="CK54"/>
      <c s="125" r="CL54"/>
    </row>
    <row r="55">
      <c s="822" r="A55"/>
      <c s="908" r="B55"/>
      <c s="551" r="C55"/>
      <c t="s" s="812" r="D55">
        <v>183</v>
      </c>
      <c t="str" s="363" r="E55">
        <f>IF(OR((R$16=1),(R$16=2)),X38,IF(OR((R$53=1),(R$53=2)),X75,IF(OR((AL$20=1),(AL$20=2)),AR77,IF((R$16=3),X38,IF((R$53=3),X75,IF(OR((AL$20=2),(AL$20=3)),AR41,"---"))))))</f>
        <v>---</v>
      </c>
      <c s="588" r="F55"/>
      <c s="588" r="G55"/>
      <c s="588" r="H55"/>
      <c t="str" s="441" r="I55">
        <f>IF(($R$16=3),X38,IF(($R$53=3),X75,IF(($AI$38&gt;0),AR41,"---")))</f>
        <v>---</v>
      </c>
      <c s="388" r="J55"/>
      <c s="217" r="K55"/>
      <c t="s" s="294" r="L55">
        <v>471</v>
      </c>
      <c t="str" s="595" r="M55">
        <f>4&amp;"  -"</f>
        <v>4  -</v>
      </c>
      <c s="411" r="N55">
        <v>6</v>
      </c>
      <c s="550" r="O55"/>
      <c t="str" s="42" r="P55">
        <f>(O55/O$72)+(SUM(O$48:O54)/O$72)</f>
        <v>#DIV/0!:divZero</v>
      </c>
      <c t="str" s="619" r="Q55">
        <f>IF(OR((SUM(O$48:O56)=0),(SUM(O55:O$71)=0)),NA(),P55)</f>
        <v>#N/A:explicit</v>
      </c>
      <c t="s" s="140" r="R55">
        <v>502</v>
      </c>
      <c s="908" r="S55"/>
      <c s="551" r="T55"/>
      <c s="551" r="U55"/>
      <c s="477" r="V55"/>
      <c s="551" r="W55"/>
      <c s="551" r="X55"/>
      <c s="551" r="Y55"/>
      <c s="551" r="Z55"/>
      <c s="551" r="AA55"/>
      <c s="551" r="AB55"/>
      <c s="671" r="AC55"/>
      <c s="702" r="AD55"/>
      <c s="460" r="AE55"/>
      <c t="s" s="18" r="AF55">
        <v>496</v>
      </c>
      <c t="str" s="658" r="AG55">
        <f>1&amp;"  -"</f>
        <v>1  -</v>
      </c>
      <c s="672" r="AH55">
        <v>2</v>
      </c>
      <c s="550" r="AI55"/>
      <c t="str" s="42" r="AJ55">
        <f>(AI55/AI$74)+AJ54</f>
        <v>#DIV/0!:divZero</v>
      </c>
      <c t="str" s="619" r="AK55">
        <f>IF(OR((SUM(AI$50:AI56)=0),(SUM(AI55:AI$73)=0)),NA(),AJ55)</f>
        <v>#N/A:explicit</v>
      </c>
      <c s="72" r="AL55"/>
      <c s="908" r="AM55"/>
      <c s="551" r="AN55"/>
      <c s="551" r="AO55"/>
      <c s="551" r="AP55"/>
      <c s="551" r="AQ55"/>
      <c s="551" r="AR55"/>
      <c s="551" r="AS55"/>
      <c s="551" r="AT55"/>
      <c s="551" r="AU55"/>
      <c s="551" r="AV55"/>
      <c s="671" r="AW55"/>
      <c s="702" r="AX55"/>
      <c s="550" r="AY55"/>
      <c s="382" r="AZ55"/>
      <c s="550" r="BA55"/>
      <c s="787" r="BB55">
        <f>IF(ISBLANK(BA55),0,(BA55-AZ55))</f>
        <v>0</v>
      </c>
      <c t="str" s="540" r="BC55">
        <f>IF((BB$63&gt;0),(BB55/BB$63),"---")</f>
        <v>---</v>
      </c>
      <c t="str" s="826" r="BD55">
        <f>BC54</f>
        <v>---</v>
      </c>
      <c t="str" s="540" r="BE55">
        <f>IF(ISNUMBER(BD55),(BD55+BE54),"---")</f>
        <v>---</v>
      </c>
      <c s="752" r="BF55">
        <f>IF(OR((BB63=0),(BE47&gt;0.95)),0,(2^(LOG((INDEX(AY47:AY62,MATCH(0.95,BE47:BE62,1))),2)+(((LOG((INDEX(AY47:AY62,(MATCH(0.95,BE47:BE62,1)+1))),2)-LOG((INDEX(AY47:AY62,MATCH(0.95,BE47:BE62,1))),2))*(0.95-INDEX(BE47:BE62,MATCH(0.95,BE47:BE62,1))))/(INDEX(BE47:BE62,(MATCH(0.95,BE47:BE62,1)+1))-INDEX(BE47:BE62,MATCH(0.95,BE47:BE62,1)))))))</f>
        <v>0</v>
      </c>
      <c s="409" r="BG55"/>
      <c s="551" r="BH55"/>
      <c s="551" r="BI55"/>
      <c s="551" r="BJ55"/>
      <c s="551" r="BK55"/>
      <c s="551" r="BL55"/>
      <c s="551" r="BM55"/>
      <c s="551" r="BN55"/>
      <c s="551" r="BO55"/>
      <c s="671" r="BP55"/>
      <c s="51" r="BQ55"/>
      <c s="125" r="BR55"/>
      <c s="125" r="BS55"/>
      <c s="125" r="BT55"/>
      <c s="125" r="BU55"/>
      <c s="125" r="BV55"/>
      <c s="125" r="BW55"/>
      <c s="125" r="BX55"/>
      <c s="125" r="BY55"/>
      <c s="125" r="BZ55"/>
      <c s="125" r="CA55"/>
      <c s="125" r="CB55"/>
      <c s="125" r="CC55"/>
      <c s="125" r="CD55"/>
      <c s="125" r="CE55"/>
      <c s="125" r="CF55"/>
      <c s="125" r="CG55"/>
      <c s="125" r="CH55"/>
      <c s="125" r="CI55"/>
      <c s="125" r="CJ55"/>
      <c s="125" r="CK55"/>
      <c s="125" r="CL55"/>
    </row>
    <row r="56">
      <c s="822" r="A56"/>
      <c s="908" r="B56"/>
      <c s="551" r="C56"/>
      <c t="s" s="812" r="D56">
        <v>185</v>
      </c>
      <c t="str" s="128" r="E56">
        <f>IF(OR((R$16=1),(R$16=2)),X39,IF(OR((R$53=1),(R$53=2)),X76,IF(OR((AL$20=1),(AL$20=2)),AR78,IF((R$16=3),X39,IF((R$53=3),X76,IF(OR((AL$20=2),(AL$20=3)),AR42,"---"))))))</f>
        <v>---</v>
      </c>
      <c s="605" r="F56"/>
      <c s="605" r="G56"/>
      <c s="605" r="H56"/>
      <c t="str" s="22" r="I56">
        <f>IF(($R$16=3),X39,IF(($R$53=3),X76,IF(($AI$38&gt;0),AR42,"---")))</f>
        <v>---</v>
      </c>
      <c s="388" r="J56"/>
      <c s="217" r="K56"/>
      <c t="s" s="294" r="L56">
        <v>471</v>
      </c>
      <c t="str" s="595" r="M56">
        <f>6&amp;"  -"</f>
        <v>6  -</v>
      </c>
      <c s="411" r="N56">
        <v>8</v>
      </c>
      <c s="550" r="O56"/>
      <c t="str" s="42" r="P56">
        <f>(O56/O$72)+(SUM(O$48:O55)/O$72)</f>
        <v>#DIV/0!:divZero</v>
      </c>
      <c t="str" s="619" r="Q56">
        <f>IF(OR((SUM(O$48:O57)=0),(SUM(O56:O$71)=0)),NA(),P56)</f>
        <v>#N/A:explicit</v>
      </c>
      <c t="s" s="140" r="R56">
        <v>504</v>
      </c>
      <c s="908" r="S56"/>
      <c s="551" r="T56"/>
      <c s="551" r="U56"/>
      <c s="477" r="V56"/>
      <c s="551" r="W56"/>
      <c s="551" r="X56"/>
      <c s="551" r="Y56"/>
      <c s="551" r="Z56"/>
      <c s="551" r="AA56"/>
      <c s="551" r="AB56"/>
      <c s="671" r="AC56"/>
      <c s="702" r="AD56"/>
      <c s="779" r="AE56"/>
      <c t="s" s="880" r="AF56">
        <v>467</v>
      </c>
      <c t="str" s="73" r="AG56">
        <f>2&amp;"  -"</f>
        <v>2  -</v>
      </c>
      <c s="860" r="AH56">
        <v>4</v>
      </c>
      <c s="550" r="AI56"/>
      <c t="str" s="42" r="AJ56">
        <f>(AI56/AI$74)+AJ55</f>
        <v>#DIV/0!:divZero</v>
      </c>
      <c t="str" s="619" r="AK56">
        <f>IF(OR((SUM(AI$50:AI57)=0),(SUM(AI56:AI$73)=0)),NA(),AJ56)</f>
        <v>#N/A:explicit</v>
      </c>
      <c s="72" r="AL56"/>
      <c s="908" r="AM56"/>
      <c s="551" r="AN56"/>
      <c s="551" r="AO56"/>
      <c s="551" r="AP56"/>
      <c s="551" r="AQ56"/>
      <c s="551" r="AR56"/>
      <c s="551" r="AS56"/>
      <c s="551" r="AT56"/>
      <c s="551" r="AU56"/>
      <c s="551" r="AV56"/>
      <c s="671" r="AW56"/>
      <c s="702" r="AX56"/>
      <c s="550" r="AY56"/>
      <c s="382" r="AZ56"/>
      <c s="550" r="BA56"/>
      <c s="787" r="BB56">
        <f>IF(ISBLANK(BA56),0,(BA56-AZ56))</f>
        <v>0</v>
      </c>
      <c t="str" s="540" r="BC56">
        <f>IF((BB$63&gt;0),(BB56/BB$63),"---")</f>
        <v>---</v>
      </c>
      <c t="str" s="826" r="BD56">
        <f>BC55</f>
        <v>---</v>
      </c>
      <c t="str" s="540" r="BE56">
        <f>IF(ISNUMBER(BD56),(BD56+BE55),"---")</f>
        <v>---</v>
      </c>
      <c s="150" r="BF56"/>
      <c t="s" s="409" r="BG56">
        <v>459</v>
      </c>
      <c s="551" r="BH56"/>
      <c s="551" r="BI56"/>
      <c s="551" r="BJ56"/>
      <c s="551" r="BK56"/>
      <c s="551" r="BL56"/>
      <c s="551" r="BM56"/>
      <c s="551" r="BN56"/>
      <c s="551" r="BO56"/>
      <c s="671" r="BP56"/>
      <c s="51" r="BQ56"/>
      <c s="125" r="BR56"/>
      <c s="125" r="BS56"/>
      <c s="125" r="BT56"/>
      <c s="125" r="BU56"/>
      <c s="125" r="BV56"/>
      <c s="125" r="BW56"/>
      <c s="125" r="BX56"/>
      <c s="125" r="BY56"/>
      <c s="125" r="BZ56"/>
      <c s="125" r="CA56"/>
      <c s="125" r="CB56"/>
      <c s="125" r="CC56"/>
      <c s="125" r="CD56"/>
      <c s="125" r="CE56"/>
      <c s="125" r="CF56"/>
      <c s="125" r="CG56"/>
      <c s="125" r="CH56"/>
      <c s="125" r="CI56"/>
      <c s="125" r="CJ56"/>
      <c s="125" r="CK56"/>
      <c s="125" r="CL56"/>
    </row>
    <row r="57">
      <c s="822" r="A57"/>
      <c s="56" r="B57"/>
      <c s="673" r="C57"/>
      <c t="s" s="369" r="D57">
        <v>44</v>
      </c>
      <c t="str" s="299" r="E57">
        <f>$BX$17</f>
        <v>---</v>
      </c>
      <c s="117" r="F57"/>
      <c s="280" r="G57"/>
      <c s="117" r="H57"/>
      <c s="1" r="I57"/>
      <c s="388" r="J57"/>
      <c s="217" r="K57"/>
      <c t="s" s="294" r="L57">
        <v>485</v>
      </c>
      <c t="str" s="595" r="M57">
        <f>8&amp;"  -"</f>
        <v>8  -</v>
      </c>
      <c s="411" r="N57">
        <v>11</v>
      </c>
      <c s="550" r="O57"/>
      <c t="str" s="42" r="P57">
        <f>(O57/O$72)+(SUM(O$48:O56)/O$72)</f>
        <v>#DIV/0!:divZero</v>
      </c>
      <c t="str" s="619" r="Q57">
        <f>IF(OR((SUM(O$48:O58)=0),(SUM(O57:O$71)=0)),NA(),P57)</f>
        <v>#N/A:explicit</v>
      </c>
      <c s="72" r="R57"/>
      <c s="908" r="S57"/>
      <c s="551" r="T57"/>
      <c s="551" r="U57"/>
      <c s="477" r="V57"/>
      <c s="551" r="W57"/>
      <c s="551" r="X57"/>
      <c s="551" r="Y57"/>
      <c s="551" r="Z57"/>
      <c s="551" r="AA57"/>
      <c s="551" r="AB57"/>
      <c s="671" r="AC57"/>
      <c s="702" r="AD57"/>
      <c s="217" r="AE57"/>
      <c t="s" s="294" r="AF57">
        <v>471</v>
      </c>
      <c t="str" s="595" r="AG57">
        <f>4&amp;"  -"</f>
        <v>4  -</v>
      </c>
      <c s="411" r="AH57">
        <v>6</v>
      </c>
      <c s="550" r="AI57"/>
      <c t="str" s="42" r="AJ57">
        <f>(AI57/AI$74)+AJ56</f>
        <v>#DIV/0!:divZero</v>
      </c>
      <c t="str" s="619" r="AK57">
        <f>IF(OR((SUM(AI$50:AI58)=0),(SUM(AI57:AI$73)=0)),NA(),AJ57)</f>
        <v>#N/A:explicit</v>
      </c>
      <c s="72" r="AL57"/>
      <c s="908" r="AM57"/>
      <c s="551" r="AN57"/>
      <c s="551" r="AO57"/>
      <c s="551" r="AP57"/>
      <c s="551" r="AQ57"/>
      <c s="551" r="AR57"/>
      <c s="551" r="AS57"/>
      <c s="551" r="AT57"/>
      <c s="551" r="AU57"/>
      <c s="551" r="AV57"/>
      <c s="671" r="AW57"/>
      <c s="702" r="AX57"/>
      <c s="550" r="AY57"/>
      <c s="550" r="AZ57"/>
      <c s="550" r="BA57"/>
      <c s="787" r="BB57">
        <f>IF(ISBLANK(BA57),0,(BA57-AZ57))</f>
        <v>0</v>
      </c>
      <c t="str" s="540" r="BC57">
        <f>IF((BB$63&gt;0),(BB57/BB$63),"---")</f>
        <v>---</v>
      </c>
      <c t="str" s="826" r="BD57">
        <f>BC56</f>
        <v>---</v>
      </c>
      <c t="str" s="540" r="BE57">
        <f>IF(ISNUMBER(BD57),(BD57+BE56),"---")</f>
        <v>---</v>
      </c>
      <c s="513" r="BF57">
        <v>0.01</v>
      </c>
      <c s="409" r="BG57"/>
      <c s="551" r="BH57"/>
      <c s="551" r="BI57"/>
      <c s="551" r="BJ57"/>
      <c s="551" r="BK57"/>
      <c s="551" r="BL57"/>
      <c s="551" r="BM57"/>
      <c s="551" r="BN57"/>
      <c s="551" r="BO57"/>
      <c s="671" r="BP57"/>
      <c s="51" r="BQ57"/>
      <c s="125" r="BR57"/>
      <c s="125" r="BS57"/>
      <c s="125" r="BT57"/>
      <c s="125" r="BU57"/>
      <c s="125" r="BV57"/>
      <c s="125" r="BW57"/>
      <c s="125" r="BX57"/>
      <c s="125" r="BY57"/>
      <c s="125" r="BZ57"/>
      <c s="125" r="CA57"/>
      <c s="125" r="CB57"/>
      <c s="125" r="CC57"/>
      <c s="125" r="CD57"/>
      <c s="125" r="CE57"/>
      <c s="125" r="CF57"/>
      <c s="125" r="CG57"/>
      <c s="125" r="CH57"/>
      <c s="125" r="CI57"/>
      <c s="125" r="CJ57"/>
      <c s="125" r="CK57"/>
      <c s="125" r="CL57"/>
    </row>
    <row r="58">
      <c s="822" r="A58"/>
      <c s="678" r="B58"/>
      <c s="402" r="C58"/>
      <c t="s" s="129" r="D58">
        <v>187</v>
      </c>
      <c t="str" s="502" r="E58">
        <f>IF(OR((R$16=1),(R$16=2)),AA37,IF(OR((R$53=1),(R$53=2)),AA74,IF(OR((AL$20=1),(AL$20=2)),AU76,IF((R$16=3),AA37,IF((R$53=3),AA74,IF(OR((AL$20=2),(AL$20=3)),AU40,"---"))))))</f>
        <v>---</v>
      </c>
      <c t="str" s="187" r="F58">
        <f>IF(($BF$12=3),BO32,IF(($BF$43=3),BO63,IF(($AL$20=2),AU112,"---")))</f>
        <v>---</v>
      </c>
      <c t="str" s="187" r="G58">
        <f>IF(OR(($BF$12=1),($BF$12=2)),BO32,IF(OR((BF$43=1),(BF$43=2)),BO63,"---"))</f>
        <v>---</v>
      </c>
      <c s="187" r="H58"/>
      <c t="str" s="352" r="I58">
        <f>IF(($R$16=3),AA37,IF(($R$53=3),AA74,IF(($AI$38&gt;0),AU40,"---")))</f>
        <v>---</v>
      </c>
      <c s="388" r="J58"/>
      <c s="217" r="K58"/>
      <c t="s" s="294" r="L58">
        <v>485</v>
      </c>
      <c t="str" s="595" r="M58">
        <f>11&amp;"  -"</f>
        <v>11  -</v>
      </c>
      <c s="411" r="N58">
        <v>16</v>
      </c>
      <c s="550" r="O58"/>
      <c t="str" s="42" r="P58">
        <f>(O58/O$72)+(SUM(O$48:O57)/O$72)</f>
        <v>#DIV/0!:divZero</v>
      </c>
      <c t="str" s="619" r="Q58">
        <f>IF(OR((SUM(O$48:O59)=0),(SUM(O58:O$71)=0)),NA(),P58)</f>
        <v>#N/A:explicit</v>
      </c>
      <c s="140" r="R58"/>
      <c s="908" r="S58"/>
      <c s="551" r="T58"/>
      <c s="551" r="U58"/>
      <c s="477" r="V58"/>
      <c s="551" r="W58"/>
      <c s="551" r="X58"/>
      <c s="551" r="Y58"/>
      <c s="551" r="Z58"/>
      <c s="551" r="AA58"/>
      <c s="551" r="AB58"/>
      <c s="671" r="AC58"/>
      <c s="702" r="AD58"/>
      <c s="217" r="AE58"/>
      <c t="s" s="294" r="AF58">
        <v>471</v>
      </c>
      <c t="str" s="595" r="AG58">
        <f>6&amp;"  -"</f>
        <v>6  -</v>
      </c>
      <c s="411" r="AH58">
        <v>8</v>
      </c>
      <c s="550" r="AI58"/>
      <c t="str" s="42" r="AJ58">
        <f>(AI58/AI$74)+AJ57</f>
        <v>#DIV/0!:divZero</v>
      </c>
      <c t="str" s="619" r="AK58">
        <f>IF(OR((SUM(AI$50:AI59)=0),(SUM(AI58:AI$73)=0)),NA(),AJ58)</f>
        <v>#N/A:explicit</v>
      </c>
      <c s="72" r="AL58"/>
      <c s="908" r="AM58"/>
      <c s="551" r="AN58"/>
      <c s="551" r="AO58"/>
      <c s="551" r="AP58"/>
      <c s="551" r="AQ58"/>
      <c s="551" r="AR58"/>
      <c s="551" r="AS58"/>
      <c s="551" r="AT58"/>
      <c s="551" r="AU58"/>
      <c s="551" r="AV58"/>
      <c s="671" r="AW58"/>
      <c s="702" r="AX58"/>
      <c s="550" r="AY58"/>
      <c s="550" r="AZ58"/>
      <c s="550" r="BA58"/>
      <c s="787" r="BB58">
        <f>IF(ISBLANK(BA58),0,(BA58-AZ58))</f>
        <v>0</v>
      </c>
      <c t="str" s="540" r="BC58">
        <f>IF((BB$63&gt;0),(BB58/BB$63),"---")</f>
        <v>---</v>
      </c>
      <c t="str" s="826" r="BD58">
        <f>BC57</f>
        <v>---</v>
      </c>
      <c t="str" s="540" r="BE58">
        <f>IF(ISNUMBER(BD58),(BD58+BE57),"---")</f>
        <v>---</v>
      </c>
      <c t="str" s="513" r="BF58">
        <f>IF(ISNUMBER(BI66),BI66,NA())</f>
        <v>#N/A:explicit</v>
      </c>
      <c s="409" r="BG58"/>
      <c s="551" r="BH58"/>
      <c s="551" r="BI58"/>
      <c s="551" r="BJ58"/>
      <c s="551" r="BK58"/>
      <c s="551" r="BL58"/>
      <c s="551" r="BM58"/>
      <c s="551" r="BN58"/>
      <c s="551" r="BO58"/>
      <c s="671" r="BP58"/>
      <c s="51" r="BQ58"/>
      <c s="125" r="BR58"/>
      <c s="125" r="BS58"/>
      <c s="125" r="BT58"/>
      <c s="125" r="BU58"/>
      <c s="125" r="BV58"/>
      <c s="125" r="BW58"/>
      <c s="125" r="BX58"/>
      <c s="125" r="BY58"/>
      <c s="125" r="BZ58"/>
      <c s="125" r="CA58"/>
      <c s="125" r="CB58"/>
      <c s="125" r="CC58"/>
      <c s="125" r="CD58"/>
      <c s="125" r="CE58"/>
      <c s="125" r="CF58"/>
      <c s="125" r="CG58"/>
      <c s="125" r="CH58"/>
      <c s="125" r="CI58"/>
      <c s="125" r="CJ58"/>
      <c s="125" r="CK58"/>
      <c s="125" r="CL58"/>
    </row>
    <row r="59">
      <c s="822" r="A59"/>
      <c s="908" r="B59"/>
      <c s="551" r="C59"/>
      <c t="s" s="812" r="D59">
        <v>189</v>
      </c>
      <c t="str" s="153" r="E59">
        <f>IF(OR((R$16=1),(R$16=2)),AA38,IF(OR((R$53=1),(R$53=2)),AA75,IF(OR((AL$20=1),(AL$20=2)),AU77,IF((R$16=3),AA38,IF((R$53=3),AA75,IF(OR((AL$20=2),(AL$20=3)),AU41,"---"))))))</f>
        <v>---</v>
      </c>
      <c t="str" s="163" r="F59">
        <f>IF(($BF$12=3),BO33,IF(($BF$43=3),BO64,IF(($AL$20=2),AU113,"---")))</f>
        <v>---</v>
      </c>
      <c t="str" s="163" r="G59">
        <f>IF(OR(($BF$12=1),($BF$12=2)),BO33,IF(OR((BF$43=1),(BF$43=2)),BO64,"---"))</f>
        <v>---</v>
      </c>
      <c s="163" r="H59"/>
      <c t="str" s="651" r="I59">
        <f>IF(($R$16=3),AA38,IF(($R$53=3),AA75,IF(($AI$38&gt;0),AU41,"---")))</f>
        <v>---</v>
      </c>
      <c s="388" r="J59"/>
      <c s="217" r="K59"/>
      <c t="s" s="294" r="L59">
        <v>494</v>
      </c>
      <c t="str" s="595" r="M59">
        <f>16&amp;"  -"</f>
        <v>16  -</v>
      </c>
      <c s="411" r="N59">
        <v>22</v>
      </c>
      <c s="550" r="O59"/>
      <c t="str" s="42" r="P59">
        <f>(O59/O$72)+(SUM(O$48:O58)/O$72)</f>
        <v>#DIV/0!:divZero</v>
      </c>
      <c t="str" s="619" r="Q59">
        <f>IF(OR((SUM(O$48:O60)=0),(SUM(O59:O$71)=0)),NA(),P59)</f>
        <v>#N/A:explicit</v>
      </c>
      <c s="140" r="R59"/>
      <c s="908" r="S59"/>
      <c s="551" r="T59"/>
      <c s="551" r="U59"/>
      <c s="551" r="V59"/>
      <c s="551" r="W59"/>
      <c s="551" r="X59"/>
      <c s="551" r="Y59"/>
      <c s="551" r="Z59"/>
      <c s="551" r="AA59"/>
      <c s="551" r="AB59"/>
      <c s="671" r="AC59"/>
      <c s="702" r="AD59"/>
      <c s="217" r="AE59"/>
      <c t="s" s="294" r="AF59">
        <v>485</v>
      </c>
      <c t="str" s="595" r="AG59">
        <f>8&amp;"  -"</f>
        <v>8  -</v>
      </c>
      <c s="411" r="AH59">
        <v>11</v>
      </c>
      <c s="550" r="AI59"/>
      <c t="str" s="42" r="AJ59">
        <f>(AI59/AI$74)+AJ58</f>
        <v>#DIV/0!:divZero</v>
      </c>
      <c t="str" s="619" r="AK59">
        <f>IF(OR((SUM(AI$50:AI60)=0),(SUM(AI59:AI$73)=0)),NA(),AJ59)</f>
        <v>#N/A:explicit</v>
      </c>
      <c s="72" r="AL59"/>
      <c s="908" r="AM59"/>
      <c s="551" r="AN59"/>
      <c s="551" r="AO59"/>
      <c s="551" r="AP59"/>
      <c s="551" r="AQ59"/>
      <c s="551" r="AR59"/>
      <c s="551" r="AS59"/>
      <c s="551" r="AT59"/>
      <c s="551" r="AU59"/>
      <c s="551" r="AV59"/>
      <c s="671" r="AW59"/>
      <c s="702" r="AX59"/>
      <c s="550" r="AY59"/>
      <c s="550" r="AZ59"/>
      <c s="550" r="BA59"/>
      <c s="787" r="BB59">
        <f>IF(ISBLANK(BA59),0,(BA59-AZ59))</f>
        <v>0</v>
      </c>
      <c t="str" s="540" r="BC59">
        <f>IF((BB$63&gt;0),(BB59/BB$63),"---")</f>
        <v>---</v>
      </c>
      <c t="str" s="826" r="BD59">
        <f>BC58</f>
        <v>---</v>
      </c>
      <c t="str" s="540" r="BE59">
        <f>IF(ISNUMBER(BD59),(BD59+BE58),"---")</f>
        <v>---</v>
      </c>
      <c t="str" s="513" r="BF59">
        <f>BF58</f>
        <v>#N/A:explicit</v>
      </c>
      <c s="409" r="BG59"/>
      <c s="551" r="BH59"/>
      <c s="551" r="BI59"/>
      <c s="551" r="BJ59"/>
      <c s="551" r="BK59"/>
      <c s="551" r="BL59"/>
      <c s="551" r="BM59"/>
      <c s="551" r="BN59"/>
      <c s="551" r="BO59"/>
      <c s="671" r="BP59"/>
      <c s="51" r="BQ59"/>
      <c s="125" r="BR59"/>
      <c s="125" r="BS59"/>
      <c s="125" r="BT59"/>
      <c s="125" r="BU59"/>
      <c s="125" r="BV59"/>
      <c s="125" r="BW59"/>
      <c s="125" r="BX59"/>
      <c s="125" r="BY59"/>
      <c s="125" r="BZ59"/>
      <c s="125" r="CA59"/>
      <c s="125" r="CB59"/>
      <c s="125" r="CC59"/>
      <c s="125" r="CD59"/>
      <c s="125" r="CE59"/>
      <c s="125" r="CF59"/>
      <c s="125" r="CG59"/>
      <c s="125" r="CH59"/>
      <c s="125" r="CI59"/>
      <c s="125" r="CJ59"/>
      <c s="125" r="CK59"/>
      <c s="125" r="CL59"/>
    </row>
    <row r="60">
      <c s="822" r="A60"/>
      <c s="908" r="B60"/>
      <c s="551" r="C60"/>
      <c t="s" s="812" r="D60">
        <v>190</v>
      </c>
      <c t="str" s="826" r="E60">
        <f>IF(OR((R$16=1),(R$16=2)),AA39,IF(OR((R$53=1),(R$53=2)),AA76,IF(OR((AL$20=1),(AL$20=2)),AU78,IF((R$16=3),AA39,IF((R$53=3),AA76,IF(OR((AL$20=2),(AL$20=3)),AU42,"---"))))))</f>
        <v>---</v>
      </c>
      <c t="str" s="776" r="F60">
        <f>IF(($BF$12=3),BO34,IF(($BF$43=3),BO65,IF(($AL$20=2),AU114,"---")))</f>
        <v>---</v>
      </c>
      <c t="str" s="776" r="G60">
        <f>IF(OR(($BF$12=1),($BF$12=2)),BO34,IF(OR((BF$43=1),(BF$43=2)),BO65,"---"))</f>
        <v>---</v>
      </c>
      <c s="776" r="H60"/>
      <c t="str" s="540" r="I60">
        <f>IF(($R$16=3),AA39,IF(($R$53=3),AA76,IF(($AI$38&gt;0),AU42,"---")))</f>
        <v>---</v>
      </c>
      <c s="388" r="J60"/>
      <c s="217" r="K60"/>
      <c t="s" s="294" r="L60">
        <v>494</v>
      </c>
      <c t="str" s="595" r="M60">
        <f>22&amp;"  -"</f>
        <v>22  -</v>
      </c>
      <c s="411" r="N60">
        <v>32</v>
      </c>
      <c s="550" r="O60"/>
      <c t="str" s="42" r="P60">
        <f>(O60/O$72)+(SUM(O$48:O59)/O$72)</f>
        <v>#DIV/0!:divZero</v>
      </c>
      <c t="str" s="619" r="Q60">
        <f>IF(OR((SUM(O$48:O61)=0),(SUM(O60:O$71)=0)),NA(),P60)</f>
        <v>#N/A:explicit</v>
      </c>
      <c s="140" r="R60"/>
      <c s="908" r="S60"/>
      <c s="551" r="T60"/>
      <c s="551" r="U60"/>
      <c s="551" r="V60"/>
      <c s="551" r="W60"/>
      <c s="551" r="X60"/>
      <c s="551" r="Y60"/>
      <c s="551" r="Z60"/>
      <c s="551" r="AA60"/>
      <c s="551" r="AB60"/>
      <c s="671" r="AC60"/>
      <c s="702" r="AD60"/>
      <c s="217" r="AE60"/>
      <c t="s" s="294" r="AF60">
        <v>485</v>
      </c>
      <c t="str" s="595" r="AG60">
        <f>11&amp;"  -"</f>
        <v>11  -</v>
      </c>
      <c s="411" r="AH60">
        <v>16</v>
      </c>
      <c s="550" r="AI60"/>
      <c t="str" s="42" r="AJ60">
        <f>(AI60/AI$74)+AJ59</f>
        <v>#DIV/0!:divZero</v>
      </c>
      <c t="str" s="619" r="AK60">
        <f>IF(OR((SUM(AI$50:AI61)=0),(SUM(AI60:AI$73)=0)),NA(),AJ60)</f>
        <v>#N/A:explicit</v>
      </c>
      <c s="140" r="AL60"/>
      <c s="908" r="AM60"/>
      <c s="551" r="AN60"/>
      <c s="551" r="AO60"/>
      <c s="551" r="AP60"/>
      <c s="551" r="AQ60"/>
      <c s="551" r="AR60"/>
      <c s="551" r="AS60"/>
      <c s="551" r="AT60"/>
      <c s="551" r="AU60"/>
      <c s="551" r="AV60"/>
      <c s="671" r="AW60"/>
      <c s="702" r="AX60"/>
      <c s="550" r="AY60"/>
      <c s="550" r="AZ60"/>
      <c s="550" r="BA60"/>
      <c s="787" r="BB60">
        <f>IF(ISBLANK(BA60),0,(BA60-AZ60))</f>
        <v>0</v>
      </c>
      <c t="str" s="540" r="BC60">
        <f>IF((BB$63&gt;0),(BB60/BB$63),"---")</f>
        <v>---</v>
      </c>
      <c t="str" s="826" r="BD60">
        <f>BC59</f>
        <v>---</v>
      </c>
      <c t="str" s="540" r="BE60">
        <f>IF(ISNUMBER(BD60),(BD60+BE59),"---")</f>
        <v>---</v>
      </c>
      <c t="str" s="513" r="BF60">
        <f>IF((BB63&gt;0),0.5,NA())</f>
        <v>#N/A:explicit</v>
      </c>
      <c s="409" r="BG60"/>
      <c s="551" r="BH60"/>
      <c s="551" r="BI60"/>
      <c s="551" r="BJ60"/>
      <c s="551" r="BK60"/>
      <c s="551" r="BL60"/>
      <c s="551" r="BM60"/>
      <c s="551" r="BN60"/>
      <c s="551" r="BO60"/>
      <c s="671" r="BP60"/>
      <c s="51" r="BQ60"/>
      <c s="125" r="BR60"/>
      <c s="125" r="BS60"/>
      <c s="125" r="BT60"/>
      <c s="125" r="BU60"/>
      <c s="125" r="BV60"/>
      <c s="125" r="BW60"/>
      <c s="125" r="BX60"/>
      <c s="125" r="BY60"/>
      <c s="125" r="BZ60"/>
      <c s="125" r="CA60"/>
      <c s="125" r="CB60"/>
      <c s="125" r="CC60"/>
      <c s="125" r="CD60"/>
      <c s="125" r="CE60"/>
      <c s="125" r="CF60"/>
      <c s="125" r="CG60"/>
      <c s="125" r="CH60"/>
      <c s="125" r="CI60"/>
      <c s="125" r="CJ60"/>
      <c s="125" r="CK60"/>
      <c s="125" r="CL60"/>
    </row>
    <row r="61">
      <c s="822" r="A61"/>
      <c s="908" r="B61"/>
      <c s="551" r="C61"/>
      <c t="s" s="812" r="D61">
        <v>191</v>
      </c>
      <c t="str" s="153" r="E61">
        <f>IF(OR((R$16=1),(R$16=2)),AA40,IF(OR((R$53=1),(R$53=2)),AA77,IF(OR((AL$20=1),(AL$20=2)),AU79,IF((R$16=3),AA40,IF((R$53=3),AA77,IF(OR((AL$20=2),(AL$20=3)),AU43,"---"))))))</f>
        <v>---</v>
      </c>
      <c t="str" s="163" r="F61">
        <f>IF(($BF$12=3),BO35,IF(($BF$43=3),BO66,IF(($AL$20=2),AU115,"---")))</f>
        <v>---</v>
      </c>
      <c t="str" s="163" r="G61">
        <f>IF(OR(($BF$12=1),($BF$12=2)),BO35,IF(OR((BF$43=1),(BF$43=2)),BO66,"---"))</f>
        <v>---</v>
      </c>
      <c s="163" r="H61"/>
      <c t="str" s="651" r="I61">
        <f>IF(($R$16=3),AA40,IF(($R$53=3),AA77,IF(($AI$38&gt;0),AU43,"---")))</f>
        <v>---</v>
      </c>
      <c s="388" r="J61"/>
      <c s="409" r="K61"/>
      <c t="s" s="8" r="L61">
        <v>500</v>
      </c>
      <c t="str" s="595" r="M61">
        <f>32&amp;"  -"</f>
        <v>32  -</v>
      </c>
      <c s="411" r="N61">
        <v>45</v>
      </c>
      <c s="550" r="O61"/>
      <c t="str" s="42" r="P61">
        <f>(O61/O$72)+(SUM(O$48:O60)/O$72)</f>
        <v>#DIV/0!:divZero</v>
      </c>
      <c t="str" s="619" r="Q61">
        <f>IF(OR((SUM(O$48:O62)=0),(SUM(O61:O$71)=0)),NA(),P61)</f>
        <v>#N/A:explicit</v>
      </c>
      <c s="140" r="R61"/>
      <c s="908" r="S61"/>
      <c s="551" r="T61"/>
      <c s="551" r="U61"/>
      <c s="551" r="V61"/>
      <c s="551" r="W61"/>
      <c s="551" r="X61"/>
      <c s="551" r="Y61"/>
      <c s="551" r="Z61"/>
      <c s="551" r="AA61"/>
      <c s="551" r="AB61"/>
      <c s="671" r="AC61"/>
      <c s="702" r="AD61"/>
      <c s="217" r="AE61"/>
      <c t="s" s="294" r="AF61">
        <v>494</v>
      </c>
      <c t="str" s="595" r="AG61">
        <f>16&amp;"  -"</f>
        <v>16  -</v>
      </c>
      <c s="411" r="AH61">
        <v>22</v>
      </c>
      <c s="550" r="AI61"/>
      <c t="str" s="42" r="AJ61">
        <f>(AI61/AI$74)+AJ60</f>
        <v>#DIV/0!:divZero</v>
      </c>
      <c t="str" s="619" r="AK61">
        <f>IF(OR((SUM(AI$50:AI62)=0),(SUM(AI61:AI$73)=0)),NA(),AJ61)</f>
        <v>#N/A:explicit</v>
      </c>
      <c s="140" r="AL61"/>
      <c s="908" r="AM61"/>
      <c s="551" r="AN61"/>
      <c s="551" r="AO61"/>
      <c s="551" r="AP61"/>
      <c s="551" r="AQ61"/>
      <c s="551" r="AR61"/>
      <c s="551" r="AS61"/>
      <c s="551" r="AT61"/>
      <c s="551" r="AU61"/>
      <c s="551" r="AV61"/>
      <c s="671" r="AW61"/>
      <c s="702" r="AX61"/>
      <c s="550" r="AY61"/>
      <c s="550" r="AZ61"/>
      <c s="550" r="BA61"/>
      <c s="787" r="BB61">
        <f>IF(ISBLANK(BA61),0,(BA61-AZ61))</f>
        <v>0</v>
      </c>
      <c t="str" s="540" r="BC61">
        <f>IF((BB$63&gt;0),(BB61/BB$63),"---")</f>
        <v>---</v>
      </c>
      <c t="str" s="826" r="BD61">
        <f>BC60</f>
        <v>---</v>
      </c>
      <c t="str" s="540" r="BE61">
        <f>IF(ISNUMBER(BD61),(BD61+BE60),"---")</f>
        <v>---</v>
      </c>
      <c t="str" s="513" r="BF61">
        <f>BF60</f>
        <v>#N/A:explicit</v>
      </c>
      <c s="409" r="BG61"/>
      <c s="551" r="BH61"/>
      <c s="551" r="BI61"/>
      <c s="551" r="BJ61"/>
      <c s="551" r="BK61"/>
      <c s="551" r="BL61"/>
      <c s="551" r="BM61"/>
      <c s="551" r="BN61"/>
      <c s="551" r="BO61"/>
      <c s="671" r="BP61"/>
      <c s="51" r="BQ61"/>
      <c s="125" r="BR61"/>
      <c s="125" r="BS61"/>
      <c s="125" r="BT61"/>
      <c s="125" r="BU61"/>
      <c s="125" r="BV61"/>
      <c s="125" r="BW61"/>
      <c s="125" r="BX61"/>
      <c s="125" r="BY61"/>
      <c s="125" r="BZ61"/>
      <c s="125" r="CA61"/>
      <c s="125" r="CB61"/>
      <c s="125" r="CC61"/>
      <c s="125" r="CD61"/>
      <c s="125" r="CE61"/>
      <c s="125" r="CF61"/>
      <c s="125" r="CG61"/>
      <c s="125" r="CH61"/>
      <c s="125" r="CI61"/>
      <c s="125" r="CJ61"/>
      <c s="125" r="CK61"/>
      <c s="125" r="CL61"/>
    </row>
    <row customHeight="1" r="62" ht="13.5">
      <c s="822" r="A62"/>
      <c s="908" r="B62"/>
      <c s="551" r="C62"/>
      <c t="s" s="812" r="D62">
        <v>192</v>
      </c>
      <c t="str" s="826" r="E62">
        <f>IF(OR((R$16=1),(R$16=2)),AA41,IF(OR((R$53=1),(R$53=2)),AA78,IF(OR((AL$20=1),(AL$20=2)),AU80,IF((R$16=3),AA41,IF((R$53=3),AA78,IF(OR((AL$20=2),(AL$20=3)),AU44,"---"))))))</f>
        <v>---</v>
      </c>
      <c t="str" s="776" r="F62">
        <f>IF(($BF$12=3),BO36,IF(($BF$43=3),BO67,IF(($AL$20=2),AU116,"---")))</f>
        <v>---</v>
      </c>
      <c t="str" s="776" r="G62">
        <f>IF(OR(($BF$12=1),($BF$12=2)),BO36,IF(OR((BF$43=1),(BF$43=2)),BO67,"---"))</f>
        <v>---</v>
      </c>
      <c s="776" r="H62"/>
      <c t="str" s="540" r="I62">
        <f>IF(($R$16=3),AA41,IF(($R$53=3),AA78,IF(($AI$38&gt;0),AU44,"---")))</f>
        <v>---</v>
      </c>
      <c s="388" r="J62"/>
      <c s="460" r="K62"/>
      <c t="s" s="18" r="L62">
        <v>500</v>
      </c>
      <c t="str" s="658" r="M62">
        <f>45&amp;"  -"</f>
        <v>45  -</v>
      </c>
      <c s="672" r="N62">
        <v>64</v>
      </c>
      <c s="550" r="O62"/>
      <c t="str" s="42" r="P62">
        <f>(O62/O$72)+(SUM(O$48:O61)/O$72)</f>
        <v>#DIV/0!:divZero</v>
      </c>
      <c t="str" s="619" r="Q62">
        <f>IF(OR((SUM(O$48:O63)=0),(SUM(O62:O$71)=0)),NA(),P62)</f>
        <v>#N/A:explicit</v>
      </c>
      <c s="140" r="R62"/>
      <c s="908" r="S62"/>
      <c s="551" r="T62"/>
      <c s="551" r="U62"/>
      <c s="551" r="V62"/>
      <c s="551" r="W62"/>
      <c s="551" r="X62"/>
      <c s="551" r="Y62"/>
      <c s="551" r="Z62"/>
      <c s="551" r="AA62"/>
      <c s="551" r="AB62"/>
      <c s="671" r="AC62"/>
      <c s="702" r="AD62"/>
      <c s="217" r="AE62"/>
      <c t="s" s="294" r="AF62">
        <v>494</v>
      </c>
      <c t="str" s="595" r="AG62">
        <f>22&amp;"  -"</f>
        <v>22  -</v>
      </c>
      <c s="411" r="AH62">
        <v>32</v>
      </c>
      <c s="550" r="AI62"/>
      <c t="str" s="42" r="AJ62">
        <f>(AI62/AI$74)+AJ61</f>
        <v>#DIV/0!:divZero</v>
      </c>
      <c t="str" s="619" r="AK62">
        <f>IF(OR((SUM(AI$50:AI63)=0),(SUM(AI62:AI$73)=0)),NA(),AJ62)</f>
        <v>#N/A:explicit</v>
      </c>
      <c s="140" r="AL62"/>
      <c s="908" r="AM62"/>
      <c s="551" r="AN62"/>
      <c s="551" r="AO62"/>
      <c s="551" r="AP62"/>
      <c s="551" r="AQ62"/>
      <c s="551" r="AR62"/>
      <c s="551" r="AS62"/>
      <c s="551" r="AT62"/>
      <c s="551" r="AU62"/>
      <c s="551" r="AV62"/>
      <c s="671" r="AW62"/>
      <c s="702" r="AX62"/>
      <c s="550" r="AY62"/>
      <c s="550" r="AZ62"/>
      <c s="550" r="BA62"/>
      <c s="261" r="BB62">
        <f>IF(ISBLANK(BA62),0,(BA62-AZ62))</f>
        <v>0</v>
      </c>
      <c t="str" s="540" r="BC62">
        <f>IF((BB$63&gt;0),(BB62/BB$63),"---")</f>
        <v>---</v>
      </c>
      <c t="str" s="826" r="BD62">
        <f>BC61</f>
        <v>---</v>
      </c>
      <c t="str" s="540" r="BE62">
        <f>IF(ISNUMBER(BD62),(BD62+BE61),"---")</f>
        <v>---</v>
      </c>
      <c s="513" r="BF62">
        <v>0</v>
      </c>
      <c s="409" r="BG62"/>
      <c s="551" r="BH62"/>
      <c s="551" r="BI62"/>
      <c s="8" r="BJ62"/>
      <c s="52" r="BK62"/>
      <c s="52" r="BL62"/>
      <c s="551" r="BM62"/>
      <c s="52" r="BN62"/>
      <c s="52" r="BO62"/>
      <c s="671" r="BP62"/>
      <c s="51" r="BQ62"/>
      <c s="125" r="BR62"/>
      <c s="125" r="BS62"/>
      <c s="125" r="BT62"/>
      <c s="125" r="BU62"/>
      <c s="125" r="BV62"/>
      <c s="125" r="BW62"/>
      <c s="125" r="BX62"/>
      <c s="125" r="BY62"/>
      <c s="125" r="BZ62"/>
      <c s="125" r="CA62"/>
      <c s="125" r="CB62"/>
      <c s="125" r="CC62"/>
      <c s="125" r="CD62"/>
      <c s="125" r="CE62"/>
      <c s="125" r="CF62"/>
      <c s="125" r="CG62"/>
      <c s="125" r="CH62"/>
      <c s="125" r="CI62"/>
      <c s="125" r="CJ62"/>
      <c s="125" r="CK62"/>
      <c s="125" r="CL62"/>
    </row>
    <row customHeight="1" r="63" ht="15.0">
      <c s="822" r="A63"/>
      <c s="908" r="B63"/>
      <c s="551" r="C63"/>
      <c t="s" s="812" r="D63">
        <v>194</v>
      </c>
      <c t="str" s="153" r="E63">
        <f>IF(OR((R$16=1),(R$16=2)),AC37,IF(OR((R$53=1),(R$53=2)),AC74,IF(OR((AL$20=1),(AL$20=2)),AW76,IF((R$16=3),AC37,IF((R$53=3),AC74,IF(OR((AL$20=2),(AL$20=3)),AW40,"---"))))))</f>
        <v>---</v>
      </c>
      <c t="str" s="163" r="F63">
        <f>IF((AL$19=2),AW112,"---")</f>
        <v>---</v>
      </c>
      <c s="163" r="G63"/>
      <c s="163" r="H63"/>
      <c t="str" s="651" r="I63">
        <f>IF(($R$16=3),AC37,IF(($R$53=3),AC74,IF(($AI$38&gt;0),AW40,"---")))</f>
        <v>---</v>
      </c>
      <c s="388" r="J63"/>
      <c s="511" r="K63"/>
      <c t="s" s="416" r="L63">
        <v>505</v>
      </c>
      <c t="str" s="73" r="M63">
        <f>64&amp;"  -"</f>
        <v>64  -</v>
      </c>
      <c s="860" r="N63">
        <v>90</v>
      </c>
      <c s="550" r="O63"/>
      <c t="str" s="42" r="P63">
        <f>(O63/O$72)+(SUM(O$48:O62)/O$72)</f>
        <v>#DIV/0!:divZero</v>
      </c>
      <c t="str" s="619" r="Q63">
        <f>IF(OR((SUM(O$48:O64)=0),(SUM(O63:O$71)=0)),NA(),P63)</f>
        <v>#N/A:explicit</v>
      </c>
      <c s="140" r="R63"/>
      <c s="908" r="S63"/>
      <c s="551" r="T63"/>
      <c s="551" r="U63"/>
      <c s="551" r="V63"/>
      <c s="551" r="W63"/>
      <c s="551" r="X63"/>
      <c s="551" r="Y63"/>
      <c s="551" r="Z63"/>
      <c s="551" r="AA63"/>
      <c s="551" r="AB63"/>
      <c s="671" r="AC63"/>
      <c s="702" r="AD63"/>
      <c s="409" r="AE63"/>
      <c t="s" s="8" r="AF63">
        <v>500</v>
      </c>
      <c t="str" s="595" r="AG63">
        <f>32&amp;"  -"</f>
        <v>32  -</v>
      </c>
      <c s="411" r="AH63">
        <v>45</v>
      </c>
      <c s="550" r="AI63"/>
      <c t="str" s="42" r="AJ63">
        <f>(AI63/AI$74)+AJ62</f>
        <v>#DIV/0!:divZero</v>
      </c>
      <c t="str" s="619" r="AK63">
        <f>IF(OR((SUM(AI$50:AI64)=0),(SUM(AI63:AI$73)=0)),NA(),AJ63)</f>
        <v>#N/A:explicit</v>
      </c>
      <c s="140" r="AL63"/>
      <c s="908" r="AM63"/>
      <c s="551" r="AN63"/>
      <c s="551" r="AO63"/>
      <c s="551" r="AP63"/>
      <c s="551" r="AQ63"/>
      <c s="551" r="AR63"/>
      <c s="551" r="AS63"/>
      <c s="551" r="AT63"/>
      <c s="551" r="AU63"/>
      <c s="551" r="AV63"/>
      <c s="671" r="AW63"/>
      <c s="702" r="AX63"/>
      <c s="178" r="AY63"/>
      <c s="640" r="AZ63"/>
      <c t="s" s="783" r="BA63">
        <v>548</v>
      </c>
      <c s="213" r="BB63">
        <f>SUM(BB46:BB62)</f>
        <v>0</v>
      </c>
      <c s="522" r="BC63"/>
      <c s="522" r="BD63"/>
      <c s="671" r="BE63"/>
      <c s="513" r="BF63">
        <v>0.01</v>
      </c>
      <c s="409" r="BG63"/>
      <c t="s" s="538" r="BH63">
        <v>525</v>
      </c>
      <c s="538" r="BI63"/>
      <c s="414" r="BJ63"/>
      <c s="791" r="BK63"/>
      <c s="193" r="BL63"/>
      <c s="551" r="BM63"/>
      <c s="37" r="BN63"/>
      <c s="776" r="BO63"/>
      <c s="671" r="BP63"/>
      <c s="51" r="BQ63"/>
      <c s="125" r="BR63"/>
      <c s="125" r="BS63"/>
      <c s="125" r="BT63"/>
      <c s="125" r="BU63"/>
      <c s="125" r="BV63"/>
      <c s="125" r="BW63"/>
      <c s="125" r="BX63"/>
      <c s="125" r="BY63"/>
      <c s="125" r="BZ63"/>
      <c s="125" r="CA63"/>
      <c s="125" r="CB63"/>
      <c s="125" r="CC63"/>
      <c s="125" r="CD63"/>
      <c s="125" r="CE63"/>
      <c s="125" r="CF63"/>
      <c s="125" r="CG63"/>
      <c s="125" r="CH63"/>
      <c s="125" r="CI63"/>
      <c s="125" r="CJ63"/>
      <c s="125" r="CK63"/>
      <c s="125" r="CL63"/>
    </row>
    <row r="64">
      <c s="822" r="A64"/>
      <c s="908" r="B64"/>
      <c s="551" r="C64"/>
      <c t="s" s="390" r="D64">
        <v>196</v>
      </c>
      <c t="str" s="826" r="E64">
        <f>IF(OR((R$16=1),(R$16=2)),AC38,IF(OR((R$53=1),(R$53=2)),AC75,IF(OR((AL$20=1),(AL$20=2)),AW77,IF((R$16=3),AC38,IF((R$53=3),AC75,IF(OR((AL$20=2),(AL$20=3)),AW41,"---"))))))</f>
        <v>---</v>
      </c>
      <c t="str" s="776" r="F64">
        <f>IF((AL$19=2),AW113,"---")</f>
        <v>---</v>
      </c>
      <c s="776" r="G64"/>
      <c s="776" r="H64"/>
      <c t="str" s="540" r="I64">
        <f>IF(($R$16=3),AC38,IF(($R$53=3),AC75,IF(($AI$38&gt;0),AW41,"---")))</f>
        <v>---</v>
      </c>
      <c s="388" r="J64"/>
      <c s="409" r="K64"/>
      <c t="s" s="8" r="L64">
        <v>507</v>
      </c>
      <c t="str" s="595" r="M64">
        <f>90&amp;"  -"</f>
        <v>90  -</v>
      </c>
      <c s="411" r="N64">
        <v>128</v>
      </c>
      <c s="550" r="O64"/>
      <c t="str" s="42" r="P64">
        <f>(O64/O$72)+(SUM(O$48:O63)/O$72)</f>
        <v>#DIV/0!:divZero</v>
      </c>
      <c t="str" s="619" r="Q64">
        <f>IF(OR((SUM(O$48:O65)=0),(SUM(O64:O$71)=0)),NA(),P64)</f>
        <v>#N/A:explicit</v>
      </c>
      <c s="140" r="R64"/>
      <c s="908" r="S64"/>
      <c s="551" r="T64"/>
      <c s="551" r="U64"/>
      <c s="551" r="V64"/>
      <c s="551" r="W64"/>
      <c s="551" r="X64"/>
      <c s="551" r="Y64"/>
      <c s="551" r="Z64"/>
      <c s="551" r="AA64"/>
      <c s="551" r="AB64"/>
      <c s="671" r="AC64"/>
      <c s="702" r="AD64"/>
      <c s="460" r="AE64"/>
      <c t="s" s="18" r="AF64">
        <v>500</v>
      </c>
      <c t="str" s="658" r="AG64">
        <f>45&amp;"  -"</f>
        <v>45  -</v>
      </c>
      <c s="672" r="AH64">
        <v>64</v>
      </c>
      <c s="550" r="AI64"/>
      <c t="str" s="42" r="AJ64">
        <f>(AI64/AI$74)+AJ63</f>
        <v>#DIV/0!:divZero</v>
      </c>
      <c t="str" s="619" r="AK64">
        <f>IF(OR((SUM(AI$50:AI65)=0),(SUM(AI64:AI$73)=0)),NA(),AJ64)</f>
        <v>#N/A:explicit</v>
      </c>
      <c s="140" r="AL64"/>
      <c s="908" r="AM64"/>
      <c s="551" r="AN64"/>
      <c s="551" r="AO64"/>
      <c s="551" r="AP64"/>
      <c s="551" r="AQ64"/>
      <c s="551" r="AR64"/>
      <c s="551" r="AS64"/>
      <c s="551" r="AT64"/>
      <c s="551" r="AU64"/>
      <c s="551" r="AV64"/>
      <c s="671" r="AW64"/>
      <c s="702" r="AX64"/>
      <c s="908" r="AY64"/>
      <c s="414" r="AZ64"/>
      <c s="807" r="BA64"/>
      <c s="414" r="BB64"/>
      <c s="414" r="BC64"/>
      <c s="414" r="BD64"/>
      <c s="397" r="BE64"/>
      <c t="str" s="513" r="BF64">
        <f>IF(ISNUMBER(BL65),BL65,NA())</f>
        <v>#N/A:explicit</v>
      </c>
      <c s="409" r="BG64"/>
      <c t="s" s="168" r="BH64">
        <v>526</v>
      </c>
      <c t="str" s="736" r="BI64">
        <f>IF((BF50=0),"---",(ROUND((BF50/(10^TRUNC(LOG(BF50)))),(2-IF((BF50&gt;1),1,0)))*(10^TRUNC(LOG(BF50)))))</f>
        <v>---</v>
      </c>
      <c s="640" r="BJ64"/>
      <c t="s" s="168" r="BK64">
        <v>527</v>
      </c>
      <c t="str" s="736" r="BL64">
        <f>IF((BF53=0),"---",(ROUND((BF53/(10^TRUNC(LOG(BF53)))),(2-IF((BF53&gt;1),1,0)))*(10^TRUNC(LOG(BF53)))))</f>
        <v>---</v>
      </c>
      <c s="551" r="BM64"/>
      <c s="37" r="BN64"/>
      <c s="776" r="BO64"/>
      <c s="671" r="BP64"/>
      <c s="51" r="BQ64"/>
      <c s="125" r="BR64"/>
      <c s="125" r="BS64"/>
      <c s="125" r="BT64"/>
      <c s="125" r="BU64"/>
      <c s="125" r="BV64"/>
      <c s="125" r="BW64"/>
      <c s="125" r="BX64"/>
      <c s="125" r="BY64"/>
      <c s="125" r="BZ64"/>
      <c s="125" r="CA64"/>
      <c s="125" r="CB64"/>
      <c s="125" r="CC64"/>
      <c s="125" r="CD64"/>
      <c s="125" r="CE64"/>
      <c s="125" r="CF64"/>
      <c s="125" r="CG64"/>
      <c s="125" r="CH64"/>
      <c s="125" r="CI64"/>
      <c s="125" r="CJ64"/>
      <c s="125" r="CK64"/>
      <c s="125" r="CL64"/>
    </row>
    <row r="65">
      <c s="822" r="A65"/>
      <c s="908" r="B65"/>
      <c s="551" r="C65"/>
      <c t="s" s="390" r="D65">
        <v>197</v>
      </c>
      <c t="str" s="153" r="E65">
        <f>IF(OR((R$16=1),(R$16=2)),AC39,IF(OR((R$53=1),(R$53=2)),AC76,IF(OR((AL$20=1),(AL$20=2)),AW78,IF((R$16=3),AC39,IF((R$53=3),AC76,IF(OR((AL$20=2),(AL$20=3)),AW42,"---"))))))</f>
        <v>---</v>
      </c>
      <c t="str" s="163" r="F65">
        <f>IF((AL$19=2),AW114,"---")</f>
        <v>---</v>
      </c>
      <c s="163" r="G65"/>
      <c s="163" r="H65"/>
      <c t="str" s="651" r="I65">
        <f>IF(($R$16=3),AC39,IF(($R$53=3),AC76,IF(($AI$38&gt;0),AW42,"---")))</f>
        <v>---</v>
      </c>
      <c s="388" r="J65"/>
      <c s="409" r="K65"/>
      <c t="s" s="8" r="L65">
        <v>510</v>
      </c>
      <c t="str" s="595" r="M65">
        <f>128&amp;"  -"</f>
        <v>128  -</v>
      </c>
      <c s="411" r="N65">
        <v>180</v>
      </c>
      <c s="550" r="O65"/>
      <c t="str" s="42" r="P65">
        <f>(O65/O$72)+(SUM(O$48:O64)/O$72)</f>
        <v>#DIV/0!:divZero</v>
      </c>
      <c t="str" s="619" r="Q65">
        <f>IF(OR((SUM(O$48:O66)=0),(SUM(O65:O$71)=0)),NA(),P65)</f>
        <v>#N/A:explicit</v>
      </c>
      <c s="140" r="R65"/>
      <c s="908" r="S65"/>
      <c s="551" r="T65"/>
      <c s="551" r="U65"/>
      <c s="551" r="V65"/>
      <c s="551" r="W65"/>
      <c s="551" r="X65"/>
      <c s="551" r="Y65"/>
      <c s="551" r="Z65"/>
      <c s="551" r="AA65"/>
      <c s="551" r="AB65"/>
      <c s="671" r="AC65"/>
      <c s="702" r="AD65"/>
      <c s="511" r="AE65"/>
      <c t="s" s="416" r="AF65">
        <v>505</v>
      </c>
      <c t="str" s="73" r="AG65">
        <f>64&amp;"  -"</f>
        <v>64  -</v>
      </c>
      <c s="860" r="AH65">
        <v>90</v>
      </c>
      <c s="550" r="AI65"/>
      <c t="str" s="42" r="AJ65">
        <f>(AI65/AI$74)+AJ64</f>
        <v>#DIV/0!:divZero</v>
      </c>
      <c t="str" s="619" r="AK65">
        <f>IF(OR((SUM(AI$50:AI66)=0),(SUM(AI65:AI$73)=0)),NA(),AJ65)</f>
        <v>#N/A:explicit</v>
      </c>
      <c s="140" r="AL65"/>
      <c s="908" r="AM65"/>
      <c s="551" r="AN65"/>
      <c s="551" r="AO65"/>
      <c s="551" r="AP65"/>
      <c s="551" r="AQ65"/>
      <c s="551" r="AR65"/>
      <c s="551" r="AS65"/>
      <c s="551" r="AT65"/>
      <c s="551" r="AU65"/>
      <c s="551" r="AV65"/>
      <c s="671" r="AW65"/>
      <c s="702" r="AX65"/>
      <c t="s" s="583" r="AY65">
        <v>529</v>
      </c>
      <c s="256" r="AZ65"/>
      <c s="650" r="BA65"/>
      <c s="650" r="BB65"/>
      <c s="650" r="BC65"/>
      <c s="650" r="BD65"/>
      <c s="500" r="BE65"/>
      <c t="str" s="513" r="BF65">
        <f>BF64</f>
        <v>#N/A:explicit</v>
      </c>
      <c s="409" r="BG65"/>
      <c t="s" s="569" r="BH65">
        <v>530</v>
      </c>
      <c t="str" s="52" r="BI65">
        <f>IF((BF51=0),"---",(ROUND((BF51/(10^TRUNC(LOG(BF51)))),(2-IF((BF51&gt;1),1,0)))*(10^TRUNC(LOG(BF51)))))</f>
        <v>---</v>
      </c>
      <c s="551" r="BJ65"/>
      <c t="s" s="569" r="BK65">
        <v>531</v>
      </c>
      <c t="str" s="52" r="BL65">
        <f>IF((BF54=0),"---",(ROUND((BF54/(10^TRUNC(LOG(BF54)))),(2-IF((BF54&gt;1),1,0)))*(10^TRUNC(LOG(BF54)))))</f>
        <v>---</v>
      </c>
      <c s="551" r="BM65"/>
      <c s="37" r="BN65"/>
      <c s="776" r="BO65"/>
      <c s="671" r="BP65"/>
      <c s="51" r="BQ65"/>
      <c s="125" r="BR65"/>
      <c s="125" r="BS65"/>
      <c s="125" r="BT65"/>
      <c s="125" r="BU65"/>
      <c s="125" r="BV65"/>
      <c s="125" r="BW65"/>
      <c s="125" r="BX65"/>
      <c s="125" r="BY65"/>
      <c s="125" r="BZ65"/>
      <c s="125" r="CA65"/>
      <c s="125" r="CB65"/>
      <c s="125" r="CC65"/>
      <c s="125" r="CD65"/>
      <c s="125" r="CE65"/>
      <c s="125" r="CF65"/>
      <c s="125" r="CG65"/>
      <c s="125" r="CH65"/>
      <c s="125" r="CI65"/>
      <c s="125" r="CJ65"/>
      <c s="125" r="CK65"/>
      <c s="125" r="CL65"/>
    </row>
    <row r="66">
      <c s="822" r="A66"/>
      <c s="56" r="B66"/>
      <c s="673" r="C66"/>
      <c t="s" s="336" r="D66">
        <v>199</v>
      </c>
      <c t="str" s="240" r="E66">
        <f>IF(OR((R$16=1),(R$16=2)),AC40,IF(OR((R$53=1),(R$53=2)),AC77,IF(OR((AL$20=1),(AL$20=2)),AW79,IF((R$16=3),AC40,IF((R$53=3),AC77,IF(OR((AL$20=2),(AL$20=3)),AW43,"---"))))))</f>
        <v>---</v>
      </c>
      <c t="str" s="97" r="F66">
        <f>IF((AL$19=2),AW115,"---")</f>
        <v>---</v>
      </c>
      <c s="97" r="G66"/>
      <c s="97" r="H66"/>
      <c t="str" s="316" r="I66">
        <f>IF(($R$16=3),AC40,IF(($R$53=3),AC77,IF(($AI$38&gt;0),AW43,"---")))</f>
        <v>---</v>
      </c>
      <c s="388" r="J66"/>
      <c s="460" r="K66"/>
      <c t="s" s="18" r="L66">
        <v>513</v>
      </c>
      <c t="str" s="658" r="M66">
        <f>180&amp;"  -"</f>
        <v>180  -</v>
      </c>
      <c s="672" r="N66">
        <v>256</v>
      </c>
      <c s="550" r="O66"/>
      <c t="str" s="42" r="P66">
        <f>(O66/O$72)+(SUM(O$48:O65)/O$72)</f>
        <v>#DIV/0!:divZero</v>
      </c>
      <c t="str" s="619" r="Q66">
        <f>IF(OR((SUM(O$48:O67)=0),(SUM(O66:O$71)=0)),NA(),P66)</f>
        <v>#N/A:explicit</v>
      </c>
      <c s="140" r="R66"/>
      <c s="908" r="S66"/>
      <c s="551" r="T66"/>
      <c s="551" r="U66"/>
      <c s="551" r="V66"/>
      <c s="551" r="W66"/>
      <c s="551" r="X66"/>
      <c s="551" r="Y66"/>
      <c s="551" r="Z66"/>
      <c s="551" r="AA66"/>
      <c s="551" r="AB66"/>
      <c s="671" r="AC66"/>
      <c s="702" r="AD66"/>
      <c s="409" r="AE66"/>
      <c t="s" s="8" r="AF66">
        <v>507</v>
      </c>
      <c t="str" s="595" r="AG66">
        <f>90&amp;"  -"</f>
        <v>90  -</v>
      </c>
      <c s="411" r="AH66">
        <v>128</v>
      </c>
      <c s="550" r="AI66"/>
      <c t="str" s="42" r="AJ66">
        <f>(AI66/AI$74)+AJ65</f>
        <v>#DIV/0!:divZero</v>
      </c>
      <c t="str" s="619" r="AK66">
        <f>IF(OR((SUM(AI$50:AI67)=0),(SUM(AI66:AI$73)=0)),NA(),AJ66)</f>
        <v>#N/A:explicit</v>
      </c>
      <c s="140" r="AL66"/>
      <c s="908" r="AM66"/>
      <c s="551" r="AN66"/>
      <c s="551" r="AO66"/>
      <c s="551" r="AP66"/>
      <c s="551" r="AQ66"/>
      <c s="551" r="AR66"/>
      <c s="551" r="AS66"/>
      <c s="551" r="AT66"/>
      <c s="551" r="AU66"/>
      <c s="551" r="AV66"/>
      <c s="671" r="AW66"/>
      <c s="702" r="AX66"/>
      <c s="908" r="AY66"/>
      <c s="640" r="AZ66"/>
      <c s="640" r="BA66"/>
      <c s="640" r="BB66"/>
      <c s="640" r="BC66"/>
      <c s="640" r="BD66"/>
      <c s="688" r="BE66"/>
      <c t="str" s="513" r="BF66">
        <f>IF((BB63&gt;0),0.84,NA())</f>
        <v>#N/A:explicit</v>
      </c>
      <c s="409" r="BG66"/>
      <c t="s" s="569" r="BH66">
        <v>533</v>
      </c>
      <c t="str" s="52" r="BI66">
        <f>IF((BF52=0),"---",(ROUND((BF52/(10^TRUNC(LOG(BF52)))),(2-IF((BF52&gt;1),1,0)))*(10^TRUNC(LOG(BF52)))))</f>
        <v>---</v>
      </c>
      <c s="551" r="BJ66"/>
      <c t="s" s="569" r="BK66">
        <v>534</v>
      </c>
      <c t="str" s="52" r="BL66">
        <f>IF((BF55=0),"---",(ROUND((BF55/(10^TRUNC(LOG(BF55)))),(2-IF((BF55&gt;1),1,0)))*(10^TRUNC(LOG(BF55)))))</f>
        <v>---</v>
      </c>
      <c s="551" r="BM66"/>
      <c s="37" r="BN66"/>
      <c s="776" r="BO66"/>
      <c s="671" r="BP66"/>
      <c s="51" r="BQ66"/>
      <c s="125" r="BR66"/>
      <c s="125" r="BS66"/>
      <c s="125" r="BT66"/>
      <c s="125" r="BU66"/>
      <c s="125" r="BV66"/>
      <c s="125" r="BW66"/>
      <c s="125" r="BX66"/>
      <c s="125" r="BY66"/>
      <c s="125" r="BZ66"/>
      <c s="125" r="CA66"/>
      <c s="125" r="CB66"/>
      <c s="125" r="CC66"/>
      <c s="125" r="CD66"/>
      <c s="125" r="CE66"/>
      <c s="125" r="CF66"/>
      <c s="125" r="CG66"/>
      <c s="125" r="CH66"/>
      <c s="125" r="CI66"/>
      <c s="125" r="CJ66"/>
      <c s="125" r="CK66"/>
      <c s="125" r="CL66"/>
    </row>
    <row r="67">
      <c s="822" r="A67"/>
      <c s="594" r="B67"/>
      <c s="701" r="C67"/>
      <c t="s" s="853" r="D67">
        <v>201</v>
      </c>
      <c t="str" s="785" r="E67">
        <f>IF(ISBLANK(BS12),BS112,BS12)</f>
        <v>---</v>
      </c>
      <c s="349" r="F67"/>
      <c s="349" r="G67"/>
      <c s="349" r="H67"/>
      <c s="405" r="I67"/>
      <c s="388" r="J67"/>
      <c s="511" r="K67"/>
      <c t="s" s="416" r="L67">
        <v>516</v>
      </c>
      <c t="str" s="73" r="M67">
        <f>256&amp;"  -"</f>
        <v>256  -</v>
      </c>
      <c s="860" r="N67">
        <v>362</v>
      </c>
      <c s="550" r="O67"/>
      <c t="str" s="42" r="P67">
        <f>(O67/O$72)+(SUM(O$48:O66)/O$72)</f>
        <v>#DIV/0!:divZero</v>
      </c>
      <c t="str" s="619" r="Q67">
        <f>IF(OR((SUM(O$48:O68)=0),(SUM(O67:O$71)=0)),NA(),P67)</f>
        <v>#N/A:explicit</v>
      </c>
      <c s="140" r="R67"/>
      <c s="908" r="S67"/>
      <c s="551" r="T67"/>
      <c s="551" r="U67"/>
      <c s="551" r="V67"/>
      <c s="551" r="W67"/>
      <c s="551" r="X67"/>
      <c s="551" r="Y67"/>
      <c s="551" r="Z67"/>
      <c s="551" r="AA67"/>
      <c s="551" r="AB67"/>
      <c s="671" r="AC67"/>
      <c s="702" r="AD67"/>
      <c s="409" r="AE67"/>
      <c t="s" s="8" r="AF67">
        <v>510</v>
      </c>
      <c t="str" s="595" r="AG67">
        <f>128&amp;"  -"</f>
        <v>128  -</v>
      </c>
      <c s="411" r="AH67">
        <v>180</v>
      </c>
      <c s="550" r="AI67"/>
      <c t="str" s="42" r="AJ67">
        <f>(AI67/AI$74)+AJ66</f>
        <v>#DIV/0!:divZero</v>
      </c>
      <c t="str" s="619" r="AK67">
        <f>IF(OR((SUM(AI$50:AI68)=0),(SUM(AI67:AI$73)=0)),NA(),AJ67)</f>
        <v>#N/A:explicit</v>
      </c>
      <c s="140" r="AL67"/>
      <c s="908" r="AM67"/>
      <c s="551" r="AN67"/>
      <c s="551" r="AO67"/>
      <c s="551" r="AP67"/>
      <c s="551" r="AQ67"/>
      <c s="551" r="AR67"/>
      <c s="551" r="AS67"/>
      <c s="551" r="AT67"/>
      <c s="551" r="AU67"/>
      <c s="551" r="AV67"/>
      <c s="671" r="AW67"/>
      <c s="702" r="AX67"/>
      <c t="str" s="307" r="AY67">
        <f>IF((BB63=0),"",IF((INDEX(BB46:BB62,MATCH(MAX(AY46:AY62),AY46:AY62,1))=0),"","Enter sieve size that passed 100% of sample."))</f>
        <v/>
      </c>
      <c s="551" r="AZ67"/>
      <c s="551" r="BA67"/>
      <c s="551" r="BB67"/>
      <c s="551" r="BC67"/>
      <c s="551" r="BD67"/>
      <c s="671" r="BE67"/>
      <c t="str" s="513" r="BF67">
        <f>BF66</f>
        <v>#N/A:explicit</v>
      </c>
      <c s="409" r="BG67"/>
      <c s="551" r="BH67"/>
      <c s="551" r="BI67"/>
      <c s="551" r="BJ67"/>
      <c s="551" r="BK67"/>
      <c s="551" r="BL67"/>
      <c s="551" r="BM67"/>
      <c s="37" r="BN67"/>
      <c s="776" r="BO67"/>
      <c s="671" r="BP67"/>
      <c s="51" r="BQ67"/>
      <c s="125" r="BR67"/>
      <c s="125" r="BS67"/>
      <c s="125" r="BT67"/>
      <c s="125" r="BU67"/>
      <c s="125" r="BV67"/>
      <c s="125" r="BW67"/>
      <c s="125" r="BX67"/>
      <c s="125" r="BY67"/>
      <c s="125" r="BZ67"/>
      <c s="125" r="CA67"/>
      <c s="125" r="CB67"/>
      <c s="125" r="CC67"/>
      <c s="125" r="CD67"/>
      <c s="125" r="CE67"/>
      <c s="125" r="CF67"/>
      <c s="125" r="CG67"/>
      <c s="125" r="CH67"/>
      <c s="125" r="CI67"/>
      <c s="125" r="CJ67"/>
      <c s="125" r="CK67"/>
      <c s="125" r="CL67"/>
    </row>
    <row r="68">
      <c s="125" r="A68"/>
      <c s="442" r="B68"/>
      <c s="442" r="C68"/>
      <c s="442" r="D68"/>
      <c s="442" r="E68"/>
      <c s="442" r="F68"/>
      <c s="442" r="G68"/>
      <c s="442" r="H68"/>
      <c s="442" r="I68"/>
      <c s="765" r="J68"/>
      <c s="409" r="K68"/>
      <c t="s" s="8" r="L68">
        <v>516</v>
      </c>
      <c t="str" s="595" r="M68">
        <f>362&amp;"  -"</f>
        <v>362  -</v>
      </c>
      <c s="411" r="N68">
        <v>512</v>
      </c>
      <c s="550" r="O68"/>
      <c t="str" s="42" r="P68">
        <f>(O68/O$72)+(SUM(O$48:O67)/O$72)</f>
        <v>#DIV/0!:divZero</v>
      </c>
      <c t="str" s="619" r="Q68">
        <f>IF(OR((SUM(O$48:O69)=0),(SUM(O68:O$71)=0)),NA(),P68)</f>
        <v>#N/A:explicit</v>
      </c>
      <c s="72" r="R68"/>
      <c s="908" r="S68"/>
      <c s="551" r="T68"/>
      <c s="551" r="U68"/>
      <c s="551" r="V68"/>
      <c s="551" r="W68"/>
      <c s="551" r="X68"/>
      <c s="551" r="Y68"/>
      <c s="551" r="Z68"/>
      <c s="551" r="AA68"/>
      <c s="551" r="AB68"/>
      <c s="671" r="AC68"/>
      <c s="702" r="AD68"/>
      <c s="460" r="AE68"/>
      <c t="s" s="18" r="AF68">
        <v>513</v>
      </c>
      <c t="str" s="658" r="AG68">
        <f>180&amp;"  -"</f>
        <v>180  -</v>
      </c>
      <c s="672" r="AH68">
        <v>256</v>
      </c>
      <c s="550" r="AI68"/>
      <c t="str" s="42" r="AJ68">
        <f>(AI68/AI$74)+AJ67</f>
        <v>#DIV/0!:divZero</v>
      </c>
      <c t="str" s="619" r="AK68">
        <f>IF(OR((SUM(AI$50:AI69)=0),(SUM(AI68:AI$73)=0)),NA(),AJ68)</f>
        <v>#N/A:explicit</v>
      </c>
      <c s="140" r="AL68"/>
      <c s="908" r="AM68"/>
      <c s="551" r="AN68"/>
      <c s="551" r="AO68"/>
      <c s="551" r="AP68"/>
      <c s="551" r="AQ68"/>
      <c s="551" r="AR68"/>
      <c s="551" r="AS68"/>
      <c s="551" r="AT68"/>
      <c s="551" r="AU68"/>
      <c s="551" r="AV68"/>
      <c s="671" r="AW68"/>
      <c s="702" r="AX68"/>
      <c s="20" r="AY68"/>
      <c s="414" r="AZ68"/>
      <c s="414" r="BA68"/>
      <c s="414" r="BB68"/>
      <c s="414" r="BC68"/>
      <c s="414" r="BD68"/>
      <c s="397" r="BE68"/>
      <c s="513" r="BF68">
        <v>0</v>
      </c>
      <c s="759" r="BG68"/>
      <c s="414" r="BH68"/>
      <c s="414" r="BI68"/>
      <c s="685" r="BJ68"/>
      <c s="685" r="BK68"/>
      <c s="685" r="BL68"/>
      <c s="667" r="BM68"/>
      <c s="667" r="BN68"/>
      <c s="667" r="BO68"/>
      <c s="233" r="BP68"/>
      <c s="51" r="BQ68"/>
      <c s="125" r="BR68"/>
      <c s="125" r="BS68"/>
      <c s="125" r="BT68"/>
      <c s="125" r="BU68"/>
      <c s="125" r="BV68"/>
      <c s="125" r="BW68"/>
      <c s="125" r="BX68"/>
      <c s="125" r="BY68"/>
      <c s="125" r="BZ68"/>
      <c s="125" r="CA68"/>
      <c s="125" r="CB68"/>
      <c s="125" r="CC68"/>
      <c s="125" r="CD68"/>
      <c s="125" r="CE68"/>
      <c s="125" r="CF68"/>
      <c s="125" r="CG68"/>
      <c s="125" r="CH68"/>
      <c s="125" r="CI68"/>
      <c s="125" r="CJ68"/>
      <c s="125" r="CK68"/>
      <c s="125" r="CL68"/>
    </row>
    <row r="69">
      <c s="125" r="A69"/>
      <c s="125" r="B69"/>
      <c s="125" r="C69"/>
      <c s="125" r="D69"/>
      <c s="125" r="E69"/>
      <c s="125" r="F69"/>
      <c s="125" r="G69"/>
      <c s="125" r="H69"/>
      <c s="125" r="I69"/>
      <c s="765" r="J69"/>
      <c s="409" r="K69"/>
      <c t="s" s="8" r="L69">
        <v>518</v>
      </c>
      <c t="str" s="595" r="M69">
        <f>512&amp;"  -"</f>
        <v>512  -</v>
      </c>
      <c s="411" r="N69">
        <v>1024</v>
      </c>
      <c s="550" r="O69"/>
      <c t="str" s="42" r="P69">
        <f>(O69/O$72)+(SUM(O$48:O68)/O$72)</f>
        <v>#DIV/0!:divZero</v>
      </c>
      <c t="str" s="619" r="Q69">
        <f>IF(OR((SUM(O$48:O70)=0),(SUM(O69:O$71)=0)),NA(),P69)</f>
        <v>#N/A:explicit</v>
      </c>
      <c s="140" r="R69">
        <v>0.01</v>
      </c>
      <c s="908" r="S69"/>
      <c s="551" r="T69"/>
      <c s="551" r="U69"/>
      <c s="551" r="V69"/>
      <c s="551" r="W69"/>
      <c s="551" r="X69"/>
      <c s="551" r="Y69"/>
      <c s="551" r="Z69"/>
      <c s="551" r="AA69"/>
      <c s="551" r="AB69"/>
      <c s="671" r="AC69"/>
      <c s="702" r="AD69"/>
      <c s="511" r="AE69"/>
      <c t="s" s="416" r="AF69">
        <v>516</v>
      </c>
      <c t="str" s="73" r="AG69">
        <f>256&amp;"  -"</f>
        <v>256  -</v>
      </c>
      <c s="860" r="AH69">
        <v>362</v>
      </c>
      <c s="550" r="AI69"/>
      <c t="str" s="42" r="AJ69">
        <f>(AI69/AI$74)+AJ68</f>
        <v>#DIV/0!:divZero</v>
      </c>
      <c t="str" s="619" r="AK69">
        <f>IF(OR((SUM(AI$50:AI70)=0),(SUM(AI69:AI$73)=0)),NA(),AJ69)</f>
        <v>#N/A:explicit</v>
      </c>
      <c s="140" r="AL69"/>
      <c s="908" r="AM69"/>
      <c s="551" r="AN69"/>
      <c s="551" r="AO69"/>
      <c s="551" r="AP69"/>
      <c s="551" r="AQ69"/>
      <c s="551" r="AR69"/>
      <c s="551" r="AS69"/>
      <c s="551" r="AT69"/>
      <c s="551" r="AU69"/>
      <c s="551" r="AV69"/>
      <c s="671" r="AW69"/>
      <c s="51" r="AX69"/>
      <c s="442" r="AY69"/>
      <c s="442" r="AZ69"/>
      <c s="442" r="BA69"/>
      <c s="442" r="BB69"/>
      <c s="442" r="BC69"/>
      <c s="442" r="BD69"/>
      <c s="442" r="BE69"/>
      <c s="498" r="BF69"/>
      <c s="338" r="BG69"/>
      <c s="442" r="BH69"/>
      <c s="442" r="BI69"/>
      <c s="442" r="BJ69"/>
      <c s="442" r="BK69"/>
      <c s="442" r="BL69"/>
      <c s="442" r="BM69"/>
      <c s="442" r="BN69"/>
      <c s="442" r="BO69"/>
      <c s="442" r="BP69"/>
      <c s="125" r="BQ69"/>
      <c s="30" r="BR69"/>
      <c s="30" r="BS69"/>
      <c s="125" r="BT69"/>
      <c s="125" r="BU69"/>
      <c s="125" r="BV69"/>
      <c s="125" r="BW69"/>
      <c s="125" r="BX69"/>
      <c s="125" r="BY69"/>
      <c s="125" r="BZ69"/>
      <c s="125" r="CA69"/>
      <c s="125" r="CB69"/>
      <c s="125" r="CC69"/>
      <c s="125" r="CD69"/>
      <c s="125" r="CE69"/>
      <c s="125" r="CF69"/>
      <c s="125" r="CG69"/>
      <c s="125" r="CH69"/>
      <c s="125" r="CI69"/>
      <c s="125" r="CJ69"/>
      <c s="125" r="CK69"/>
      <c s="125" r="CL69"/>
    </row>
    <row r="70">
      <c s="125" r="A70"/>
      <c s="125" r="B70"/>
      <c s="125" r="C70"/>
      <c s="125" r="D70"/>
      <c s="125" r="E70"/>
      <c s="125" r="F70"/>
      <c s="125" r="G70"/>
      <c s="125" r="H70"/>
      <c s="125" r="I70"/>
      <c s="765" r="J70"/>
      <c s="409" r="K70"/>
      <c t="s" s="8" r="L70">
        <v>520</v>
      </c>
      <c t="str" s="595" r="M70">
        <f>1024&amp;"  -"</f>
        <v>1024  -</v>
      </c>
      <c s="411" r="N70">
        <v>2048</v>
      </c>
      <c s="550" r="O70"/>
      <c t="str" s="42" r="P70">
        <f>(O70/O$72)+(SUM(O$48:O69)/O$72)</f>
        <v>#DIV/0!:divZero</v>
      </c>
      <c t="str" s="619" r="Q70">
        <f>IF(OR((SUM(O$48:O71)=0),(SUM(O70:O$71)=0)),NA(),P70)</f>
        <v>#N/A:explicit</v>
      </c>
      <c t="str" s="140" r="R70">
        <f>U76</f>
        <v>---</v>
      </c>
      <c s="908" r="S70"/>
      <c s="551" r="T70"/>
      <c s="551" r="U70"/>
      <c s="551" r="V70"/>
      <c s="551" r="W70"/>
      <c s="551" r="X70"/>
      <c s="551" r="Y70"/>
      <c s="551" r="Z70"/>
      <c s="551" r="AA70"/>
      <c s="551" r="AB70"/>
      <c s="671" r="AC70"/>
      <c s="702" r="AD70"/>
      <c s="409" r="AE70"/>
      <c t="s" s="8" r="AF70">
        <v>516</v>
      </c>
      <c t="str" s="595" r="AG70">
        <f>362&amp;"  -"</f>
        <v>362  -</v>
      </c>
      <c s="411" r="AH70">
        <v>512</v>
      </c>
      <c s="550" r="AI70"/>
      <c t="str" s="42" r="AJ70">
        <f>(AI70/AI$74)+AJ69</f>
        <v>#DIV/0!:divZero</v>
      </c>
      <c t="str" s="619" r="AK70">
        <f>IF(OR((SUM(AI$50:AI71)=0),(SUM(AI70:AI$73)=0)),NA(),AJ70)</f>
        <v>#N/A:explicit</v>
      </c>
      <c s="140" r="AL70"/>
      <c s="908" r="AM70"/>
      <c s="551" r="AN70"/>
      <c s="551" r="AO70"/>
      <c s="551" r="AP70"/>
      <c s="551" r="AQ70"/>
      <c s="551" r="AR70"/>
      <c s="551" r="AS70"/>
      <c s="551" r="AT70"/>
      <c s="551" r="AU70"/>
      <c s="551" r="AV70"/>
      <c s="671" r="AW70"/>
      <c s="51" r="AX70"/>
      <c s="125" r="AY70"/>
      <c s="125" r="AZ70"/>
      <c s="125" r="BA70"/>
      <c s="125" r="BB70"/>
      <c s="125" r="BC70"/>
      <c s="125" r="BD70"/>
      <c s="125" r="BE70"/>
      <c s="118" r="BF70"/>
      <c s="761" r="BG70"/>
      <c s="125" r="BH70"/>
      <c s="125" r="BI70"/>
      <c s="125" r="BJ70"/>
      <c s="125" r="BK70"/>
      <c s="125" r="BL70"/>
      <c s="125" r="BM70"/>
      <c s="125" r="BN70"/>
      <c t="s" s="125" r="BO70">
        <v>2</v>
      </c>
      <c s="125" r="BP70"/>
      <c s="125" r="BQ70"/>
      <c s="125" r="BR70"/>
      <c s="125" r="BS70"/>
      <c s="125" r="BT70"/>
      <c s="125" r="BU70"/>
      <c s="125" r="BV70"/>
      <c s="125" r="BW70"/>
      <c s="125" r="BX70"/>
      <c s="125" r="BY70"/>
      <c s="125" r="BZ70"/>
      <c s="125" r="CA70"/>
      <c s="125" r="CB70"/>
      <c s="125" r="CC70"/>
      <c s="125" r="CD70"/>
      <c s="125" r="CE70"/>
      <c s="125" r="CF70"/>
      <c s="125" r="CG70"/>
      <c s="125" r="CH70"/>
      <c s="125" r="CI70"/>
      <c s="125" r="CJ70"/>
      <c s="125" r="CK70"/>
      <c s="125" r="CL70"/>
    </row>
    <row r="71">
      <c s="125" r="A71"/>
      <c s="125" r="B71"/>
      <c s="125" r="C71"/>
      <c s="125" r="D71"/>
      <c s="125" r="E71"/>
      <c s="125" r="F71"/>
      <c s="125" r="G71"/>
      <c s="125" r="H71"/>
      <c s="125" r="I71"/>
      <c s="765" r="J71"/>
      <c s="340" r="K71"/>
      <c t="s" s="759" r="L71">
        <v>522</v>
      </c>
      <c t="str" s="820" r="M71">
        <f>2048&amp;"  -"</f>
        <v>2048  -</v>
      </c>
      <c s="565" r="N71">
        <v>4096</v>
      </c>
      <c s="550" r="O71"/>
      <c t="str" s="42" r="P71">
        <f>(O71/O$72)+(SUM(O$48:O70)/O$72)</f>
        <v>#DIV/0!:divZero</v>
      </c>
      <c t="str" s="619" r="Q71">
        <f>IF(OR((SUM(O$48:O72)=0),(SUM(O71:O$71)=0)),NA(),P71)</f>
        <v>#N/A:explicit</v>
      </c>
      <c t="str" s="140" r="R71">
        <f>U76</f>
        <v>---</v>
      </c>
      <c s="908" r="S71"/>
      <c s="551" r="T71"/>
      <c s="551" r="U71"/>
      <c s="551" r="V71"/>
      <c s="551" r="W71"/>
      <c s="551" r="X71"/>
      <c s="551" r="Y71"/>
      <c s="551" r="Z71"/>
      <c s="551" r="AA71"/>
      <c s="551" r="AB71"/>
      <c s="671" r="AC71"/>
      <c s="702" r="AD71"/>
      <c s="409" r="AE71"/>
      <c t="s" s="8" r="AF71">
        <v>518</v>
      </c>
      <c t="str" s="595" r="AG71">
        <f>512&amp;"  -"</f>
        <v>512  -</v>
      </c>
      <c s="411" r="AH71">
        <v>1024</v>
      </c>
      <c s="550" r="AI71"/>
      <c t="str" s="42" r="AJ71">
        <f>(AI71/AI$74)+AJ70</f>
        <v>#DIV/0!:divZero</v>
      </c>
      <c t="str" s="619" r="AK71">
        <f>IF(OR((SUM(AI$50:AI72)=0),(SUM(AI71:AI$73)=0)),NA(),AJ71)</f>
        <v>#N/A:explicit</v>
      </c>
      <c s="140" r="AL71">
        <v>0.01</v>
      </c>
      <c s="908" r="AM71"/>
      <c s="551" r="AN71"/>
      <c s="551" r="AO71"/>
      <c s="551" r="AP71"/>
      <c s="551" r="AQ71"/>
      <c s="551" r="AR71"/>
      <c s="551" r="AS71"/>
      <c s="551" r="AT71"/>
      <c s="551" r="AU71"/>
      <c s="551" r="AV71"/>
      <c s="671" r="AW71"/>
      <c s="51" r="AX71"/>
      <c s="30" r="AY71"/>
      <c s="30" r="AZ71"/>
      <c s="30" r="BA71"/>
      <c s="30" r="BB71"/>
      <c s="30" r="BC71"/>
      <c s="30" r="BD71"/>
      <c s="30" r="BE71"/>
      <c s="118" r="BF71"/>
      <c s="30" r="BG71"/>
      <c s="30" r="BH71"/>
      <c s="30" r="BI71"/>
      <c s="30" r="BJ71"/>
      <c s="30" r="BK71"/>
      <c s="30" r="BL71"/>
      <c s="30" r="BM71"/>
      <c s="30" r="BN71"/>
      <c s="30" r="BO71"/>
      <c s="30" r="BP71"/>
      <c s="125" r="BQ71"/>
      <c s="125" r="BR71"/>
      <c s="125" r="BS71"/>
      <c s="125" r="BT71"/>
      <c s="125" r="BU71"/>
      <c s="125" r="BV71"/>
      <c s="125" r="BW71"/>
      <c s="125" r="BX71"/>
      <c s="125" r="BY71"/>
      <c s="125" r="BZ71"/>
      <c s="125" r="CA71"/>
      <c s="125" r="CB71"/>
      <c s="125" r="CC71"/>
      <c s="125" r="CD71"/>
      <c s="125" r="CE71"/>
      <c s="125" r="CF71"/>
      <c s="125" r="CG71"/>
      <c s="125" r="CH71"/>
      <c s="125" r="CI71"/>
      <c s="125" r="CJ71"/>
      <c s="125" r="CK71"/>
      <c s="125" r="CL71"/>
    </row>
    <row r="72">
      <c s="125" r="A72"/>
      <c s="125" r="B72"/>
      <c s="125" r="C72"/>
      <c s="125" r="D72"/>
      <c s="125" r="E72"/>
      <c s="125" r="F72"/>
      <c s="125" r="G72"/>
      <c s="125" r="H72"/>
      <c s="125" r="I72"/>
      <c s="223" r="J72"/>
      <c s="178" r="K72"/>
      <c s="640" r="L72"/>
      <c s="213" r="M72"/>
      <c t="s" s="65" r="N72">
        <v>532</v>
      </c>
      <c s="897" r="O72">
        <f>SUM(O48:O71)</f>
        <v>0</v>
      </c>
      <c t="s" s="767" r="P72">
        <v>503</v>
      </c>
      <c s="732" r="Q72"/>
      <c t="str" s="140" r="R72">
        <f>IF((O72&gt;0),0.5,NA())</f>
        <v>#N/A:explicit</v>
      </c>
      <c s="908" r="S72"/>
      <c s="551" r="T72"/>
      <c s="551" r="U72"/>
      <c s="551" r="V72"/>
      <c s="551" r="W72"/>
      <c s="551" r="X72"/>
      <c s="551" r="Y72"/>
      <c s="551" r="Z72"/>
      <c s="551" r="AA72"/>
      <c s="551" r="AB72"/>
      <c s="671" r="AC72"/>
      <c s="702" r="AD72"/>
      <c s="409" r="AE72"/>
      <c t="s" s="8" r="AF72">
        <v>520</v>
      </c>
      <c t="str" s="595" r="AG72">
        <f>1024&amp;"  -"</f>
        <v>1024  -</v>
      </c>
      <c s="411" r="AH72">
        <v>2048</v>
      </c>
      <c s="550" r="AI72"/>
      <c t="str" s="42" r="AJ72">
        <f>(AI72/AI$74)+AJ71</f>
        <v>#DIV/0!:divZero</v>
      </c>
      <c t="str" s="619" r="AK72">
        <f>IF(OR((SUM(AI$50:AI73)=0),(SUM(AI72:AI$73)=0)),NA(),AJ72)</f>
        <v>#N/A:explicit</v>
      </c>
      <c t="str" s="140" r="AL72">
        <f>AO78</f>
        <v>---</v>
      </c>
      <c s="908" r="AM72"/>
      <c s="551" r="AN72"/>
      <c s="551" r="AO72"/>
      <c s="551" r="AP72"/>
      <c s="551" r="AQ72"/>
      <c s="551" r="AR72"/>
      <c s="551" r="AS72"/>
      <c s="551" r="AT72"/>
      <c s="551" r="AU72"/>
      <c s="551" r="AV72"/>
      <c s="671" r="AW72"/>
      <c s="51" r="AX72"/>
      <c s="125" r="AY72"/>
      <c s="125" r="AZ72"/>
      <c s="125" r="BA72"/>
      <c s="125" r="BB72"/>
      <c s="125" r="BC72"/>
      <c s="125" r="BD72"/>
      <c s="125" r="BE72"/>
      <c s="341" r="BF72"/>
      <c s="761" r="BG72"/>
      <c s="125" r="BH72"/>
      <c s="125" r="BI72"/>
      <c s="125" r="BJ72"/>
      <c s="125" r="BK72"/>
      <c s="125" r="BL72"/>
      <c s="125" r="BM72"/>
      <c s="125" r="BN72"/>
      <c s="125" r="BO72"/>
      <c s="125" r="BP72"/>
      <c s="125" r="BQ72"/>
      <c s="125" r="BR72"/>
      <c s="125" r="BS72"/>
      <c s="125" r="BT72"/>
      <c s="125" r="BU72"/>
      <c s="125" r="BV72"/>
      <c s="125" r="BW72"/>
      <c s="125" r="BX72"/>
      <c s="125" r="BY72"/>
      <c s="125" r="BZ72"/>
      <c s="125" r="CA72"/>
      <c s="125" r="CB72"/>
      <c s="125" r="CC72"/>
      <c s="125" r="CD72"/>
      <c s="125" r="CE72"/>
      <c s="125" r="CF72"/>
      <c s="125" r="CG72"/>
      <c s="125" r="CH72"/>
      <c s="125" r="CI72"/>
      <c s="125" r="CJ72"/>
      <c s="125" r="CK72"/>
      <c s="125" r="CL72"/>
    </row>
    <row r="73">
      <c s="125" r="A73"/>
      <c s="125" r="B73"/>
      <c s="125" r="C73"/>
      <c s="125" r="D73"/>
      <c s="125" r="E73"/>
      <c s="125" r="F73"/>
      <c s="125" r="G73"/>
      <c s="125" r="H73"/>
      <c s="125" r="I73"/>
      <c s="223" r="J73"/>
      <c s="908" r="K73"/>
      <c s="551" r="L73"/>
      <c s="551" r="M73"/>
      <c s="551" r="N73"/>
      <c s="397" r="O73"/>
      <c s="259" r="P73">
        <f>IF((O72=0),0,IF((P48&gt;=0.16),0.062,IF((SUMIF(P48:P71,"=.16")&gt;=1),INDEX(N48:N71,MATCH(0.16,P48:P71,0)),(2^(LOG((INDEX(N48:N71,MATCH(0.16,P48:P71,1))),2)+(((LOG((INDEX(N48:N71,(MATCH(0.16,P48:P71,1)+1))),2)-LOG((INDEX(N48:N71,MATCH(0.16,P48:P71,1))),2))*(0.16-INDEX(P48:P71,MATCH(0.16,P48:P71,1))))/(INDEX(P48:P71,(MATCH(0.16,P48:P71,1)+1))-INDEX(P48:P71,MATCH(0.16,P48:P71,1)))))))))</f>
        <v>0</v>
      </c>
      <c s="832" r="Q73"/>
      <c t="str" s="140" r="R73">
        <f>R72</f>
        <v>#N/A:explicit</v>
      </c>
      <c s="116" r="S73"/>
      <c t="s" s="680" r="T73">
        <v>525</v>
      </c>
      <c s="680" r="U73"/>
      <c s="551" r="V73"/>
      <c t="s" s="680" r="W73">
        <v>535</v>
      </c>
      <c s="680" r="X73"/>
      <c s="551" r="Y73"/>
      <c s="414" r="Z73"/>
      <c t="s" s="414" r="AA73">
        <v>536</v>
      </c>
      <c s="414" r="AB73"/>
      <c s="671" r="AC73"/>
      <c s="702" r="AD73"/>
      <c s="759" r="AE73"/>
      <c t="s" s="538" r="AF73">
        <v>522</v>
      </c>
      <c t="str" s="820" r="AG73">
        <f>2048&amp;"  -"</f>
        <v>2048  -</v>
      </c>
      <c s="565" r="AH73">
        <v>4096</v>
      </c>
      <c s="550" r="AI73"/>
      <c t="str" s="42" r="AJ73">
        <f>(AI73/AI$74)+AJ72</f>
        <v>#DIV/0!:divZero</v>
      </c>
      <c t="str" s="619" r="AK73">
        <f>IF(OR((SUM(AI$50:AI74)=0),(SUM(AI73:AI$73)=0)),NA(),AJ73)</f>
        <v>#N/A:explicit</v>
      </c>
      <c t="str" s="140" r="AL73">
        <f>AO78</f>
        <v>---</v>
      </c>
      <c s="582" r="AM73"/>
      <c s="8" r="AN73"/>
      <c s="52" r="AO73"/>
      <c s="8" r="AP73"/>
      <c s="551" r="AQ73"/>
      <c s="472" r="AR73"/>
      <c s="551" r="AS73"/>
      <c s="52" r="AT73"/>
      <c s="551" r="AU73"/>
      <c s="551" r="AV73"/>
      <c s="671" r="AW73"/>
      <c s="51" r="AX73"/>
      <c s="125" r="AY73"/>
      <c s="125" r="AZ73"/>
      <c s="125" r="BA73"/>
      <c s="125" r="BB73"/>
      <c s="125" r="BC73"/>
      <c s="125" r="BD73"/>
      <c s="125" r="BE73"/>
      <c s="341" r="BF73"/>
      <c s="761" r="BG73"/>
      <c s="125" r="BH73"/>
      <c s="125" r="BI73"/>
      <c s="125" r="BJ73"/>
      <c s="125" r="BK73"/>
      <c s="125" r="BL73"/>
      <c s="125" r="BM73"/>
      <c s="125" r="BN73"/>
      <c s="125" r="BO73"/>
      <c s="125" r="BP73"/>
      <c s="125" r="BQ73"/>
      <c s="125" r="BR73"/>
      <c s="125" r="BS73"/>
      <c s="125" r="BT73"/>
      <c s="125" r="BU73"/>
      <c s="125" r="BV73"/>
      <c s="125" r="BW73"/>
      <c s="125" r="BX73"/>
      <c s="125" r="BY73"/>
      <c s="125" r="BZ73"/>
      <c s="125" r="CA73"/>
      <c s="125" r="CB73"/>
      <c s="125" r="CC73"/>
      <c s="125" r="CD73"/>
      <c s="125" r="CE73"/>
      <c s="125" r="CF73"/>
      <c s="125" r="CG73"/>
      <c s="125" r="CH73"/>
      <c s="125" r="CI73"/>
      <c s="125" r="CJ73"/>
      <c s="125" r="CK73"/>
      <c s="125" r="CL73"/>
    </row>
    <row customHeight="1" s="30" customFormat="1" r="74" ht="15.0">
      <c s="125" r="A74"/>
      <c s="125" r="B74"/>
      <c s="125" r="C74"/>
      <c s="125" r="D74"/>
      <c s="125" r="E74"/>
      <c s="125" r="F74"/>
      <c s="125" r="G74"/>
      <c s="125" r="H74"/>
      <c s="125" r="I74"/>
      <c s="223" r="J74"/>
      <c s="424" r="K74"/>
      <c t="s" s="37" r="L74">
        <v>537</v>
      </c>
      <c t="str" s="67" r="M74">
        <f>"---------------------"</f>
        <v>---------------------</v>
      </c>
      <c s="671" r="N74"/>
      <c s="598" r="O74"/>
      <c s="259" r="P74">
        <f>IF((O72=0),0,IF((P48&gt;=0.35),0.062,IF((SUMIF(P48:P71,"=.35")&gt;=1),INDEX(N48:N71,MATCH(0.35,P48:P71,0)),(2^(LOG((INDEX(N48:N71,MATCH(0.35,P48:P71,1))),2)+(((LOG((INDEX(N48:N71,(MATCH(0.35,P48:P71,1)+1))),2)-LOG((INDEX(N48:N71,MATCH(0.35,P48:P71,1))),2))*(0.35-INDEX(P48:P71,MATCH(0.35,P48:P71,1))))/(INDEX(P48:P71,(MATCH(0.35,P48:P71,1)+1))-INDEX(P48:P71,MATCH(0.35,P48:P71,1)))))))))</f>
        <v>0</v>
      </c>
      <c s="95" r="Q74"/>
      <c s="140" r="R74">
        <v>0</v>
      </c>
      <c s="116" r="S74"/>
      <c t="s" s="155" r="T74">
        <v>526</v>
      </c>
      <c t="str" s="736" r="U74">
        <f>IF((O72=0),"---",(ROUND((P73/(10^TRUNC(LOG(P73)))),(2-IF((P73&gt;1),1,0)))*(10^TRUNC(LOG(P73)))))</f>
        <v>---</v>
      </c>
      <c s="52" r="V74">
        <v>3.4</v>
      </c>
      <c t="s" s="155" r="W74">
        <v>538</v>
      </c>
      <c t="str" s="13" r="X74">
        <f>IF(ISNUMBER((U74*U78)),((U74*U78)^0.5),"---")</f>
        <v>---</v>
      </c>
      <c s="551" r="Y74"/>
      <c t="s" s="417" r="Z74">
        <v>469</v>
      </c>
      <c t="str" s="290" r="AA74">
        <f>IF(O78,((O48)/O78),"---")</f>
        <v>---</v>
      </c>
      <c t="str" s="403" r="AB74">
        <f>IF((O74&gt;0),"bedrock","")</f>
        <v/>
      </c>
      <c t="str" s="26" r="AC74">
        <f>IF((O74&gt;0),(O74/O78),"")</f>
        <v/>
      </c>
      <c s="702" r="AD74"/>
      <c s="178" r="AE74"/>
      <c s="640" r="AF74"/>
      <c s="213" r="AG74"/>
      <c t="s" s="65" r="AH74">
        <v>532</v>
      </c>
      <c s="897" r="AI74">
        <f>SUM(AI50:AI73)</f>
        <v>0</v>
      </c>
      <c t="s" s="42" r="AJ74">
        <v>503</v>
      </c>
      <c s="619" r="AK74"/>
      <c t="str" s="140" r="AL74">
        <f>IF((AI74&gt;0),0.5,NA())</f>
        <v>#N/A:explicit</v>
      </c>
      <c s="585" r="AM74"/>
      <c s="271" r="AN74"/>
      <c s="271" r="AO74"/>
      <c s="271" r="AP74"/>
      <c s="271" r="AQ74"/>
      <c s="271" r="AR74"/>
      <c s="271" r="AS74"/>
      <c s="271" r="AT74"/>
      <c s="271" r="AU74"/>
      <c s="271" r="AV74"/>
      <c s="354" r="AW74"/>
      <c s="51" r="AX74"/>
      <c s="125" r="AY74"/>
      <c s="125" r="AZ74"/>
      <c s="125" r="BA74"/>
      <c s="125" r="BB74"/>
      <c s="125" r="BC74"/>
      <c s="125" r="BD74"/>
      <c s="125" r="BE74"/>
      <c s="341" r="BF74"/>
      <c s="761" r="BG74"/>
      <c s="125" r="BH74"/>
      <c s="125" r="BI74"/>
      <c s="125" r="BJ74"/>
      <c s="125" r="BK74"/>
      <c s="125" r="BL74"/>
      <c s="125" r="BM74"/>
      <c s="125" r="BN74"/>
      <c s="125" r="BO74"/>
      <c s="125" r="BP74"/>
      <c s="125" r="BQ74"/>
      <c s="125" r="BR74"/>
      <c s="125" r="BS74"/>
      <c s="125" r="BT74"/>
      <c s="125" r="BU74"/>
      <c s="125" r="BV74"/>
      <c s="125" r="BW74"/>
      <c s="125" r="BX74"/>
      <c s="125" r="BY74"/>
      <c s="125" r="BZ74"/>
      <c s="125" r="CA74"/>
      <c s="125" r="CB74"/>
      <c s="125" r="CC74"/>
      <c s="125" r="CD74"/>
      <c s="125" r="CE74"/>
      <c s="125" r="CF74"/>
      <c s="125" r="CG74"/>
      <c s="125" r="CH74"/>
      <c s="125" r="CI74"/>
      <c s="125" r="CJ74"/>
      <c s="125" r="CK74"/>
      <c s="125" r="CL74"/>
    </row>
    <row r="75">
      <c s="125" r="A75"/>
      <c s="125" r="B75"/>
      <c s="125" r="C75"/>
      <c s="125" r="D75"/>
      <c s="30" r="E75"/>
      <c s="125" r="F75"/>
      <c s="125" r="G75"/>
      <c s="125" r="H75"/>
      <c s="125" r="I75"/>
      <c s="223" r="J75"/>
      <c s="424" r="K75"/>
      <c t="s" s="37" r="L75">
        <v>539</v>
      </c>
      <c t="str" s="67" r="M75">
        <f>"---------------------"</f>
        <v>---------------------</v>
      </c>
      <c s="671" r="N75"/>
      <c s="598" r="O75"/>
      <c s="259" r="P75">
        <f>IF((O72=0),0,IF((P48&gt;=0.5),0.062,IF((SUMIF(P48:P71,"=.5")&gt;=1),INDEX(N48:N71,MATCH(0.5,P48:P71,0)),(2^(LOG((INDEX(N48:N71,MATCH(0.5,P48:P71,1))),2)+(((LOG((INDEX(N48:N71,(MATCH(0.5,P48:P71,1)+1))),2)-LOG((INDEX(N48:N71,MATCH(0.5,P48:P71,1))),2))*(0.5-INDEX(P48:P71,MATCH(0.5,P48:P71,1))))/(INDEX(P48:P71,(MATCH(0.5,P48:P71,1)+1))-INDEX(P48:P71,MATCH(0.5,P48:P71,1)))))))))</f>
        <v>0</v>
      </c>
      <c s="95" r="Q75"/>
      <c s="140" r="R75">
        <v>0.01</v>
      </c>
      <c s="116" r="S75"/>
      <c t="s" s="766" r="T75">
        <v>530</v>
      </c>
      <c t="str" s="52" r="U75">
        <f>IF((O72=0),"---",(ROUND((P74/(10^TRUNC(LOG(P74)))),(2-IF((P74&gt;1),1,0)))*(10^TRUNC(LOG(P74)))))</f>
        <v>---</v>
      </c>
      <c s="52" r="V75">
        <v>12</v>
      </c>
      <c t="s" s="766" r="W75">
        <v>183</v>
      </c>
      <c t="str" s="258" r="X75">
        <f>IF(ISNUMBER(((U78/U76)+(U76/U74))),(((U78/U76)+(U76/U74))/2),"---")</f>
        <v>---</v>
      </c>
      <c s="551" r="Y75"/>
      <c t="s" s="37" r="Z75">
        <v>528</v>
      </c>
      <c t="str" s="776" r="AA75">
        <f>IF(O78,(SUM(O49:O53)/O78),"---")</f>
        <v>---</v>
      </c>
      <c t="str" s="37" r="AB75">
        <f>IF((O75&gt;0),"hardpan","")</f>
        <v/>
      </c>
      <c t="str" s="26" r="AC75">
        <f>IF((O75&gt;0),(O75/O78),"")</f>
        <v/>
      </c>
      <c s="702" r="AD75"/>
      <c s="908" r="AE75"/>
      <c s="551" r="AF75"/>
      <c s="551" r="AG75"/>
      <c s="551" r="AH75"/>
      <c s="397" r="AI75"/>
      <c s="259" r="AJ75">
        <f>IF((AI74=0),0,IF((AJ50&gt;=0.16),0.062,IF((SUMIF(AJ50:AJ73,"=.16")&gt;=1),INDEX(AH50:AH73,MATCH(0.16,AJ50:AJ73,0)),(2^(LOG((INDEX(AH50:AH73,MATCH(0.16,AJ50:AJ73,1))),2)+(((LOG((INDEX(AH50:AH73,(MATCH(0.16,AJ50:AJ73,1)+1))),2)-LOG((INDEX(AH50:AH73,MATCH(0.16,AJ50:AJ73,1))),2))*(0.16-INDEX(AJ50:AJ73,MATCH(0.16,AJ50:AJ73,1))))/(INDEX(AJ50:AJ73,(MATCH(0.16,AJ50:AJ73,1)+1))-INDEX(AJ50:AJ73,MATCH(0.16,AJ50:AJ73,1)))))))))</f>
        <v>0</v>
      </c>
      <c s="832" r="AK75"/>
      <c t="str" s="140" r="AL75">
        <f>AL74</f>
        <v>#N/A:explicit</v>
      </c>
      <c s="908" r="AM75"/>
      <c t="s" s="680" r="AN75">
        <v>525</v>
      </c>
      <c s="680" r="AO75"/>
      <c s="551" r="AP75"/>
      <c t="s" s="680" r="AQ75">
        <v>535</v>
      </c>
      <c s="680" r="AR75"/>
      <c s="551" r="AS75"/>
      <c s="414" r="AT75"/>
      <c t="s" s="414" r="AU75">
        <v>536</v>
      </c>
      <c s="414" r="AV75"/>
      <c s="671" r="AW75"/>
      <c s="51" r="AX75"/>
      <c s="125" r="AY75"/>
      <c s="125" r="AZ75"/>
      <c s="125" r="BA75"/>
      <c s="125" r="BB75"/>
      <c s="125" r="BC75"/>
      <c s="125" r="BD75"/>
      <c s="125" r="BE75"/>
      <c s="341" r="BF75"/>
      <c s="761" r="BG75"/>
      <c s="125" r="BH75"/>
      <c s="125" r="BI75"/>
      <c s="125" r="BJ75"/>
      <c s="125" r="BK75"/>
      <c s="125" r="BL75"/>
      <c s="125" r="BM75"/>
      <c s="125" r="BN75"/>
      <c s="125" r="BO75"/>
      <c s="125" r="BP75"/>
      <c s="125" r="BQ75"/>
      <c s="125" r="BR75"/>
      <c s="125" r="BS75"/>
      <c s="125" r="BT75"/>
      <c s="125" r="BU75"/>
      <c s="125" r="BV75"/>
      <c s="125" r="BW75"/>
      <c s="125" r="BX75"/>
      <c s="125" r="BY75"/>
      <c s="125" r="BZ75"/>
      <c s="125" r="CA75"/>
      <c s="125" r="CB75"/>
      <c s="125" r="CC75"/>
      <c s="125" r="CD75"/>
      <c s="125" r="CE75"/>
      <c s="125" r="CF75"/>
      <c s="125" r="CG75"/>
      <c s="125" r="CH75"/>
      <c s="125" r="CI75"/>
      <c s="125" r="CJ75"/>
      <c s="125" r="CK75"/>
      <c s="125" r="CL75"/>
    </row>
    <row r="76">
      <c s="30" r="A76"/>
      <c s="125" r="B76"/>
      <c s="125" r="C76"/>
      <c s="125" r="D76"/>
      <c s="125" r="E76"/>
      <c t="s" s="125" r="F76">
        <v>2</v>
      </c>
      <c s="125" r="G76"/>
      <c s="125" r="H76"/>
      <c s="125" r="I76"/>
      <c s="223" r="J76"/>
      <c s="424" r="K76"/>
      <c t="s" s="37" r="L76">
        <v>541</v>
      </c>
      <c t="str" s="67" r="M76">
        <f>"---------------------"</f>
        <v>---------------------</v>
      </c>
      <c s="671" r="N76"/>
      <c s="598" r="O76"/>
      <c s="259" r="P76">
        <f>IF((O72=0),0,IF((P48&gt;=0.65),0.062,IF((SUMIF(P48:P71,"=.65")&gt;=1),INDEX(N48:N71,MATCH(0.65,P48:P71,0)),(2^(LOG((INDEX(N48:N71,MATCH(0.65,P48:P71,1))),2)+(((LOG((INDEX(N48:N71,(MATCH(0.65,P48:P71,1)+1))),2)-LOG((INDEX(N48:N71,MATCH(0.65,P48:P71,1))),2))*(0.65-INDEX(P48:P71,MATCH(0.65,P48:P71,1))))/(INDEX(P48:P71,(MATCH(0.65,P48:P71,1)+1))-INDEX(P48:P71,MATCH(0.65,P48:P71,1)))))))))</f>
        <v>0</v>
      </c>
      <c s="832" r="Q76"/>
      <c t="str" s="140" r="R76">
        <f>U78</f>
        <v>---</v>
      </c>
      <c s="116" r="S76"/>
      <c t="s" s="766" r="T76">
        <v>533</v>
      </c>
      <c t="str" s="52" r="U76">
        <f>IF((O72=0),"---",(ROUND((P75/(10^TRUNC(LOG(P75)))),(2-IF((P75&gt;1),1,0)))*(10^TRUNC(LOG(P75)))))</f>
        <v>---</v>
      </c>
      <c s="52" r="V76">
        <v>17</v>
      </c>
      <c t="s" s="766" r="W76">
        <v>185</v>
      </c>
      <c t="str" s="4" r="X76">
        <f>IF(ISNUMBER((U78*U74)),IF((U78=U74),"---",(LOG((((U78*U74)^0.5)/U76))/(LOG((U78/U74))^0.5))),"---")</f>
        <v>---</v>
      </c>
      <c s="551" r="Y76"/>
      <c t="s" s="37" r="Z76">
        <v>542</v>
      </c>
      <c t="str" s="776" r="AA76">
        <f>IF(O78,(SUM(O54:O62)/O78),"---")</f>
        <v>---</v>
      </c>
      <c t="str" s="37" r="AB76">
        <f>IF((O76&gt;0),"wood/det","")</f>
        <v/>
      </c>
      <c t="str" s="26" r="AC76">
        <f>IF((O76&gt;0),(O76/O78),"")</f>
        <v/>
      </c>
      <c s="702" r="AD76"/>
      <c s="424" r="AE76"/>
      <c t="s" s="37" r="AF76">
        <v>537</v>
      </c>
      <c t="str" s="67" r="AG76">
        <f>"---------------------"</f>
        <v>---------------------</v>
      </c>
      <c s="390" r="AH76"/>
      <c s="598" r="AI76"/>
      <c s="259" r="AJ76">
        <f>IF((AI74=0),0,IF((AJ50&gt;=0.35),0.062,IF((SUMIF(AJ50:AJ73,"=.35")&gt;=1),INDEX(AH50:AH73,MATCH(0.35,AJ50:AJ73,0)),(2^(LOG((INDEX(AH50:AH73,MATCH(0.35,AJ50:AJ73,1))),2)+(((LOG((INDEX(AH50:AH73,(MATCH(0.35,AJ50:AJ73,1)+1))),2)-LOG((INDEX(AH50:AH73,MATCH(0.35,AJ50:AJ73,1))),2))*(0.35-INDEX(AJ50:AJ73,MATCH(0.35,AJ50:AJ73,1))))/(INDEX(AJ50:AJ73,(MATCH(0.35,AJ50:AJ73,1)+1))-INDEX(AJ50:AJ73,MATCH(0.35,AJ50:AJ73,1)))))))))</f>
        <v>0</v>
      </c>
      <c s="95" r="AK76"/>
      <c s="140" r="AL76">
        <v>0</v>
      </c>
      <c s="116" r="AM76"/>
      <c t="s" s="155" r="AN76">
        <v>526</v>
      </c>
      <c t="str" s="736" r="AO76">
        <f>IF((AI74=0),"---",(ROUND((AJ75/(10^TRUNC(LOG(AJ75)))),(2-IF((AJ75&gt;1),1,0)))*(10^TRUNC(LOG(AJ75)))))</f>
        <v>---</v>
      </c>
      <c s="551" r="AP76"/>
      <c t="s" s="168" r="AQ76">
        <v>538</v>
      </c>
      <c t="str" s="13" r="AR76">
        <f>IF(ISNUMBER((AO76*AO80)),((AO76*AO80)^0.5),"---")</f>
        <v>---</v>
      </c>
      <c s="518" r="AS76"/>
      <c t="s" s="403" r="AT76">
        <v>469</v>
      </c>
      <c t="str" s="200" r="AU76">
        <f>IF(AI80,((AI50)/AI80),"---")</f>
        <v>---</v>
      </c>
      <c t="str" s="403" r="AV76">
        <f>IF((AI76&gt;0),"bedrock","")</f>
        <v/>
      </c>
      <c t="str" s="26" r="AW76">
        <f>IF((AI76&gt;0),(AI76/AI80),"")</f>
        <v/>
      </c>
      <c s="51" r="AX76"/>
      <c s="125" r="AY76"/>
      <c s="125" r="AZ76"/>
      <c s="125" r="BA76"/>
      <c s="125" r="BB76"/>
      <c s="125" r="BC76"/>
      <c s="125" r="BD76"/>
      <c s="125" r="BE76"/>
      <c s="341" r="BF76"/>
      <c s="761" r="BG76"/>
      <c s="125" r="BH76"/>
      <c s="125" r="BI76"/>
      <c s="125" r="BJ76"/>
      <c s="125" r="BK76"/>
      <c s="125" r="BL76"/>
      <c s="125" r="BM76"/>
      <c s="125" r="BN76"/>
      <c s="125" r="BO76"/>
      <c s="125" r="BP76"/>
      <c s="125" r="BQ76"/>
      <c s="125" r="BR76"/>
      <c s="125" r="BS76"/>
      <c s="125" r="BT76"/>
      <c s="125" r="BU76"/>
      <c s="125" r="BV76"/>
      <c s="125" r="BW76"/>
      <c s="125" r="BX76"/>
      <c s="125" r="BY76"/>
      <c s="125" r="BZ76"/>
      <c s="125" r="CA76"/>
      <c s="125" r="CB76"/>
      <c s="125" r="CC76"/>
      <c s="125" r="CD76"/>
      <c s="125" r="CE76"/>
      <c s="125" r="CF76"/>
      <c s="125" r="CG76"/>
      <c s="125" r="CH76"/>
      <c s="125" r="CI76"/>
      <c s="125" r="CJ76"/>
      <c s="125" r="CK76"/>
      <c s="125" r="CL76"/>
    </row>
    <row r="77">
      <c s="125" r="A77"/>
      <c s="30" r="B77"/>
      <c s="125" r="C77"/>
      <c s="125" r="D77"/>
      <c s="125" r="E77"/>
      <c s="125" r="F77"/>
      <c s="125" r="G77"/>
      <c s="125" r="H77"/>
      <c s="125" r="I77"/>
      <c s="223" r="J77"/>
      <c s="63" r="K77"/>
      <c t="s" s="298" r="L77">
        <v>543</v>
      </c>
      <c t="str" s="220" r="M77">
        <f>"---------------------"</f>
        <v>---------------------</v>
      </c>
      <c s="397" r="N77"/>
      <c s="598" r="O77"/>
      <c s="259" r="P77">
        <f>IF((O72=0),0,IF((P48&gt;=0.84),0.062,IF((SUMIF(P48:P71,"=.84")&gt;=1),INDEX(N48:N71,MATCH(0.84,P48:P71,0)),(2^(LOG((INDEX(N48:N71,MATCH(0.84,P48:P71,1))),2)+(((LOG((INDEX(N48:N71,(MATCH(0.84,P48:P71,1)+1))),2)-LOG((INDEX(N48:N71,MATCH(0.84,P48:P71,1))),2))*(0.84-INDEX(P48:P71,MATCH(0.84,P48:P71,1))))/(INDEX(P48:P71,(MATCH(0.84,P48:P71,1)+1))-INDEX(P48:P71,MATCH(0.84,P48:P71,1)))))))))</f>
        <v>0</v>
      </c>
      <c s="832" r="Q77"/>
      <c t="str" s="140" r="R77">
        <f>U78</f>
        <v>---</v>
      </c>
      <c s="116" r="S77"/>
      <c t="s" s="766" r="T77">
        <v>527</v>
      </c>
      <c t="str" s="52" r="U77">
        <f>IF((O72=0),"---",(ROUND((P76/(10^TRUNC(LOG(P76)))),(2-IF((P76&gt;1),1,0)))*(10^TRUNC(LOG(P76)))))</f>
        <v>---</v>
      </c>
      <c s="52" r="V77">
        <v>20</v>
      </c>
      <c s="551" r="W77"/>
      <c s="551" r="X77"/>
      <c s="551" r="Y77"/>
      <c t="s" s="37" r="Z77">
        <v>544</v>
      </c>
      <c t="str" s="776" r="AA77">
        <f>IF(O78,(SUM(O63:O66)/O78),"---")</f>
        <v>---</v>
      </c>
      <c t="str" s="37" r="AB77">
        <f>IF((O77&gt;0),"artificial","")</f>
        <v/>
      </c>
      <c t="str" s="26" r="AC77">
        <f>IF((O77&gt;0),(O77/O78),"")</f>
        <v/>
      </c>
      <c s="702" r="AD77"/>
      <c s="424" r="AE77"/>
      <c t="s" s="37" r="AF77">
        <v>539</v>
      </c>
      <c t="str" s="67" r="AG77">
        <f>"---------------------"</f>
        <v>---------------------</v>
      </c>
      <c s="390" r="AH77"/>
      <c s="598" r="AI77"/>
      <c s="259" r="AJ77">
        <f>IF((AI74=0),0,IF((AJ50&gt;=0.5),0.062,IF((SUMIF(AJ50:AJ73,"=.5")&gt;=1),INDEX(AH50:AH73,MATCH(0.5,AJ50:AJ73,0)),(2^(LOG((INDEX(AH50:AH73,MATCH(0.5,AJ50:AJ73,1))),2)+(((LOG((INDEX(AH50:AH73,(MATCH(0.5,AJ50:AJ73,1)+1))),2)-LOG((INDEX(AH50:AH73,MATCH(0.5,AJ50:AJ73,1))),2))*(0.5-INDEX(AJ50:AJ73,MATCH(0.5,AJ50:AJ73,1))))/(INDEX(AJ50:AJ73,(MATCH(0.5,AJ50:AJ73,1)+1))-INDEX(AJ50:AJ73,MATCH(0.5,AJ50:AJ73,1)))))))))</f>
        <v>0</v>
      </c>
      <c s="282" r="AK77"/>
      <c s="140" r="AL77">
        <v>0.01</v>
      </c>
      <c s="116" r="AM77"/>
      <c t="s" s="766" r="AN77">
        <v>530</v>
      </c>
      <c t="str" s="52" r="AO77">
        <f>IF((AI74=0),"---",(ROUND((AJ76/(10^TRUNC(LOG(AJ76)))),(2-IF((AJ76&gt;1),1,0)))*(10^TRUNC(LOG(AJ76)))))</f>
        <v>---</v>
      </c>
      <c s="551" r="AP77"/>
      <c t="s" s="569" r="AQ77">
        <v>183</v>
      </c>
      <c t="str" s="258" r="AR77">
        <f>IF(ISNUMBER(((AO80/AO78)+(AO78/AO76))),(((AO80/AO78)+(AO78/AO76))/2),"---")</f>
        <v>---</v>
      </c>
      <c s="518" r="AS77"/>
      <c t="s" s="294" r="AT77">
        <v>528</v>
      </c>
      <c t="str" s="479" r="AU77">
        <f>IF(AI80,(SUM(AI51:AI55)/AI80),"---")</f>
        <v>---</v>
      </c>
      <c t="str" s="37" r="AV77">
        <f>IF((AI77&gt;0),"hardpan","")</f>
        <v/>
      </c>
      <c t="str" s="26" r="AW77">
        <f>IF((AI77&gt;0),(AI77/AI80),"")</f>
        <v/>
      </c>
      <c s="857" r="AX77"/>
      <c s="125" r="AY77"/>
      <c s="125" r="AZ77"/>
      <c s="125" r="BA77"/>
      <c s="125" r="BB77"/>
      <c s="125" r="BC77"/>
      <c s="125" r="BD77"/>
      <c s="125" r="BE77"/>
      <c s="341" r="BF77"/>
      <c s="761" r="BG77"/>
      <c s="125" r="BH77"/>
      <c s="125" r="BI77"/>
      <c s="125" r="BJ77"/>
      <c s="125" r="BK77"/>
      <c s="125" r="BL77"/>
      <c s="125" r="BM77"/>
      <c s="125" r="BN77"/>
      <c s="125" r="BO77"/>
      <c s="125" r="BP77"/>
      <c s="125" r="BQ77"/>
      <c s="125" r="BR77"/>
      <c s="125" r="BS77"/>
      <c s="125" r="BT77"/>
      <c s="125" r="BU77"/>
      <c s="125" r="BV77"/>
      <c s="125" r="BW77"/>
      <c s="125" r="BX77"/>
      <c s="125" r="BY77"/>
      <c s="125" r="BZ77"/>
      <c s="125" r="CA77"/>
      <c s="125" r="CB77"/>
      <c s="125" r="CC77"/>
      <c s="125" r="CD77"/>
      <c s="125" r="CE77"/>
      <c s="125" r="CF77"/>
      <c s="125" r="CG77"/>
      <c s="125" r="CH77"/>
      <c s="125" r="CI77"/>
      <c s="125" r="CJ77"/>
      <c s="125" r="CK77"/>
      <c s="125" r="CL77"/>
    </row>
    <row r="78">
      <c s="125" r="A78"/>
      <c s="125" r="B78"/>
      <c s="125" r="C78"/>
      <c s="125" r="D78"/>
      <c s="125" r="E78"/>
      <c s="125" r="F78"/>
      <c s="125" r="G78"/>
      <c s="125" r="H78"/>
      <c s="125" r="I78"/>
      <c s="223" r="J78"/>
      <c s="178" r="K78"/>
      <c s="640" r="L78"/>
      <c s="560" r="M78"/>
      <c t="s" s="232" r="N78">
        <v>545</v>
      </c>
      <c s="897" r="O78">
        <f>SUM(O48:O71)+SUM(O74:O77)</f>
        <v>0</v>
      </c>
      <c s="259" r="P78">
        <f>IF((O72=0),0,IF((P48&gt;=0.95),0.062,IF((SUMIF(P48:P71,"=.95")&gt;=1),INDEX(N48:N71,MATCH(0.95,P48:P71,0)),(2^(LOG((INDEX(N48:N71,MATCH(0.95,P48:P71,1))),2)+(((LOG((INDEX(N48:N71,(MATCH(0.95,P48:P71,1)+1))),2)-LOG((INDEX(N48:N71,MATCH(0.95,P48:P71,1))),2))*(0.95-INDEX(P48:P71,MATCH(0.95,P48:P71,1))))/(INDEX(P48:P71,(MATCH(0.95,P48:P71,1)+1))-INDEX(P48:P71,MATCH(0.95,P48:P71,1)))))))))</f>
        <v>0</v>
      </c>
      <c s="832" r="Q78"/>
      <c t="str" s="140" r="R78">
        <f>IF((O72&gt;0),0.84,NA())</f>
        <v>#N/A:explicit</v>
      </c>
      <c s="116" r="S78"/>
      <c t="s" s="766" r="T78">
        <v>531</v>
      </c>
      <c t="str" s="52" r="U78">
        <f>IF((O72=0),"---",(ROUND((P77/(10^TRUNC(LOG(P77)))),(2-IF((P77&gt;1),1,0)))*(10^TRUNC(LOG(P77)))))</f>
        <v>---</v>
      </c>
      <c s="52" r="V78">
        <v>29</v>
      </c>
      <c s="551" r="W78"/>
      <c s="551" r="X78"/>
      <c s="551" r="Y78"/>
      <c t="s" s="37" r="Z78">
        <v>546</v>
      </c>
      <c t="str" s="776" r="AA78">
        <f>IF(O78,(SUM(O67:O71)/O78),"---")</f>
        <v>---</v>
      </c>
      <c s="551" r="AB78"/>
      <c s="671" r="AC78"/>
      <c s="702" r="AD78"/>
      <c s="424" r="AE78"/>
      <c t="s" s="37" r="AF78">
        <v>541</v>
      </c>
      <c t="str" s="67" r="AG78">
        <f>"---------------------"</f>
        <v>---------------------</v>
      </c>
      <c s="390" r="AH78"/>
      <c s="598" r="AI78"/>
      <c s="259" r="AJ78">
        <f>IF((AI74=0),0,IF((AJ50&gt;=0.65),0.062,IF((SUMIF(AJ50:AJ73,"=.65")&gt;=1),INDEX(AH50:AH73,MATCH(0.65,AJ50:AJ73,0)),(2^(LOG((INDEX(AH50:AH73,MATCH(0.65,AJ50:AJ73,1))),2)+(((LOG((INDEX(AH50:AH73,(MATCH(0.65,AJ50:AJ73,1)+1))),2)-LOG((INDEX(AH50:AH73,MATCH(0.65,AJ50:AJ73,1))),2))*(0.65-INDEX(AJ50:AJ73,MATCH(0.65,AJ50:AJ73,1))))/(INDEX(AJ50:AJ73,(MATCH(0.65,AJ50:AJ73,1)+1))-INDEX(AJ50:AJ73,MATCH(0.65,AJ50:AJ73,1)))))))))</f>
        <v>0</v>
      </c>
      <c s="832" r="AK78"/>
      <c t="str" s="140" r="AL78">
        <f>AO80</f>
        <v>---</v>
      </c>
      <c s="116" r="AM78"/>
      <c t="s" s="766" r="AN78">
        <v>533</v>
      </c>
      <c t="str" s="52" r="AO78">
        <f>IF((AI74=0),"---",(ROUND((AJ77/(10^TRUNC(LOG(AJ77)))),(2-IF((AJ77&gt;1),1,0)))*(10^TRUNC(LOG(AJ77)))))</f>
        <v>---</v>
      </c>
      <c s="551" r="AP78"/>
      <c t="s" s="569" r="AQ78">
        <v>185</v>
      </c>
      <c t="str" s="4" r="AR78">
        <f>IF(ISNUMBER((AO80*AO76)),IF((AO80=AO76),"---",(LOG((((AO80*AO76)^0.5)/AO78))/(LOG((AO80/AO76))^0.5))),"---")</f>
        <v>---</v>
      </c>
      <c s="518" r="AS78"/>
      <c t="s" s="294" r="AT78">
        <v>542</v>
      </c>
      <c t="str" s="479" r="AU78">
        <f>IF(AI80,(SUM(AI56:AI64)/AI80),"---")</f>
        <v>---</v>
      </c>
      <c t="str" s="37" r="AV78">
        <f>IF((AI78&gt;0),"wood/det","")</f>
        <v/>
      </c>
      <c t="str" s="26" r="AW78">
        <f>IF((AI78&gt;0),(AI78/AI80),"")</f>
        <v/>
      </c>
      <c s="51" r="AX78"/>
      <c s="125" r="AY78"/>
      <c s="125" r="AZ78"/>
      <c s="125" r="BA78"/>
      <c s="125" r="BB78"/>
      <c s="125" r="BC78"/>
      <c s="125" r="BD78"/>
      <c s="125" r="BE78"/>
      <c s="341" r="BF78"/>
      <c s="761" r="BG78"/>
      <c s="125" r="BH78"/>
      <c s="125" r="BI78"/>
      <c s="125" r="BJ78"/>
      <c s="125" r="BK78"/>
      <c s="125" r="BL78"/>
      <c s="125" r="BM78"/>
      <c s="125" r="BN78"/>
      <c s="125" r="BO78"/>
      <c s="125" r="BP78"/>
      <c s="125" r="BQ78"/>
      <c s="125" r="BR78"/>
      <c s="125" r="BS78"/>
      <c s="125" r="BT78"/>
      <c s="125" r="BU78"/>
      <c s="125" r="BV78"/>
      <c s="125" r="BW78"/>
      <c s="125" r="BX78"/>
      <c s="125" r="BY78"/>
      <c s="125" r="BZ78"/>
      <c s="125" r="CA78"/>
      <c s="125" r="CB78"/>
      <c s="125" r="CC78"/>
      <c s="125" r="CD78"/>
      <c s="125" r="CE78"/>
      <c s="125" r="CF78"/>
      <c s="125" r="CG78"/>
      <c s="125" r="CH78"/>
      <c s="125" r="CI78"/>
      <c s="125" r="CJ78"/>
      <c s="125" r="CK78"/>
      <c s="125" r="CL78"/>
    </row>
    <row r="79">
      <c s="125" r="A79"/>
      <c s="125" r="B79"/>
      <c s="125" r="C79"/>
      <c s="125" r="D79"/>
      <c s="125" r="E79"/>
      <c s="125" r="F79"/>
      <c s="125" r="G79"/>
      <c s="125" r="H79"/>
      <c s="125" r="I79"/>
      <c s="223" r="J79"/>
      <c s="908" r="K79"/>
      <c s="414" r="L79"/>
      <c s="414" r="M79"/>
      <c s="414" r="N79"/>
      <c s="397" r="O79"/>
      <c s="119" r="P79"/>
      <c s="714" r="Q79"/>
      <c t="str" s="140" r="R79">
        <f>R78</f>
        <v>#N/A:explicit</v>
      </c>
      <c s="116" r="S79"/>
      <c t="s" s="766" r="T79">
        <v>534</v>
      </c>
      <c t="str" s="52" r="U79">
        <f>IF((O72=0),"---",(ROUND((P78/(10^TRUNC(LOG(P78)))),(2-IF((P78&gt;1),1,0)))*(10^TRUNC(LOG(P78)))))</f>
        <v>---</v>
      </c>
      <c s="50" r="V79">
        <v>39</v>
      </c>
      <c s="518" r="W79"/>
      <c s="518" r="X79"/>
      <c s="518" r="Y79"/>
      <c s="518" r="Z79"/>
      <c s="518" r="AA79"/>
      <c s="518" r="AB79"/>
      <c s="452" r="AC79"/>
      <c s="702" r="AD79"/>
      <c s="63" r="AE79"/>
      <c t="s" s="298" r="AF79">
        <v>543</v>
      </c>
      <c t="str" s="23" r="AG79">
        <f>"---------------------"</f>
        <v>---------------------</v>
      </c>
      <c s="218" r="AH79"/>
      <c s="598" r="AI79"/>
      <c s="259" r="AJ79">
        <f>IF((AI74=0),0,IF((AJ50&gt;=0.84),0.062,IF((SUMIF(AJ50:AJ73,"=.84")&gt;=1),INDEX(AH50:AH73,MATCH(0.84,AJ50:AJ73,0)),(2^(LOG((INDEX(AH50:AH73,MATCH(0.84,AJ50:AJ73,1))),2)+(((LOG((INDEX(AH50:AH73,(MATCH(0.84,AJ50:AJ73,1)+1))),2)-LOG((INDEX(AH50:AH73,MATCH(0.84,AJ50:AJ73,1))),2))*(0.84-INDEX(AJ50:AJ73,MATCH(0.84,AJ50:AJ73,1))))/(INDEX(AJ50:AJ73,(MATCH(0.84,AJ50:AJ73,1)+1))-INDEX(AJ50:AJ73,MATCH(0.84,AJ50:AJ73,1)))))))))</f>
        <v>0</v>
      </c>
      <c s="835" r="AK79"/>
      <c t="str" s="140" r="AL79">
        <f>AO80</f>
        <v>---</v>
      </c>
      <c s="116" r="AM79"/>
      <c t="s" s="766" r="AN79">
        <v>527</v>
      </c>
      <c t="str" s="52" r="AO79">
        <f>IF((AI74=0),"---",(ROUND((AJ78/(10^TRUNC(LOG(AJ78)))),(2-IF((AJ78&gt;1),1,0)))*(10^TRUNC(LOG(AJ78)))))</f>
        <v>---</v>
      </c>
      <c s="551" r="AP79"/>
      <c s="551" r="AQ79"/>
      <c s="551" r="AR79"/>
      <c s="518" r="AS79"/>
      <c t="s" s="294" r="AT79">
        <v>544</v>
      </c>
      <c t="str" s="479" r="AU79">
        <f>IF(AI80,(SUM(AI65:AI68)/AI80),"---")</f>
        <v>---</v>
      </c>
      <c t="str" s="37" r="AV79">
        <f>IF((AI79&gt;0),"artificial","")</f>
        <v/>
      </c>
      <c t="str" s="26" r="AW79">
        <f>IF((AI79&gt;0),(AI79/AI80),"")</f>
        <v/>
      </c>
      <c s="51" r="AX79"/>
      <c s="125" r="AY79"/>
      <c s="125" r="AZ79"/>
      <c s="125" r="BA79"/>
      <c s="125" r="BB79"/>
      <c s="125" r="BC79"/>
      <c s="125" r="BD79"/>
      <c s="125" r="BE79"/>
      <c s="341" r="BF79"/>
      <c s="761" r="BG79"/>
      <c s="125" r="BH79"/>
      <c s="125" r="BI79"/>
      <c s="125" r="BJ79"/>
      <c s="125" r="BK79"/>
      <c s="125" r="BL79"/>
      <c s="125" r="BM79"/>
      <c s="125" r="BN79"/>
      <c s="125" r="BO79"/>
      <c s="125" r="BP79"/>
      <c s="125" r="BQ79"/>
      <c s="125" r="BR79"/>
      <c s="125" r="BS79"/>
      <c s="125" r="BT79"/>
      <c s="125" r="BU79"/>
      <c s="125" r="BV79"/>
      <c s="125" r="BW79"/>
      <c s="125" r="BX79"/>
      <c s="125" r="BY79"/>
      <c s="125" r="BZ79"/>
      <c s="125" r="CA79"/>
      <c s="125" r="CB79"/>
      <c s="125" r="CC79"/>
      <c s="125" r="CD79"/>
      <c s="125" r="CE79"/>
      <c s="125" r="CF79"/>
      <c s="125" r="CG79"/>
      <c s="125" r="CH79"/>
      <c s="125" r="CI79"/>
      <c s="125" r="CJ79"/>
      <c s="125" r="CK79"/>
      <c s="125" r="CL79"/>
    </row>
    <row customHeight="1" r="80" ht="15.75">
      <c s="125" r="A80"/>
      <c s="125" r="B80"/>
      <c s="125" r="C80"/>
      <c s="125" r="D80"/>
      <c s="125" r="E80"/>
      <c s="125" r="F80"/>
      <c s="125" r="G80"/>
      <c s="125" r="H80"/>
      <c s="125" r="I80"/>
      <c s="223" r="J80"/>
      <c t="s" s="340" r="K80">
        <v>529</v>
      </c>
      <c s="669" r="L80"/>
      <c s="221" r="M80"/>
      <c s="647" r="N80"/>
      <c s="842" r="O80"/>
      <c s="119" r="P80"/>
      <c s="714" r="Q80"/>
      <c s="140" r="R80">
        <v>0</v>
      </c>
      <c s="533" r="S80"/>
      <c s="685" r="T80"/>
      <c s="685" r="U80"/>
      <c s="685" r="V80"/>
      <c s="685" r="W80"/>
      <c s="685" r="X80"/>
      <c s="685" r="Y80"/>
      <c s="685" r="Z80"/>
      <c s="685" r="AA80"/>
      <c s="685" r="AB80"/>
      <c s="877" r="AC80"/>
      <c s="702" r="AD80"/>
      <c s="178" r="AE80"/>
      <c s="640" r="AF80"/>
      <c s="640" r="AG80"/>
      <c t="s" s="232" r="AH80">
        <v>545</v>
      </c>
      <c s="897" r="AI80">
        <f>SUM(AI50:AI73)+SUM(AI76:AI79)</f>
        <v>0</v>
      </c>
      <c s="259" r="AJ80">
        <f>IF((AI74=0),0,IF((AJ50&gt;=0.95),0.062,IF((SUMIF(AJ50:AJ73,"=.95")&gt;=1),INDEX(AH50:AH73,MATCH(0.95,AJ50:AJ73,0)),(2^(LOG((INDEX(AH50:AH73,MATCH(0.95,AJ50:AJ73,1))),2)+(((LOG((INDEX(AH50:AH73,(MATCH(0.95,AJ50:AJ73,1)+1))),2)-LOG((INDEX(AH50:AH73,MATCH(0.95,AJ50:AJ73,1))),2))*(0.95-INDEX(AJ50:AJ73,MATCH(0.95,AJ50:AJ73,1))))/(INDEX(AJ50:AJ73,(MATCH(0.95,AJ50:AJ73,1)+1))-INDEX(AJ50:AJ73,MATCH(0.95,AJ50:AJ73,1)))))))))</f>
        <v>0</v>
      </c>
      <c s="835" r="AK80"/>
      <c t="str" s="140" r="AL80">
        <f>IF((AI74&gt;0),0.84,NA())</f>
        <v>#N/A:explicit</v>
      </c>
      <c s="116" r="AM80"/>
      <c t="s" s="766" r="AN80">
        <v>531</v>
      </c>
      <c t="str" s="52" r="AO80">
        <f>IF((AI74=0),"---",(ROUND((AJ79/(10^TRUNC(LOG(AJ79)))),(2-IF((AJ79&gt;1),1,0)))*(10^TRUNC(LOG(AJ79)))))</f>
        <v>---</v>
      </c>
      <c s="551" r="AP80"/>
      <c s="551" r="AQ80"/>
      <c s="551" r="AR80"/>
      <c s="518" r="AS80"/>
      <c t="s" s="294" r="AT80">
        <v>546</v>
      </c>
      <c t="str" s="479" r="AU80">
        <f>IF(AI80,(SUM(AI69:AI73)/AI80),"---")</f>
        <v>---</v>
      </c>
      <c s="518" r="AV80"/>
      <c s="452" r="AW80"/>
      <c s="51" r="AX80"/>
      <c s="125" r="AY80"/>
      <c s="125" r="AZ80"/>
      <c s="125" r="BA80"/>
      <c s="125" r="BB80"/>
      <c s="125" r="BC80"/>
      <c s="125" r="BD80"/>
      <c s="125" r="BE80"/>
      <c s="341" r="BF80"/>
      <c s="761" r="BG80"/>
      <c s="125" r="BH80"/>
      <c s="125" r="BI80"/>
      <c s="125" r="BJ80"/>
      <c s="125" r="BK80"/>
      <c s="125" r="BL80"/>
      <c s="125" r="BM80"/>
      <c s="125" r="BN80"/>
      <c s="125" r="BO80"/>
      <c s="125" r="BP80"/>
      <c s="125" r="BQ80"/>
      <c s="125" r="BR80"/>
      <c s="125" r="BS80"/>
      <c s="125" r="BT80"/>
      <c s="125" r="BU80"/>
      <c s="125" r="BV80"/>
      <c s="125" r="BW80"/>
      <c s="125" r="BX80"/>
      <c s="125" r="BY80"/>
      <c s="125" r="BZ80"/>
      <c s="125" r="CA80"/>
      <c s="125" r="CB80"/>
      <c s="125" r="CC80"/>
      <c s="125" r="CD80"/>
      <c s="125" r="CE80"/>
      <c s="125" r="CF80"/>
      <c s="125" r="CG80"/>
      <c s="125" r="CH80"/>
      <c s="125" r="CI80"/>
      <c s="125" r="CJ80"/>
      <c s="125" r="CK80"/>
      <c s="125" r="CL80"/>
    </row>
    <row customHeight="1" r="81" ht="13.5">
      <c s="125" r="A81"/>
      <c s="125" r="B81"/>
      <c s="125" r="C81"/>
      <c s="125" r="D81"/>
      <c s="125" r="E81"/>
      <c s="125" r="F81"/>
      <c s="125" r="G81"/>
      <c s="125" r="H81"/>
      <c s="125" r="I81"/>
      <c s="449" r="J81"/>
      <c s="442" r="K81"/>
      <c s="442" r="L81"/>
      <c s="442" r="M81"/>
      <c s="442" r="N81"/>
      <c s="442" r="O81"/>
      <c s="125" r="P81"/>
      <c s="125" r="Q81"/>
      <c s="125" r="R81"/>
      <c s="442" r="S81"/>
      <c s="442" r="T81"/>
      <c s="442" r="U81"/>
      <c s="442" r="V81"/>
      <c s="442" r="W81"/>
      <c s="442" r="X81"/>
      <c s="442" r="Y81"/>
      <c s="442" r="Z81"/>
      <c s="442" r="AA81"/>
      <c s="442" r="AB81"/>
      <c s="442" r="AC81"/>
      <c s="822" r="AD81"/>
      <c s="908" r="AE81"/>
      <c s="414" r="AF81"/>
      <c s="414" r="AG81"/>
      <c s="414" r="AH81"/>
      <c s="397" r="AI81"/>
      <c s="901" r="AJ81"/>
      <c s="291" r="AK81"/>
      <c t="str" s="140" r="AL81">
        <f>AL80</f>
        <v>#N/A:explicit</v>
      </c>
      <c s="116" r="AM81"/>
      <c t="s" s="766" r="AN81">
        <v>534</v>
      </c>
      <c t="str" s="52" r="AO81">
        <f>IF((AI74=0),"---",(ROUND((AJ80/(10^TRUNC(LOG(AJ80)))),(2-IF((AJ80&gt;1),1,0)))*(10^TRUNC(LOG(AJ80)))))</f>
        <v>---</v>
      </c>
      <c s="518" r="AP81"/>
      <c s="518" r="AQ81"/>
      <c s="518" r="AR81"/>
      <c s="518" r="AS81"/>
      <c s="518" r="AT81"/>
      <c s="518" r="AU81"/>
      <c s="518" r="AV81"/>
      <c s="452" r="AW81"/>
      <c t="s" s="51" r="AX81">
        <v>2</v>
      </c>
      <c s="125" r="AY81"/>
      <c s="125" r="AZ81"/>
      <c s="125" r="BA81"/>
      <c s="125" r="BB81"/>
      <c s="125" r="BC81"/>
      <c s="125" r="BD81"/>
      <c s="125" r="BE81"/>
      <c s="341" r="BF81"/>
      <c s="761" r="BG81"/>
      <c s="125" r="BH81"/>
      <c s="125" r="BI81"/>
      <c s="125" r="BJ81"/>
      <c s="125" r="BK81"/>
      <c s="125" r="BL81"/>
      <c s="125" r="BM81"/>
      <c s="125" r="BN81"/>
      <c s="125" r="BO81"/>
      <c s="125" r="BP81"/>
      <c s="125" r="BQ81"/>
      <c s="125" r="BR81"/>
      <c s="125" r="BS81"/>
      <c s="125" r="BT81"/>
      <c s="125" r="BU81"/>
      <c s="125" r="BV81"/>
      <c s="125" r="BW81"/>
      <c s="125" r="BX81"/>
      <c s="125" r="BY81"/>
      <c s="125" r="BZ81"/>
      <c s="125" r="CA81"/>
      <c s="125" r="CB81"/>
      <c s="125" r="CC81"/>
      <c s="125" r="CD81"/>
      <c s="125" r="CE81"/>
      <c s="125" r="CF81"/>
      <c s="125" r="CG81"/>
      <c s="125" r="CH81"/>
      <c s="125" r="CI81"/>
      <c s="125" r="CJ81"/>
      <c s="125" r="CK81"/>
      <c s="125" r="CL81"/>
    </row>
    <row customHeight="1" r="82" ht="13.5">
      <c s="125" r="A82"/>
      <c s="125" r="B82"/>
      <c s="125" r="C82"/>
      <c s="125" r="D82"/>
      <c s="125" r="E82"/>
      <c s="125" r="F82"/>
      <c s="125" r="G82"/>
      <c s="125" r="H82"/>
      <c s="125" r="I82"/>
      <c s="449" r="J82"/>
      <c s="125" r="K82"/>
      <c s="125" r="L82"/>
      <c s="125" r="M82"/>
      <c s="125" r="N82"/>
      <c s="125" r="O82"/>
      <c s="125" r="P82"/>
      <c s="125" r="Q82"/>
      <c s="125" r="R82"/>
      <c s="125" r="S82"/>
      <c s="125" r="T82"/>
      <c s="125" r="U82"/>
      <c s="125" r="V82"/>
      <c s="125" r="W82"/>
      <c s="125" r="X82"/>
      <c s="125" r="Y82"/>
      <c s="125" r="Z82"/>
      <c s="125" r="AA82"/>
      <c s="125" r="AB82"/>
      <c s="125" r="AC82"/>
      <c s="822" r="AD82"/>
      <c t="s" s="340" r="AE82">
        <v>529</v>
      </c>
      <c s="256" r="AF82"/>
      <c s="650" r="AG82"/>
      <c s="650" r="AH82"/>
      <c s="500" r="AI82"/>
      <c s="901" r="AJ82"/>
      <c s="291" r="AK82"/>
      <c s="140" r="AL82">
        <v>0</v>
      </c>
      <c s="533" r="AM82"/>
      <c s="685" r="AN82"/>
      <c s="685" r="AO82"/>
      <c s="685" r="AP82"/>
      <c s="685" r="AQ82"/>
      <c s="685" r="AR82"/>
      <c s="685" r="AS82"/>
      <c s="685" r="AT82"/>
      <c s="685" r="AU82"/>
      <c s="685" r="AV82"/>
      <c s="877" r="AW82"/>
      <c s="51" r="AX82"/>
      <c s="125" r="AY82"/>
      <c s="125" r="AZ82"/>
      <c s="125" r="BA82"/>
      <c s="125" r="BB82"/>
      <c s="125" r="BC82"/>
      <c s="125" r="BD82"/>
      <c s="125" r="BE82"/>
      <c s="341" r="BF82"/>
      <c s="761" r="BG82"/>
      <c s="125" r="BH82"/>
      <c s="125" r="BI82"/>
      <c s="125" r="BJ82"/>
      <c s="125" r="BK82"/>
      <c s="125" r="BL82"/>
      <c s="125" r="BM82"/>
      <c s="125" r="BN82"/>
      <c s="125" r="BO82"/>
      <c s="125" r="BP82"/>
      <c s="125" r="BQ82"/>
      <c s="125" r="BR82"/>
      <c s="125" r="BS82"/>
      <c s="125" r="BT82"/>
      <c s="125" r="BU82"/>
      <c s="125" r="BV82"/>
      <c s="125" r="BW82"/>
      <c s="125" r="BX82"/>
      <c s="125" r="BY82"/>
      <c s="125" r="BZ82"/>
      <c s="125" r="CA82"/>
      <c s="125" r="CB82"/>
      <c s="125" r="CC82"/>
      <c s="125" r="CD82"/>
      <c s="125" r="CE82"/>
      <c s="125" r="CF82"/>
      <c s="125" r="CG82"/>
      <c s="125" r="CH82"/>
      <c s="125" r="CI82"/>
      <c s="125" r="CJ82"/>
      <c s="125" r="CK82"/>
      <c s="125" r="CL82"/>
    </row>
    <row customHeight="1" r="83" ht="14.25">
      <c s="125" r="A83"/>
      <c s="125" r="B83"/>
      <c s="125" r="C83"/>
      <c s="125" r="D83"/>
      <c s="125" r="E83"/>
      <c s="125" r="F83"/>
      <c s="125" r="G83"/>
      <c s="125" r="H83"/>
      <c s="125" r="I83"/>
      <c s="125" r="J83"/>
      <c s="125" r="K83"/>
      <c s="125" r="L83"/>
      <c s="125" r="M83"/>
      <c s="125" r="N83"/>
      <c s="125" r="O83"/>
      <c s="125" r="P83"/>
      <c s="125" r="Q83"/>
      <c s="125" r="R83"/>
      <c s="125" r="S83"/>
      <c s="125" r="T83"/>
      <c s="125" r="U83"/>
      <c s="125" r="V83"/>
      <c s="125" r="W83"/>
      <c s="125" r="X83"/>
      <c s="125" r="Y83"/>
      <c s="125" r="Z83"/>
      <c s="125" r="AA83"/>
      <c s="125" r="AB83"/>
      <c s="125" r="AC83"/>
      <c s="318" r="AD83"/>
      <c s="191" r="AE83"/>
      <c s="803" r="AF83"/>
      <c s="386" r="AG83"/>
      <c s="412" r="AH83"/>
      <c s="412" r="AI83"/>
      <c s="62" r="AJ83"/>
      <c s="62" r="AK83"/>
      <c s="205" r="AL83"/>
      <c s="412" r="AM83"/>
      <c s="412" r="AN83"/>
      <c s="412" r="AO83"/>
      <c s="412" r="AP83"/>
      <c s="412" r="AQ83"/>
      <c s="412" r="AR83"/>
      <c s="412" r="AS83"/>
      <c s="412" r="AT83"/>
      <c s="412" r="AU83"/>
      <c s="412" r="AV83"/>
      <c s="412" r="AW83"/>
      <c s="125" r="AX83"/>
      <c s="125" r="AY83"/>
      <c s="125" r="AZ83"/>
      <c s="125" r="BA83"/>
      <c s="125" r="BB83"/>
      <c s="125" r="BC83"/>
      <c s="125" r="BD83"/>
      <c s="125" r="BE83"/>
      <c s="341" r="BF83"/>
      <c s="761" r="BG83"/>
      <c s="125" r="BH83"/>
      <c s="125" r="BI83"/>
      <c s="125" r="BJ83"/>
      <c s="125" r="BK83"/>
      <c s="125" r="BL83"/>
      <c s="125" r="BM83"/>
      <c s="125" r="BN83"/>
      <c s="125" r="BO83"/>
      <c s="125" r="BP83"/>
      <c s="125" r="BQ83"/>
      <c s="125" r="BR83"/>
      <c s="125" r="BS83"/>
      <c s="125" r="BT83"/>
      <c s="125" r="BU83"/>
      <c s="125" r="BV83"/>
      <c s="125" r="BW83"/>
      <c s="125" r="BX83"/>
      <c s="125" r="BY83"/>
      <c s="125" r="BZ83"/>
      <c s="125" r="CA83"/>
      <c s="125" r="CB83"/>
      <c s="125" r="CC83"/>
      <c s="125" r="CD83"/>
      <c s="125" r="CE83"/>
      <c s="125" r="CF83"/>
      <c s="125" r="CG83"/>
      <c s="125" r="CH83"/>
      <c s="125" r="CI83"/>
      <c s="125" r="CJ83"/>
      <c s="125" r="CK83"/>
      <c s="125" r="CL83"/>
    </row>
    <row customHeight="1" r="84" ht="13.5">
      <c s="125" r="A84"/>
      <c s="125" r="B84"/>
      <c s="125" r="C84"/>
      <c s="125" r="D84"/>
      <c s="125" r="E84"/>
      <c s="125" r="F84"/>
      <c s="125" r="G84"/>
      <c s="125" r="H84"/>
      <c s="125" r="I84"/>
      <c s="125" r="J84"/>
      <c s="125" r="K84"/>
      <c s="125" r="L84"/>
      <c s="125" r="M84"/>
      <c s="125" r="N84"/>
      <c s="125" r="O84"/>
      <c s="125" r="P84"/>
      <c s="125" r="Q84"/>
      <c s="125" r="R84"/>
      <c s="125" r="S84"/>
      <c s="125" r="T84"/>
      <c s="125" r="U84"/>
      <c s="125" r="V84"/>
      <c s="125" r="W84"/>
      <c s="125" r="X84"/>
      <c s="125" r="Y84"/>
      <c s="125" r="Z84"/>
      <c s="125" r="AA84"/>
      <c s="125" r="AB84"/>
      <c s="125" r="AC84"/>
      <c s="548" r="AD84"/>
      <c t="str" s="34" r="AE84">
        <f>IF((AL19=1),"Pool",IF((AL19=2),"Bank",IF((AL19=3),"Facies #2","")))</f>
        <v>Facies #2</v>
      </c>
      <c s="110" r="AF84"/>
      <c s="110" r="AG84"/>
      <c s="110" r="AH84"/>
      <c s="295" r="AI84"/>
      <c s="901" r="AJ84"/>
      <c s="291" r="AK84"/>
      <c s="140" r="AL84"/>
      <c s="178" r="AM84"/>
      <c s="863" r="AN84"/>
      <c s="640" r="AO84"/>
      <c s="693" r="AP84"/>
      <c s="693" r="AQ84"/>
      <c s="693" r="AR84"/>
      <c s="693" r="AS84"/>
      <c s="693" r="AT84"/>
      <c s="693" r="AU84"/>
      <c s="693" r="AV84"/>
      <c s="847" r="AW84"/>
      <c s="51" r="AX84"/>
      <c s="125" r="AY84"/>
      <c s="125" r="AZ84"/>
      <c s="125" r="BA84"/>
      <c s="125" r="BB84"/>
      <c s="125" r="BC84"/>
      <c s="125" r="BD84"/>
      <c s="125" r="BE84"/>
      <c s="341" r="BF84"/>
      <c s="761" r="BG84"/>
      <c s="125" r="BH84"/>
      <c s="125" r="BI84"/>
      <c s="125" r="BJ84"/>
      <c s="125" r="BK84"/>
      <c s="125" r="BL84"/>
      <c s="125" r="BM84"/>
      <c s="125" r="BN84"/>
      <c s="125" r="BO84"/>
      <c s="125" r="BP84"/>
      <c s="125" r="BQ84"/>
      <c s="125" r="BR84"/>
      <c s="125" r="BS84"/>
      <c s="125" r="BT84"/>
      <c s="125" r="BU84"/>
      <c s="125" r="BV84"/>
      <c s="125" r="BW84"/>
      <c s="125" r="BX84"/>
      <c s="125" r="BY84"/>
      <c s="125" r="BZ84"/>
      <c s="125" r="CA84"/>
      <c s="125" r="CB84"/>
      <c s="125" r="CC84"/>
      <c s="125" r="CD84"/>
      <c s="125" r="CE84"/>
      <c s="125" r="CF84"/>
      <c s="125" r="CG84"/>
      <c s="125" r="CH84"/>
      <c s="125" r="CI84"/>
      <c s="125" r="CJ84"/>
      <c s="125" r="CK84"/>
      <c s="125" r="CL84"/>
    </row>
    <row customHeight="1" r="85" ht="13.5">
      <c s="125" r="A85"/>
      <c s="125" r="B85"/>
      <c s="125" r="C85"/>
      <c s="125" r="D85"/>
      <c s="125" r="E85"/>
      <c s="125" r="F85"/>
      <c s="125" r="G85"/>
      <c s="125" r="H85"/>
      <c s="125" r="I85"/>
      <c s="125" r="J85"/>
      <c t="s" s="125" r="K85">
        <v>2</v>
      </c>
      <c s="125" r="L85"/>
      <c s="125" r="M85"/>
      <c s="125" r="N85"/>
      <c s="125" r="O85"/>
      <c s="125" r="P85"/>
      <c s="125" r="Q85"/>
      <c s="125" r="R85"/>
      <c s="125" r="S85"/>
      <c s="125" r="T85"/>
      <c s="125" r="U85"/>
      <c s="125" r="V85"/>
      <c s="125" r="W85"/>
      <c s="125" r="X85"/>
      <c s="125" r="Y85"/>
      <c s="125" r="Z85"/>
      <c s="125" r="AA85"/>
      <c s="125" r="AB85"/>
      <c s="125" r="AC85"/>
      <c s="548" r="AD85"/>
      <c s="376" r="AE85"/>
      <c t="s" s="440" r="AF85">
        <v>464</v>
      </c>
      <c t="s" s="93" r="AG85">
        <v>465</v>
      </c>
      <c s="645" r="AH85"/>
      <c t="s" s="66" r="AI85">
        <v>466</v>
      </c>
      <c s="872" r="AJ85"/>
      <c s="622" r="AK85"/>
      <c s="492" r="AL85"/>
      <c s="908" r="AM85"/>
      <c s="551" r="AN85"/>
      <c s="551" r="AO85"/>
      <c s="551" r="AP85"/>
      <c s="551" r="AQ85"/>
      <c s="551" r="AR85"/>
      <c s="551" r="AS85"/>
      <c s="551" r="AT85"/>
      <c s="551" r="AU85"/>
      <c s="551" r="AV85"/>
      <c s="671" r="AW85"/>
      <c s="51" r="AX85"/>
      <c s="125" r="AY85"/>
      <c s="125" r="AZ85"/>
      <c s="125" r="BA85"/>
      <c s="125" r="BB85"/>
      <c s="125" r="BC85"/>
      <c s="125" r="BD85"/>
      <c s="125" r="BE85"/>
      <c s="341" r="BF85"/>
      <c s="761" r="BG85"/>
      <c s="125" r="BH85"/>
      <c s="125" r="BI85"/>
      <c s="125" r="BJ85"/>
      <c s="125" r="BK85"/>
      <c s="125" r="BL85"/>
      <c s="125" r="BM85"/>
      <c s="125" r="BN85"/>
      <c s="125" r="BO85"/>
      <c s="125" r="BP85"/>
      <c s="125" r="BQ85"/>
      <c s="125" r="BR85"/>
      <c s="125" r="BS85"/>
      <c s="125" r="BT85"/>
      <c s="125" r="BU85"/>
      <c s="125" r="BV85"/>
      <c s="125" r="BW85"/>
      <c s="125" r="BX85"/>
      <c s="125" r="BY85"/>
      <c s="125" r="BZ85"/>
      <c s="125" r="CA85"/>
      <c s="125" r="CB85"/>
      <c s="125" r="CC85"/>
      <c s="125" r="CD85"/>
      <c s="125" r="CE85"/>
      <c s="125" r="CF85"/>
      <c s="125" r="CG85"/>
      <c s="125" r="CH85"/>
      <c s="125" r="CI85"/>
      <c s="125" r="CJ85"/>
      <c s="125" r="CK85"/>
      <c s="125" r="CL85"/>
    </row>
    <row r="86">
      <c s="125" r="A86"/>
      <c s="125" r="B86"/>
      <c s="125" r="C86"/>
      <c s="125" r="D86"/>
      <c s="125" r="E86"/>
      <c s="125" r="F86"/>
      <c s="125" r="G86"/>
      <c s="125" r="H86"/>
      <c s="125" r="I86"/>
      <c s="125" r="J86"/>
      <c s="125" r="K86"/>
      <c s="125" r="L86"/>
      <c s="125" r="M86"/>
      <c s="125" r="N86"/>
      <c s="125" r="O86"/>
      <c t="s" s="125" r="P86">
        <v>2</v>
      </c>
      <c s="125" r="Q86"/>
      <c s="125" r="R86"/>
      <c s="125" r="S86"/>
      <c s="125" r="T86"/>
      <c t="s" s="125" r="U86">
        <v>2</v>
      </c>
      <c s="125" r="V86"/>
      <c t="s" s="125" r="W86">
        <v>2</v>
      </c>
      <c s="125" r="X86"/>
      <c s="125" r="Y86"/>
      <c s="125" r="Z86"/>
      <c s="125" r="AA86"/>
      <c s="125" r="AB86"/>
      <c s="125" r="AC86"/>
      <c s="548" r="AD86"/>
      <c s="865" r="AE86"/>
      <c t="s" s="742" r="AF86">
        <v>469</v>
      </c>
      <c t="str" s="38" r="AG86">
        <f>0&amp;"    -"</f>
        <v>0    -</v>
      </c>
      <c s="357" r="AH86">
        <v>0.062</v>
      </c>
      <c s="426" r="AI86"/>
      <c t="str" s="42" r="AJ86">
        <f>(AI86/AI$110)+AJ85</f>
        <v>#DIV/0!:divZero</v>
      </c>
      <c t="str" s="619" r="AK86">
        <f>IF(OR((SUM(AI$86:AI87)=0),(SUM(AI86:AI$109)=0)),NA(),AJ86)</f>
        <v>#N/A:explicit</v>
      </c>
      <c t="str" s="72" r="AL86">
        <f>IF(ISBLANK(AE84),"",AE84)</f>
        <v>Facies #2</v>
      </c>
      <c s="908" r="AM86"/>
      <c s="8" r="AN86"/>
      <c s="551" r="AO86"/>
      <c s="472" r="AP86"/>
      <c s="472" r="AQ86"/>
      <c s="472" r="AR86"/>
      <c s="472" r="AS86"/>
      <c s="472" r="AT86"/>
      <c s="472" r="AU86"/>
      <c s="472" r="AV86"/>
      <c s="323" r="AW86"/>
      <c s="51" r="AX86"/>
      <c s="125" r="AY86"/>
      <c s="125" r="AZ86"/>
      <c s="125" r="BA86"/>
      <c s="125" r="BB86"/>
      <c s="125" r="BC86"/>
      <c s="125" r="BD86"/>
      <c s="125" r="BE86"/>
      <c s="341" r="BF86"/>
      <c s="761" r="BG86"/>
      <c s="125" r="BH86"/>
      <c s="125" r="BI86"/>
      <c s="125" r="BJ86"/>
      <c s="125" r="BK86"/>
      <c s="125" r="BL86"/>
      <c s="125" r="BM86"/>
      <c s="125" r="BN86"/>
      <c s="125" r="BO86"/>
      <c s="125" r="BP86"/>
      <c s="125" r="BQ86"/>
      <c s="125" r="BR86"/>
      <c s="125" r="BS86"/>
      <c s="125" r="BT86"/>
      <c s="125" r="BU86"/>
      <c s="125" r="BV86"/>
      <c s="125" r="BW86"/>
      <c s="125" r="BX86"/>
      <c s="125" r="BY86"/>
      <c s="125" r="BZ86"/>
      <c s="125" r="CA86"/>
      <c s="125" r="CB86"/>
      <c s="125" r="CC86"/>
      <c s="125" r="CD86"/>
      <c s="125" r="CE86"/>
      <c s="125" r="CF86"/>
      <c s="125" r="CG86"/>
      <c s="125" r="CH86"/>
      <c s="125" r="CI86"/>
      <c s="125" r="CJ86"/>
      <c s="125" r="CK86"/>
      <c s="125" r="CL86"/>
    </row>
    <row r="87">
      <c s="125" r="A87"/>
      <c s="125" r="B87"/>
      <c s="125" r="C87"/>
      <c s="125" r="D87"/>
      <c s="125" r="E87"/>
      <c s="125" r="F87"/>
      <c s="125" r="G87"/>
      <c s="125" r="H87"/>
      <c s="125" r="I87"/>
      <c s="125" r="J87"/>
      <c s="125" r="K87"/>
      <c s="125" r="L87"/>
      <c s="125" r="M87"/>
      <c s="125" r="N87"/>
      <c s="125" r="O87"/>
      <c s="125" r="P87"/>
      <c s="125" r="Q87"/>
      <c s="125" r="R87"/>
      <c s="125" r="S87"/>
      <c s="125" r="T87"/>
      <c s="125" r="U87"/>
      <c s="125" r="V87"/>
      <c s="125" r="W87"/>
      <c s="125" r="X87"/>
      <c s="125" r="Y87"/>
      <c s="125" r="Z87"/>
      <c s="125" r="AA87"/>
      <c s="125" r="AB87"/>
      <c s="125" r="AC87"/>
      <c s="548" r="AD87"/>
      <c s="511" r="AE87"/>
      <c t="s" s="416" r="AF87">
        <v>473</v>
      </c>
      <c t="str" s="141" r="AG87">
        <f>0.062&amp;"  -"</f>
        <v>0.062  -</v>
      </c>
      <c s="114" r="AH87">
        <v>0.125</v>
      </c>
      <c s="550" r="AI87"/>
      <c t="str" s="42" r="AJ87">
        <f>(AI87/AI$110)+AJ86</f>
        <v>#DIV/0!:divZero</v>
      </c>
      <c t="str" s="619" r="AK87">
        <f>IF(OR((SUM(AI$86:AI88)=0),(SUM(AI87:AI$109)=0)),NA(),AJ87)</f>
        <v>#N/A:explicit</v>
      </c>
      <c t="str" s="72" r="AL87">
        <f>$D$33</f>
        <v>---</v>
      </c>
      <c s="908" r="AM87"/>
      <c s="8" r="AN87"/>
      <c s="472" r="AO87"/>
      <c s="472" r="AP87"/>
      <c s="472" r="AQ87"/>
      <c s="472" r="AR87"/>
      <c s="472" r="AS87"/>
      <c s="472" r="AT87"/>
      <c s="472" r="AU87"/>
      <c s="472" r="AV87"/>
      <c s="323" r="AW87"/>
      <c s="51" r="AX87"/>
      <c s="125" r="AY87"/>
      <c s="125" r="AZ87"/>
      <c s="125" r="BA87"/>
      <c s="125" r="BB87"/>
      <c s="125" r="BC87"/>
      <c s="125" r="BD87"/>
      <c s="125" r="BE87"/>
      <c s="341" r="BF87"/>
      <c s="761" r="BG87"/>
      <c s="125" r="BH87"/>
      <c s="125" r="BI87"/>
      <c s="125" r="BJ87"/>
      <c s="125" r="BK87"/>
      <c s="125" r="BL87"/>
      <c s="125" r="BM87"/>
      <c s="125" r="BN87"/>
      <c s="125" r="BO87"/>
      <c s="125" r="BP87"/>
      <c s="125" r="BQ87"/>
      <c s="125" r="BR87"/>
      <c s="125" r="BS87"/>
      <c s="125" r="BT87"/>
      <c s="125" r="BU87"/>
      <c s="125" r="BV87"/>
      <c s="125" r="BW87"/>
      <c s="125" r="BX87"/>
      <c s="125" r="BY87"/>
      <c s="125" r="BZ87"/>
      <c s="125" r="CA87"/>
      <c s="125" r="CB87"/>
      <c s="125" r="CC87"/>
      <c s="125" r="CD87"/>
      <c s="125" r="CE87"/>
      <c s="125" r="CF87"/>
      <c s="125" r="CG87"/>
      <c s="125" r="CH87"/>
      <c s="125" r="CI87"/>
      <c s="125" r="CJ87"/>
      <c s="125" r="CK87"/>
      <c s="125" r="CL87"/>
    </row>
    <row r="88">
      <c s="125" r="A88"/>
      <c s="125" r="B88"/>
      <c s="125" r="C88"/>
      <c s="125" r="D88"/>
      <c s="125" r="E88"/>
      <c s="125" r="F88"/>
      <c s="125" r="G88"/>
      <c s="125" r="H88"/>
      <c s="125" r="I88"/>
      <c s="125" r="J88"/>
      <c s="125" r="K88"/>
      <c s="125" r="L88"/>
      <c s="125" r="M88"/>
      <c s="125" r="N88"/>
      <c s="125" r="O88"/>
      <c s="125" r="P88"/>
      <c s="125" r="Q88"/>
      <c s="125" r="R88"/>
      <c s="125" r="S88"/>
      <c s="125" r="T88"/>
      <c s="125" r="U88"/>
      <c s="125" r="V88"/>
      <c s="125" r="W88"/>
      <c s="125" r="X88"/>
      <c s="125" r="Y88"/>
      <c s="125" r="Z88"/>
      <c s="125" r="AA88"/>
      <c s="125" r="AB88"/>
      <c s="125" r="AC88"/>
      <c s="548" r="AD88"/>
      <c s="217" r="AE88"/>
      <c t="s" s="294" r="AF88">
        <v>479</v>
      </c>
      <c t="str" s="817" r="AG88">
        <f>0.125&amp;"  -"</f>
        <v>0.125  -</v>
      </c>
      <c s="512" r="AH88">
        <v>0.25</v>
      </c>
      <c s="550" r="AI88"/>
      <c t="str" s="42" r="AJ88">
        <f>(AI88/AI$110)+AJ87</f>
        <v>#DIV/0!:divZero</v>
      </c>
      <c t="str" s="619" r="AK88">
        <f>IF(OR((SUM(AI$86:AI89)=0),(SUM(AI88:AI$109)=0)),NA(),AJ88)</f>
        <v>#N/A:explicit</v>
      </c>
      <c s="72" r="AL88"/>
      <c s="908" r="AM88"/>
      <c s="8" r="AN88"/>
      <c s="375" r="AO88"/>
      <c s="505" r="AP88"/>
      <c s="505" r="AQ88"/>
      <c s="505" r="AR88"/>
      <c s="375" r="AS88"/>
      <c s="375" r="AT88"/>
      <c s="375" r="AU88"/>
      <c s="375" r="AV88"/>
      <c s="809" r="AW88"/>
      <c s="51" r="AX88"/>
      <c s="125" r="AY88"/>
      <c s="125" r="AZ88"/>
      <c s="125" r="BA88"/>
      <c s="125" r="BB88"/>
      <c s="125" r="BC88"/>
      <c s="125" r="BD88"/>
      <c s="125" r="BE88"/>
      <c s="341" r="BF88"/>
      <c s="761" r="BG88"/>
      <c s="125" r="BH88"/>
      <c s="125" r="BI88"/>
      <c s="125" r="BJ88"/>
      <c s="125" r="BK88"/>
      <c s="125" r="BL88"/>
      <c s="125" r="BM88"/>
      <c s="125" r="BN88"/>
      <c s="125" r="BO88"/>
      <c s="125" r="BP88"/>
      <c s="125" r="BQ88"/>
      <c s="125" r="BR88"/>
      <c s="125" r="BS88"/>
      <c s="125" r="BT88"/>
      <c s="125" r="BU88"/>
      <c s="125" r="BV88"/>
      <c s="125" r="BW88"/>
      <c s="125" r="BX88"/>
      <c s="125" r="BY88"/>
      <c s="125" r="BZ88"/>
      <c s="125" r="CA88"/>
      <c s="125" r="CB88"/>
      <c s="125" r="CC88"/>
      <c s="125" r="CD88"/>
      <c s="125" r="CE88"/>
      <c s="125" r="CF88"/>
      <c s="125" r="CG88"/>
      <c s="125" r="CH88"/>
      <c s="125" r="CI88"/>
      <c s="125" r="CJ88"/>
      <c s="125" r="CK88"/>
      <c s="125" r="CL88"/>
    </row>
    <row r="89">
      <c s="125" r="A89"/>
      <c s="125" r="B89"/>
      <c s="125" r="C89"/>
      <c s="125" r="D89"/>
      <c s="125" r="E89"/>
      <c s="125" r="F89"/>
      <c s="125" r="G89"/>
      <c s="125" r="H89"/>
      <c s="125" r="I89"/>
      <c s="125" r="J89"/>
      <c s="125" r="K89"/>
      <c s="125" r="L89"/>
      <c s="125" r="M89"/>
      <c s="125" r="N89"/>
      <c s="125" r="O89"/>
      <c s="125" r="P89"/>
      <c s="125" r="Q89"/>
      <c s="125" r="R89"/>
      <c s="125" r="S89"/>
      <c s="125" r="T89"/>
      <c s="125" r="U89"/>
      <c s="125" r="V89"/>
      <c s="125" r="W89"/>
      <c s="125" r="X89"/>
      <c s="125" r="Y89"/>
      <c s="125" r="Z89"/>
      <c s="125" r="AA89"/>
      <c s="125" r="AB89"/>
      <c s="125" r="AC89"/>
      <c s="548" r="AD89"/>
      <c s="217" r="AE89"/>
      <c t="s" s="294" r="AF89">
        <v>487</v>
      </c>
      <c t="str" s="817" r="AG89">
        <f>0.25&amp;"  -"</f>
        <v>0.25  -</v>
      </c>
      <c s="674" r="AH89">
        <v>0.5</v>
      </c>
      <c s="550" r="AI89"/>
      <c t="str" s="42" r="AJ89">
        <f>(AI89/AI$110)+AJ88</f>
        <v>#DIV/0!:divZero</v>
      </c>
      <c t="str" s="619" r="AK89">
        <f>IF(OR((SUM(AI$86:AI90)=0),(SUM(AI89:AI$109)=0)),NA(),AJ89)</f>
        <v>#N/A:explicit</v>
      </c>
      <c s="72" r="AL89"/>
      <c s="908" r="AM89"/>
      <c s="551" r="AN89"/>
      <c s="551" r="AO89"/>
      <c s="551" r="AP89"/>
      <c s="551" r="AQ89"/>
      <c s="551" r="AR89"/>
      <c s="551" r="AS89"/>
      <c s="551" r="AT89"/>
      <c s="551" r="AU89"/>
      <c s="551" r="AV89"/>
      <c s="671" r="AW89"/>
      <c s="51" r="AX89"/>
      <c s="125" r="AY89"/>
      <c s="125" r="AZ89"/>
      <c s="125" r="BA89"/>
      <c s="125" r="BB89"/>
      <c s="125" r="BC89"/>
      <c s="125" r="BD89"/>
      <c s="125" r="BE89"/>
      <c s="341" r="BF89"/>
      <c s="761" r="BG89"/>
      <c s="125" r="BH89"/>
      <c s="125" r="BI89"/>
      <c s="125" r="BJ89"/>
      <c s="125" r="BK89"/>
      <c s="125" r="BL89"/>
      <c s="125" r="BM89"/>
      <c s="125" r="BN89"/>
      <c s="125" r="BO89"/>
      <c s="125" r="BP89"/>
      <c s="125" r="BQ89"/>
      <c s="125" r="BR89"/>
      <c s="125" r="BS89"/>
      <c s="125" r="BT89"/>
      <c s="125" r="BU89"/>
      <c s="125" r="BV89"/>
      <c s="125" r="BW89"/>
      <c s="125" r="BX89"/>
      <c s="125" r="BY89"/>
      <c s="125" r="BZ89"/>
      <c s="125" r="CA89"/>
      <c s="125" r="CB89"/>
      <c s="125" r="CC89"/>
      <c s="125" r="CD89"/>
      <c s="125" r="CE89"/>
      <c s="125" r="CF89"/>
      <c s="125" r="CG89"/>
      <c s="125" r="CH89"/>
      <c s="125" r="CI89"/>
      <c s="125" r="CJ89"/>
      <c s="125" r="CK89"/>
      <c s="125" r="CL89"/>
    </row>
    <row r="90">
      <c s="125" r="A90"/>
      <c s="125" r="B90"/>
      <c s="125" r="C90"/>
      <c s="125" r="D90"/>
      <c s="125" r="E90"/>
      <c s="125" r="F90"/>
      <c s="125" r="G90"/>
      <c s="125" r="H90"/>
      <c s="125" r="I90"/>
      <c s="125" r="J90"/>
      <c s="125" r="K90"/>
      <c s="125" r="L90"/>
      <c s="125" r="M90"/>
      <c s="125" r="N90"/>
      <c s="125" r="O90"/>
      <c s="125" r="P90"/>
      <c s="125" r="Q90"/>
      <c s="125" r="R90"/>
      <c s="125" r="S90"/>
      <c s="125" r="T90"/>
      <c s="125" r="U90"/>
      <c s="125" r="V90"/>
      <c s="125" r="W90"/>
      <c s="125" r="X90"/>
      <c s="125" r="Y90"/>
      <c s="125" r="Z90"/>
      <c s="125" r="AA90"/>
      <c s="125" r="AB90"/>
      <c s="125" r="AC90"/>
      <c s="548" r="AD90"/>
      <c s="217" r="AE90"/>
      <c t="s" s="294" r="AF90">
        <v>492</v>
      </c>
      <c t="str" s="534" r="AG90">
        <f>0.5&amp;"  -"</f>
        <v>0.5  -</v>
      </c>
      <c s="411" r="AH90">
        <v>1</v>
      </c>
      <c s="550" r="AI90"/>
      <c t="str" s="42" r="AJ90">
        <f>(AI90/AI$110)+AJ89</f>
        <v>#DIV/0!:divZero</v>
      </c>
      <c t="str" s="619" r="AK90">
        <f>IF(OR((SUM(AI$86:AI91)=0),(SUM(AI90:AI$109)=0)),NA(),AJ90)</f>
        <v>#N/A:explicit</v>
      </c>
      <c s="72" r="AL90"/>
      <c s="908" r="AM90"/>
      <c s="551" r="AN90"/>
      <c s="551" r="AO90"/>
      <c s="551" r="AP90"/>
      <c s="551" r="AQ90"/>
      <c s="551" r="AR90"/>
      <c s="551" r="AS90"/>
      <c s="551" r="AT90"/>
      <c s="551" r="AU90"/>
      <c s="551" r="AV90"/>
      <c s="671" r="AW90"/>
      <c s="51" r="AX90"/>
      <c s="125" r="AY90"/>
      <c s="125" r="AZ90"/>
      <c s="125" r="BA90"/>
      <c s="125" r="BB90"/>
      <c s="125" r="BC90"/>
      <c s="125" r="BD90"/>
      <c s="125" r="BE90"/>
      <c s="341" r="BF90"/>
      <c s="761" r="BG90"/>
      <c s="125" r="BH90"/>
      <c s="125" r="BI90"/>
      <c s="125" r="BJ90"/>
      <c s="125" r="BK90"/>
      <c s="125" r="BL90"/>
      <c s="125" r="BM90"/>
      <c s="125" r="BN90"/>
      <c s="125" r="BO90"/>
      <c s="125" r="BP90"/>
      <c s="125" r="BQ90"/>
      <c s="125" r="BR90"/>
      <c s="125" r="BS90"/>
      <c s="125" r="BT90"/>
      <c s="125" r="BU90"/>
      <c s="125" r="BV90"/>
      <c s="125" r="BW90"/>
      <c s="125" r="BX90"/>
      <c s="125" r="BY90"/>
      <c s="125" r="BZ90"/>
      <c s="125" r="CA90"/>
      <c s="125" r="CB90"/>
      <c s="125" r="CC90"/>
      <c s="125" r="CD90"/>
      <c s="125" r="CE90"/>
      <c s="125" r="CF90"/>
      <c s="125" r="CG90"/>
      <c s="125" r="CH90"/>
      <c s="125" r="CI90"/>
      <c s="125" r="CJ90"/>
      <c s="125" r="CK90"/>
      <c s="125" r="CL90"/>
    </row>
    <row r="91">
      <c s="125" r="A91"/>
      <c s="125" r="B91"/>
      <c s="125" r="C91"/>
      <c s="125" r="D91"/>
      <c s="125" r="E91"/>
      <c s="125" r="F91"/>
      <c s="125" r="G91"/>
      <c s="125" r="H91"/>
      <c s="125" r="I91"/>
      <c s="125" r="J91"/>
      <c s="125" r="K91"/>
      <c s="125" r="L91"/>
      <c s="125" r="M91"/>
      <c s="125" r="N91"/>
      <c s="125" r="O91"/>
      <c s="125" r="P91"/>
      <c s="125" r="Q91"/>
      <c s="125" r="R91"/>
      <c s="125" r="S91"/>
      <c s="125" r="T91"/>
      <c s="125" r="U91"/>
      <c s="125" r="V91"/>
      <c s="125" r="W91"/>
      <c s="125" r="X91"/>
      <c s="125" r="Y91"/>
      <c s="125" r="Z91"/>
      <c s="125" r="AA91"/>
      <c s="125" r="AB91"/>
      <c s="125" r="AC91"/>
      <c s="548" r="AD91"/>
      <c s="460" r="AE91"/>
      <c t="s" s="18" r="AF91">
        <v>496</v>
      </c>
      <c t="str" s="658" r="AG91">
        <f>1&amp;"  -"</f>
        <v>1  -</v>
      </c>
      <c s="672" r="AH91">
        <v>2</v>
      </c>
      <c s="550" r="AI91"/>
      <c t="str" s="42" r="AJ91">
        <f>(AI91/AI$110)+AJ90</f>
        <v>#DIV/0!:divZero</v>
      </c>
      <c t="str" s="619" r="AK91">
        <f>IF(OR((SUM(AI$86:AI92)=0),(SUM(AI91:AI$109)=0)),NA(),AJ91)</f>
        <v>#N/A:explicit</v>
      </c>
      <c s="72" r="AL91"/>
      <c s="908" r="AM91"/>
      <c s="551" r="AN91"/>
      <c s="551" r="AO91"/>
      <c s="551" r="AP91"/>
      <c s="551" r="AQ91"/>
      <c s="551" r="AR91"/>
      <c s="551" r="AS91"/>
      <c s="551" r="AT91"/>
      <c s="551" r="AU91"/>
      <c s="551" r="AV91"/>
      <c s="671" r="AW91"/>
      <c s="51" r="AX91"/>
      <c s="125" r="AY91"/>
      <c s="125" r="AZ91"/>
      <c s="125" r="BA91"/>
      <c s="125" r="BB91"/>
      <c s="125" r="BC91"/>
      <c s="125" r="BD91"/>
      <c s="125" r="BE91"/>
      <c s="341" r="BF91"/>
      <c s="761" r="BG91"/>
      <c s="125" r="BH91"/>
      <c s="125" r="BI91"/>
      <c s="125" r="BJ91"/>
      <c s="125" r="BK91"/>
      <c s="125" r="BL91"/>
      <c s="125" r="BM91"/>
      <c s="125" r="BN91"/>
      <c s="125" r="BO91"/>
      <c s="125" r="BP91"/>
      <c s="125" r="BQ91"/>
      <c s="125" r="BR91"/>
      <c s="125" r="BS91"/>
      <c s="125" r="BT91"/>
      <c s="125" r="BU91"/>
      <c s="125" r="BV91"/>
      <c s="125" r="BW91"/>
      <c s="125" r="BX91"/>
      <c s="125" r="BY91"/>
      <c s="125" r="BZ91"/>
      <c s="125" r="CA91"/>
      <c s="125" r="CB91"/>
      <c s="125" r="CC91"/>
      <c s="125" r="CD91"/>
      <c s="125" r="CE91"/>
      <c s="125" r="CF91"/>
      <c s="125" r="CG91"/>
      <c s="125" r="CH91"/>
      <c s="125" r="CI91"/>
      <c s="125" r="CJ91"/>
      <c s="125" r="CK91"/>
      <c s="125" r="CL91"/>
    </row>
    <row r="92">
      <c s="125" r="A92"/>
      <c s="125" r="B92"/>
      <c s="125" r="C92"/>
      <c s="125" r="D92"/>
      <c s="125" r="E92"/>
      <c s="125" r="F92"/>
      <c s="125" r="G92"/>
      <c s="125" r="H92"/>
      <c s="125" r="I92"/>
      <c s="125" r="J92"/>
      <c s="125" r="K92"/>
      <c s="125" r="L92"/>
      <c s="125" r="M92"/>
      <c s="125" r="N92"/>
      <c s="125" r="O92"/>
      <c s="125" r="P92"/>
      <c s="125" r="Q92"/>
      <c s="125" r="R92"/>
      <c s="125" r="S92"/>
      <c s="125" r="T92"/>
      <c s="125" r="U92"/>
      <c s="125" r="V92"/>
      <c s="125" r="W92"/>
      <c s="125" r="X92"/>
      <c s="125" r="Y92"/>
      <c s="125" r="Z92"/>
      <c s="125" r="AA92"/>
      <c s="125" r="AB92"/>
      <c s="125" r="AC92"/>
      <c s="33" r="AD92"/>
      <c s="779" r="AE92"/>
      <c t="s" s="880" r="AF92">
        <v>467</v>
      </c>
      <c t="str" s="73" r="AG92">
        <f>2&amp;"  -"</f>
        <v>2  -</v>
      </c>
      <c s="860" r="AH92">
        <v>4</v>
      </c>
      <c s="550" r="AI92"/>
      <c t="str" s="42" r="AJ92">
        <f>(AI92/AI$110)+AJ91</f>
        <v>#DIV/0!:divZero</v>
      </c>
      <c t="str" s="619" r="AK92">
        <f>IF(OR((SUM(AI$86:AI93)=0),(SUM(AI92:AI$109)=0)),NA(),AJ92)</f>
        <v>#N/A:explicit</v>
      </c>
      <c s="72" r="AL92"/>
      <c s="908" r="AM92"/>
      <c s="551" r="AN92"/>
      <c s="551" r="AO92"/>
      <c s="551" r="AP92"/>
      <c s="551" r="AQ92"/>
      <c s="551" r="AR92"/>
      <c s="551" r="AS92"/>
      <c s="551" r="AT92"/>
      <c s="551" r="AU92"/>
      <c s="551" r="AV92"/>
      <c s="671" r="AW92"/>
      <c s="51" r="AX92"/>
      <c s="125" r="AY92"/>
      <c s="125" r="AZ92"/>
      <c s="125" r="BA92"/>
      <c s="125" r="BB92"/>
      <c s="125" r="BC92"/>
      <c s="125" r="BD92"/>
      <c s="125" r="BE92"/>
      <c s="341" r="BF92"/>
      <c s="761" r="BG92"/>
      <c s="125" r="BH92"/>
      <c s="125" r="BI92"/>
      <c s="125" r="BJ92"/>
      <c s="125" r="BK92"/>
      <c s="125" r="BL92"/>
      <c s="125" r="BM92"/>
      <c s="125" r="BN92"/>
      <c s="125" r="BO92"/>
      <c s="125" r="BP92"/>
      <c s="125" r="BQ92"/>
      <c s="125" r="BR92"/>
      <c s="125" r="BS92"/>
      <c s="125" r="BT92"/>
      <c s="125" r="BU92"/>
      <c s="125" r="BV92"/>
      <c s="125" r="BW92"/>
      <c s="125" r="BX92"/>
      <c s="125" r="BY92"/>
      <c s="125" r="BZ92"/>
      <c s="125" r="CA92"/>
      <c s="125" r="CB92"/>
      <c s="125" r="CC92"/>
      <c s="125" r="CD92"/>
      <c s="125" r="CE92"/>
      <c s="125" r="CF92"/>
      <c s="125" r="CG92"/>
      <c s="125" r="CH92"/>
      <c s="125" r="CI92"/>
      <c s="125" r="CJ92"/>
      <c s="125" r="CK92"/>
      <c s="125" r="CL92"/>
    </row>
    <row r="93">
      <c s="125" r="A93"/>
      <c s="125" r="B93"/>
      <c s="125" r="C93"/>
      <c s="125" r="D93"/>
      <c s="125" r="E93"/>
      <c s="125" r="F93"/>
      <c s="125" r="G93"/>
      <c s="125" r="H93"/>
      <c s="125" r="I93"/>
      <c s="125" r="J93"/>
      <c s="125" r="K93"/>
      <c s="125" r="L93"/>
      <c s="125" r="M93"/>
      <c s="125" r="N93"/>
      <c s="125" r="O93"/>
      <c s="125" r="P93"/>
      <c s="125" r="Q93"/>
      <c s="125" r="R93"/>
      <c s="125" r="S93"/>
      <c s="125" r="T93"/>
      <c s="125" r="U93"/>
      <c s="125" r="V93"/>
      <c s="125" r="W93"/>
      <c s="125" r="X93"/>
      <c s="125" r="Y93"/>
      <c s="125" r="Z93"/>
      <c s="125" r="AA93"/>
      <c s="125" r="AB93"/>
      <c s="125" r="AC93"/>
      <c s="33" r="AD93"/>
      <c s="217" r="AE93"/>
      <c t="s" s="294" r="AF93">
        <v>471</v>
      </c>
      <c t="str" s="595" r="AG93">
        <f>4&amp;"  -"</f>
        <v>4  -</v>
      </c>
      <c s="411" r="AH93">
        <v>6</v>
      </c>
      <c s="550" r="AI93"/>
      <c t="str" s="42" r="AJ93">
        <f>(AI93/AI$110)+AJ92</f>
        <v>#DIV/0!:divZero</v>
      </c>
      <c t="str" s="619" r="AK93">
        <f>IF(OR((SUM(AI$86:AI94)=0),(SUM(AI93:AI$109)=0)),NA(),AJ93)</f>
        <v>#N/A:explicit</v>
      </c>
      <c s="72" r="AL93"/>
      <c s="908" r="AM93"/>
      <c s="551" r="AN93"/>
      <c s="551" r="AO93"/>
      <c s="551" r="AP93"/>
      <c s="551" r="AQ93"/>
      <c s="551" r="AR93"/>
      <c s="551" r="AS93"/>
      <c s="551" r="AT93"/>
      <c s="551" r="AU93"/>
      <c s="551" r="AV93"/>
      <c s="671" r="AW93"/>
      <c s="51" r="AX93"/>
      <c s="125" r="AY93"/>
      <c s="125" r="AZ93"/>
      <c s="125" r="BA93"/>
      <c s="125" r="BB93"/>
      <c s="125" r="BC93"/>
      <c s="125" r="BD93"/>
      <c s="125" r="BE93"/>
      <c s="341" r="BF93"/>
      <c s="761" r="BG93"/>
      <c s="125" r="BH93"/>
      <c s="125" r="BI93"/>
      <c s="125" r="BJ93"/>
      <c s="125" r="BK93"/>
      <c s="125" r="BL93"/>
      <c s="125" r="BM93"/>
      <c s="125" r="BN93"/>
      <c s="125" r="BO93"/>
      <c s="125" r="BP93"/>
      <c s="125" r="BQ93"/>
      <c s="125" r="BR93"/>
      <c s="125" r="BS93"/>
      <c s="125" r="BT93"/>
      <c s="125" r="BU93"/>
      <c s="125" r="BV93"/>
      <c s="125" r="BW93"/>
      <c s="125" r="BX93"/>
      <c s="125" r="BY93"/>
      <c s="125" r="BZ93"/>
      <c s="125" r="CA93"/>
      <c s="125" r="CB93"/>
      <c s="125" r="CC93"/>
      <c s="125" r="CD93"/>
      <c s="125" r="CE93"/>
      <c s="125" r="CF93"/>
      <c s="125" r="CG93"/>
      <c s="125" r="CH93"/>
      <c s="125" r="CI93"/>
      <c s="125" r="CJ93"/>
      <c s="125" r="CK93"/>
      <c s="125" r="CL93"/>
    </row>
    <row r="94">
      <c s="125" r="A94"/>
      <c s="125" r="B94"/>
      <c s="125" r="C94"/>
      <c s="125" r="D94"/>
      <c s="125" r="E94"/>
      <c s="125" r="F94"/>
      <c s="125" r="G94"/>
      <c s="125" r="H94"/>
      <c s="125" r="I94"/>
      <c s="125" r="J94"/>
      <c s="125" r="K94"/>
      <c s="125" r="L94"/>
      <c s="125" r="M94"/>
      <c s="125" r="N94"/>
      <c s="125" r="O94"/>
      <c s="125" r="P94"/>
      <c s="125" r="Q94"/>
      <c s="125" r="R94"/>
      <c s="125" r="S94"/>
      <c s="125" r="T94"/>
      <c s="125" r="U94"/>
      <c s="125" r="V94"/>
      <c s="125" r="W94"/>
      <c s="125" r="X94"/>
      <c s="125" r="Y94"/>
      <c s="125" r="Z94"/>
      <c s="125" r="AA94"/>
      <c s="125" r="AB94"/>
      <c s="125" r="AC94"/>
      <c s="33" r="AD94"/>
      <c s="217" r="AE94"/>
      <c t="s" s="294" r="AF94">
        <v>471</v>
      </c>
      <c t="str" s="595" r="AG94">
        <f>6&amp;"  -"</f>
        <v>6  -</v>
      </c>
      <c s="411" r="AH94">
        <v>8</v>
      </c>
      <c s="550" r="AI94"/>
      <c t="str" s="42" r="AJ94">
        <f>(AI94/AI$110)+AJ93</f>
        <v>#DIV/0!:divZero</v>
      </c>
      <c t="str" s="619" r="AK94">
        <f>IF(OR((SUM(AI$86:AI95)=0),(SUM(AI94:AI$109)=0)),NA(),AJ94)</f>
        <v>#N/A:explicit</v>
      </c>
      <c s="72" r="AL94"/>
      <c s="908" r="AM94"/>
      <c s="551" r="AN94"/>
      <c s="551" r="AO94"/>
      <c s="551" r="AP94"/>
      <c s="551" r="AQ94"/>
      <c s="551" r="AR94"/>
      <c s="551" r="AS94"/>
      <c s="551" r="AT94"/>
      <c s="551" r="AU94"/>
      <c s="551" r="AV94"/>
      <c s="671" r="AW94"/>
      <c s="51" r="AX94"/>
      <c s="125" r="AY94"/>
      <c s="125" r="AZ94"/>
      <c s="125" r="BA94"/>
      <c s="125" r="BB94"/>
      <c s="125" r="BC94"/>
      <c s="125" r="BD94"/>
      <c s="125" r="BE94"/>
      <c s="341" r="BF94"/>
      <c s="761" r="BG94"/>
      <c s="125" r="BH94"/>
      <c s="125" r="BI94"/>
      <c s="125" r="BJ94"/>
      <c s="125" r="BK94"/>
      <c s="125" r="BL94"/>
      <c s="125" r="BM94"/>
      <c s="125" r="BN94"/>
      <c s="125" r="BO94"/>
      <c s="125" r="BP94"/>
      <c s="125" r="BQ94"/>
      <c s="125" r="BR94"/>
      <c s="125" r="BS94"/>
      <c s="125" r="BT94"/>
      <c s="125" r="BU94"/>
      <c s="125" r="BV94"/>
      <c s="125" r="BW94"/>
      <c s="125" r="BX94"/>
      <c s="125" r="BY94"/>
      <c s="125" r="BZ94"/>
      <c s="125" r="CA94"/>
      <c s="125" r="CB94"/>
      <c s="125" r="CC94"/>
      <c s="125" r="CD94"/>
      <c s="125" r="CE94"/>
      <c s="125" r="CF94"/>
      <c s="125" r="CG94"/>
      <c s="125" r="CH94"/>
      <c s="125" r="CI94"/>
      <c s="125" r="CJ94"/>
      <c s="125" r="CK94"/>
      <c s="125" r="CL94"/>
    </row>
    <row r="95">
      <c s="125" r="A95"/>
      <c s="125" r="B95"/>
      <c s="125" r="C95"/>
      <c s="125" r="D95"/>
      <c s="125" r="E95"/>
      <c s="125" r="F95"/>
      <c s="125" r="G95"/>
      <c s="125" r="H95"/>
      <c s="125" r="I95"/>
      <c s="125" r="J95"/>
      <c s="125" r="K95"/>
      <c s="125" r="L95"/>
      <c s="125" r="M95"/>
      <c s="125" r="N95"/>
      <c s="125" r="O95"/>
      <c s="125" r="P95"/>
      <c s="125" r="Q95"/>
      <c s="125" r="R95"/>
      <c s="125" r="S95"/>
      <c s="125" r="T95"/>
      <c s="125" r="U95"/>
      <c s="125" r="V95"/>
      <c s="125" r="W95"/>
      <c s="125" r="X95"/>
      <c s="125" r="Y95"/>
      <c s="125" r="Z95"/>
      <c s="125" r="AA95"/>
      <c s="125" r="AB95"/>
      <c s="125" r="AC95"/>
      <c s="33" r="AD95"/>
      <c s="217" r="AE95"/>
      <c t="s" s="294" r="AF95">
        <v>485</v>
      </c>
      <c t="str" s="595" r="AG95">
        <f>8&amp;"  -"</f>
        <v>8  -</v>
      </c>
      <c s="411" r="AH95">
        <v>11</v>
      </c>
      <c s="550" r="AI95"/>
      <c t="str" s="42" r="AJ95">
        <f>(AI95/AI$110)+AJ94</f>
        <v>#DIV/0!:divZero</v>
      </c>
      <c t="str" s="619" r="AK95">
        <f>IF(OR((SUM(AI$86:AI96)=0),(SUM(AI95:AI$109)=0)),NA(),AJ95)</f>
        <v>#N/A:explicit</v>
      </c>
      <c s="72" r="AL95"/>
      <c s="908" r="AM95"/>
      <c s="551" r="AN95"/>
      <c s="551" r="AO95"/>
      <c s="551" r="AP95"/>
      <c s="551" r="AQ95"/>
      <c s="551" r="AR95"/>
      <c s="551" r="AS95"/>
      <c s="551" r="AT95"/>
      <c s="551" r="AU95"/>
      <c s="551" r="AV95"/>
      <c s="671" r="AW95"/>
      <c s="51" r="AX95"/>
      <c s="125" r="AY95"/>
      <c s="125" r="AZ95"/>
      <c s="125" r="BA95"/>
      <c s="125" r="BB95"/>
      <c s="125" r="BC95"/>
      <c s="125" r="BD95"/>
      <c s="125" r="BE95"/>
      <c s="341" r="BF95"/>
      <c s="761" r="BG95"/>
      <c s="125" r="BH95"/>
      <c s="125" r="BI95"/>
      <c s="125" r="BJ95"/>
      <c s="125" r="BK95"/>
      <c s="125" r="BL95"/>
      <c s="125" r="BM95"/>
      <c s="125" r="BN95"/>
      <c s="125" r="BO95"/>
      <c s="125" r="BP95"/>
      <c s="125" r="BQ95"/>
      <c s="125" r="BR95"/>
      <c s="125" r="BS95"/>
      <c s="125" r="BT95"/>
      <c s="125" r="BU95"/>
      <c s="125" r="BV95"/>
      <c s="125" r="BW95"/>
      <c s="125" r="BX95"/>
      <c s="125" r="BY95"/>
      <c s="125" r="BZ95"/>
      <c s="125" r="CA95"/>
      <c s="125" r="CB95"/>
      <c s="125" r="CC95"/>
      <c s="125" r="CD95"/>
      <c s="125" r="CE95"/>
      <c s="125" r="CF95"/>
      <c s="125" r="CG95"/>
      <c s="125" r="CH95"/>
      <c s="125" r="CI95"/>
      <c s="125" r="CJ95"/>
      <c s="125" r="CK95"/>
      <c s="125" r="CL95"/>
    </row>
    <row r="96">
      <c s="125" r="A96"/>
      <c s="125" r="B96"/>
      <c s="125" r="C96"/>
      <c s="125" r="D96"/>
      <c s="125" r="E96"/>
      <c s="125" r="F96"/>
      <c s="125" r="G96"/>
      <c s="125" r="H96"/>
      <c s="125" r="I96"/>
      <c s="125" r="J96"/>
      <c s="125" r="K96"/>
      <c s="125" r="L96"/>
      <c s="125" r="M96"/>
      <c s="125" r="N96"/>
      <c s="125" r="O96"/>
      <c s="125" r="P96"/>
      <c s="125" r="Q96"/>
      <c s="125" r="R96"/>
      <c s="125" r="S96"/>
      <c s="125" r="T96"/>
      <c s="125" r="U96"/>
      <c s="125" r="V96"/>
      <c s="125" r="W96"/>
      <c s="125" r="X96"/>
      <c s="125" r="Y96"/>
      <c s="125" r="Z96"/>
      <c s="125" r="AA96"/>
      <c s="125" r="AB96"/>
      <c s="125" r="AC96"/>
      <c s="33" r="AD96"/>
      <c s="217" r="AE96"/>
      <c t="s" s="294" r="AF96">
        <v>485</v>
      </c>
      <c t="str" s="595" r="AG96">
        <f>11&amp;"  -"</f>
        <v>11  -</v>
      </c>
      <c s="411" r="AH96">
        <v>16</v>
      </c>
      <c s="550" r="AI96"/>
      <c t="str" s="42" r="AJ96">
        <f>(AI96/AI$110)+AJ95</f>
        <v>#DIV/0!:divZero</v>
      </c>
      <c t="str" s="619" r="AK96">
        <f>IF(OR((SUM(AI$86:AI97)=0),(SUM(AI96:AI$109)=0)),NA(),AJ96)</f>
        <v>#N/A:explicit</v>
      </c>
      <c s="140" r="AL96"/>
      <c s="908" r="AM96"/>
      <c s="551" r="AN96"/>
      <c s="551" r="AO96"/>
      <c s="551" r="AP96"/>
      <c s="551" r="AQ96"/>
      <c s="551" r="AR96"/>
      <c s="551" r="AS96"/>
      <c s="551" r="AT96"/>
      <c s="551" r="AU96"/>
      <c s="551" r="AV96"/>
      <c s="671" r="AW96"/>
      <c s="51" r="AX96"/>
      <c s="125" r="AY96"/>
      <c s="125" r="AZ96"/>
      <c s="125" r="BA96"/>
      <c s="125" r="BB96"/>
      <c s="125" r="BC96"/>
      <c s="125" r="BD96"/>
      <c s="125" r="BE96"/>
      <c s="341" r="BF96"/>
      <c s="761" r="BG96"/>
      <c s="125" r="BH96"/>
      <c s="125" r="BI96"/>
      <c s="125" r="BJ96"/>
      <c s="125" r="BK96"/>
      <c s="125" r="BL96"/>
      <c s="125" r="BM96"/>
      <c s="125" r="BN96"/>
      <c s="125" r="BO96"/>
      <c s="125" r="BP96"/>
      <c s="125" r="BQ96"/>
      <c s="125" r="BR96"/>
      <c s="125" r="BS96"/>
      <c s="125" r="BT96"/>
      <c s="125" r="BU96"/>
      <c s="125" r="BV96"/>
      <c s="125" r="BW96"/>
      <c s="125" r="BX96"/>
      <c s="125" r="BY96"/>
      <c s="125" r="BZ96"/>
      <c s="125" r="CA96"/>
      <c s="125" r="CB96"/>
      <c s="125" r="CC96"/>
      <c s="125" r="CD96"/>
      <c s="125" r="CE96"/>
      <c s="125" r="CF96"/>
      <c s="125" r="CG96"/>
      <c s="125" r="CH96"/>
      <c s="125" r="CI96"/>
      <c s="125" r="CJ96"/>
      <c s="125" r="CK96"/>
      <c s="125" r="CL96"/>
    </row>
    <row r="97">
      <c s="125" r="A97"/>
      <c s="125" r="B97"/>
      <c s="125" r="C97"/>
      <c s="125" r="D97"/>
      <c s="125" r="E97"/>
      <c s="125" r="F97"/>
      <c s="125" r="G97"/>
      <c s="125" r="H97"/>
      <c s="125" r="I97"/>
      <c s="125" r="J97"/>
      <c s="125" r="K97"/>
      <c s="125" r="L97"/>
      <c s="125" r="M97"/>
      <c s="125" r="N97"/>
      <c s="125" r="O97"/>
      <c s="125" r="P97"/>
      <c s="125" r="Q97"/>
      <c s="125" r="R97"/>
      <c s="125" r="S97"/>
      <c s="125" r="T97"/>
      <c s="125" r="U97"/>
      <c s="125" r="V97"/>
      <c s="125" r="W97"/>
      <c s="125" r="X97"/>
      <c s="125" r="Y97"/>
      <c s="125" r="Z97"/>
      <c s="125" r="AA97"/>
      <c s="125" r="AB97"/>
      <c s="125" r="AC97"/>
      <c s="548" r="AD97"/>
      <c s="217" r="AE97"/>
      <c t="s" s="294" r="AF97">
        <v>494</v>
      </c>
      <c t="str" s="595" r="AG97">
        <f>16&amp;"  -"</f>
        <v>16  -</v>
      </c>
      <c s="411" r="AH97">
        <v>22</v>
      </c>
      <c s="550" r="AI97"/>
      <c t="str" s="42" r="AJ97">
        <f>(AI97/AI$110)+AJ96</f>
        <v>#DIV/0!:divZero</v>
      </c>
      <c t="str" s="619" r="AK97">
        <f>IF(OR((SUM(AI$86:AI98)=0),(SUM(AI97:AI$109)=0)),NA(),AJ97)</f>
        <v>#N/A:explicit</v>
      </c>
      <c s="140" r="AL97"/>
      <c s="908" r="AM97"/>
      <c s="551" r="AN97"/>
      <c s="551" r="AO97"/>
      <c s="551" r="AP97"/>
      <c s="551" r="AQ97"/>
      <c s="551" r="AR97"/>
      <c s="551" r="AS97"/>
      <c s="551" r="AT97"/>
      <c s="551" r="AU97"/>
      <c s="551" r="AV97"/>
      <c s="671" r="AW97"/>
      <c s="51" r="AX97"/>
      <c s="125" r="AY97"/>
      <c s="125" r="AZ97"/>
      <c s="125" r="BA97"/>
      <c s="125" r="BB97"/>
      <c s="125" r="BC97"/>
      <c s="125" r="BD97"/>
      <c s="125" r="BE97"/>
      <c s="341" r="BF97"/>
      <c s="761" r="BG97"/>
      <c s="125" r="BH97"/>
      <c s="125" r="BI97"/>
      <c s="125" r="BJ97"/>
      <c s="125" r="BK97"/>
      <c s="125" r="BL97"/>
      <c s="125" r="BM97"/>
      <c s="125" r="BN97"/>
      <c s="125" r="BO97"/>
      <c s="125" r="BP97"/>
      <c s="125" r="BQ97"/>
      <c s="125" r="BR97"/>
      <c s="125" r="BS97"/>
      <c s="125" r="BT97"/>
      <c s="125" r="BU97"/>
      <c s="125" r="BV97"/>
      <c s="125" r="BW97"/>
      <c s="125" r="BX97"/>
      <c s="125" r="BY97"/>
      <c s="125" r="BZ97"/>
      <c s="125" r="CA97"/>
      <c s="125" r="CB97"/>
      <c s="125" r="CC97"/>
      <c s="125" r="CD97"/>
      <c s="125" r="CE97"/>
      <c s="125" r="CF97"/>
      <c s="125" r="CG97"/>
      <c s="125" r="CH97"/>
      <c s="125" r="CI97"/>
      <c s="125" r="CJ97"/>
      <c s="125" r="CK97"/>
      <c s="125" r="CL97"/>
    </row>
    <row r="98">
      <c s="125" r="A98"/>
      <c s="125" r="B98"/>
      <c s="125" r="C98"/>
      <c s="125" r="D98"/>
      <c s="125" r="E98"/>
      <c s="125" r="F98"/>
      <c s="125" r="G98"/>
      <c s="125" r="H98"/>
      <c s="125" r="I98"/>
      <c s="125" r="J98"/>
      <c s="125" r="K98"/>
      <c s="125" r="L98"/>
      <c s="125" r="M98"/>
      <c s="125" r="N98"/>
      <c s="125" r="O98"/>
      <c s="125" r="P98"/>
      <c s="125" r="Q98"/>
      <c s="125" r="R98"/>
      <c s="125" r="S98"/>
      <c s="125" r="T98"/>
      <c s="125" r="U98"/>
      <c s="125" r="V98"/>
      <c s="125" r="W98"/>
      <c s="125" r="X98"/>
      <c s="125" r="Y98"/>
      <c s="125" r="Z98"/>
      <c s="125" r="AA98"/>
      <c s="125" r="AB98"/>
      <c s="125" r="AC98"/>
      <c s="33" r="AD98"/>
      <c s="217" r="AE98"/>
      <c t="s" s="294" r="AF98">
        <v>494</v>
      </c>
      <c t="str" s="595" r="AG98">
        <f>22&amp;"  -"</f>
        <v>22  -</v>
      </c>
      <c s="411" r="AH98">
        <v>32</v>
      </c>
      <c s="550" r="AI98"/>
      <c t="str" s="42" r="AJ98">
        <f>(AI98/AI$110)+AJ97</f>
        <v>#DIV/0!:divZero</v>
      </c>
      <c t="str" s="619" r="AK98">
        <f>IF(OR((SUM(AI$86:AI99)=0),(SUM(AI98:AI$109)=0)),NA(),AJ98)</f>
        <v>#N/A:explicit</v>
      </c>
      <c s="140" r="AL98"/>
      <c s="908" r="AM98"/>
      <c s="551" r="AN98"/>
      <c s="551" r="AO98"/>
      <c s="551" r="AP98"/>
      <c s="551" r="AQ98"/>
      <c s="551" r="AR98"/>
      <c s="551" r="AS98"/>
      <c s="551" r="AT98"/>
      <c s="551" r="AU98"/>
      <c s="551" r="AV98"/>
      <c s="671" r="AW98"/>
      <c s="51" r="AX98"/>
      <c s="125" r="AY98"/>
      <c s="125" r="AZ98"/>
      <c s="125" r="BA98"/>
      <c s="125" r="BB98"/>
      <c s="125" r="BC98"/>
      <c s="125" r="BD98"/>
      <c s="125" r="BE98"/>
      <c s="341" r="BF98"/>
      <c s="761" r="BG98"/>
      <c s="125" r="BH98"/>
      <c s="125" r="BI98"/>
      <c s="125" r="BJ98"/>
      <c s="125" r="BK98"/>
      <c s="125" r="BL98"/>
      <c s="125" r="BM98"/>
      <c s="125" r="BN98"/>
      <c s="125" r="BO98"/>
      <c s="125" r="BP98"/>
      <c s="125" r="BQ98"/>
      <c s="125" r="BR98"/>
      <c s="125" r="BS98"/>
      <c s="125" r="BT98"/>
      <c s="125" r="BU98"/>
      <c s="125" r="BV98"/>
      <c s="125" r="BW98"/>
      <c s="125" r="BX98"/>
      <c s="125" r="BY98"/>
      <c s="125" r="BZ98"/>
      <c s="125" r="CA98"/>
      <c s="125" r="CB98"/>
      <c s="125" r="CC98"/>
      <c s="125" r="CD98"/>
      <c s="125" r="CE98"/>
      <c s="125" r="CF98"/>
      <c s="125" r="CG98"/>
      <c s="125" r="CH98"/>
      <c s="125" r="CI98"/>
      <c s="125" r="CJ98"/>
      <c s="125" r="CK98"/>
      <c s="125" r="CL98"/>
    </row>
    <row r="99">
      <c s="125" r="A99"/>
      <c s="125" r="B99"/>
      <c s="125" r="C99"/>
      <c s="125" r="D99"/>
      <c s="125" r="E99"/>
      <c s="125" r="F99"/>
      <c s="125" r="G99"/>
      <c s="125" r="H99"/>
      <c s="125" r="I99"/>
      <c s="125" r="J99"/>
      <c s="125" r="K99"/>
      <c s="125" r="L99"/>
      <c s="125" r="M99"/>
      <c s="125" r="N99"/>
      <c s="125" r="O99"/>
      <c s="125" r="P99"/>
      <c s="125" r="Q99"/>
      <c s="125" r="R99"/>
      <c s="125" r="S99"/>
      <c s="125" r="T99"/>
      <c s="125" r="U99"/>
      <c s="125" r="V99"/>
      <c s="125" r="W99"/>
      <c s="125" r="X99"/>
      <c s="125" r="Y99"/>
      <c s="125" r="Z99"/>
      <c s="125" r="AA99"/>
      <c s="125" r="AB99"/>
      <c s="125" r="AC99"/>
      <c s="33" r="AD99"/>
      <c s="409" r="AE99"/>
      <c t="s" s="8" r="AF99">
        <v>500</v>
      </c>
      <c t="str" s="595" r="AG99">
        <f>32&amp;"  -"</f>
        <v>32  -</v>
      </c>
      <c s="411" r="AH99">
        <v>45</v>
      </c>
      <c s="550" r="AI99"/>
      <c t="str" s="42" r="AJ99">
        <f>(AI99/AI$110)+AJ98</f>
        <v>#DIV/0!:divZero</v>
      </c>
      <c t="str" s="619" r="AK99">
        <f>IF(OR((SUM(AI$86:AI100)=0),(SUM(AI99:AI$109)=0)),NA(),AJ99)</f>
        <v>#N/A:explicit</v>
      </c>
      <c s="140" r="AL99"/>
      <c s="908" r="AM99"/>
      <c s="551" r="AN99"/>
      <c s="551" r="AO99"/>
      <c s="551" r="AP99"/>
      <c s="551" r="AQ99"/>
      <c s="551" r="AR99"/>
      <c s="551" r="AS99"/>
      <c s="551" r="AT99"/>
      <c s="551" r="AU99"/>
      <c s="551" r="AV99"/>
      <c s="671" r="AW99"/>
      <c s="51" r="AX99"/>
      <c s="125" r="AY99"/>
      <c s="125" r="AZ99"/>
      <c s="125" r="BA99"/>
      <c s="125" r="BB99"/>
      <c s="125" r="BC99"/>
      <c s="125" r="BD99"/>
      <c s="125" r="BE99"/>
      <c s="341" r="BF99"/>
      <c s="761" r="BG99"/>
      <c s="125" r="BH99"/>
      <c s="125" r="BI99"/>
      <c s="125" r="BJ99"/>
      <c s="125" r="BK99"/>
      <c s="125" r="BL99"/>
      <c s="125" r="BM99"/>
      <c s="125" r="BN99"/>
      <c s="125" r="BO99"/>
      <c s="125" r="BP99"/>
      <c s="125" r="BQ99"/>
      <c s="125" r="BR99"/>
      <c s="125" r="BS99"/>
      <c s="125" r="BT99"/>
      <c s="125" r="BU99"/>
      <c s="125" r="BV99"/>
      <c s="125" r="BW99"/>
      <c s="125" r="BX99"/>
      <c s="125" r="BY99"/>
      <c s="125" r="BZ99"/>
      <c s="125" r="CA99"/>
      <c s="125" r="CB99"/>
      <c s="125" r="CC99"/>
      <c s="125" r="CD99"/>
      <c s="125" r="CE99"/>
      <c s="125" r="CF99"/>
      <c s="125" r="CG99"/>
      <c s="125" r="CH99"/>
      <c s="125" r="CI99"/>
      <c s="125" r="CJ99"/>
      <c s="125" r="CK99"/>
      <c s="125" r="CL99"/>
    </row>
    <row r="100">
      <c s="125" r="A100"/>
      <c s="125" r="B100"/>
      <c s="125" r="C100"/>
      <c s="125" r="D100"/>
      <c s="125" r="E100"/>
      <c s="125" r="F100"/>
      <c s="125" r="G100"/>
      <c s="125" r="H100"/>
      <c s="125" r="I100"/>
      <c s="125" r="J100"/>
      <c s="125" r="K100"/>
      <c s="125" r="L100"/>
      <c s="125" r="M100"/>
      <c s="125" r="N100"/>
      <c s="125" r="O100"/>
      <c s="125" r="P100"/>
      <c s="125" r="Q100"/>
      <c s="125" r="R100"/>
      <c s="125" r="S100"/>
      <c s="125" r="T100"/>
      <c s="125" r="U100"/>
      <c s="125" r="V100"/>
      <c s="125" r="W100"/>
      <c s="125" r="X100"/>
      <c s="125" r="Y100"/>
      <c s="125" r="Z100"/>
      <c s="125" r="AA100"/>
      <c s="125" r="AB100"/>
      <c s="125" r="AC100"/>
      <c s="33" r="AD100"/>
      <c s="460" r="AE100"/>
      <c t="s" s="18" r="AF100">
        <v>500</v>
      </c>
      <c t="str" s="658" r="AG100">
        <f>45&amp;"  -"</f>
        <v>45  -</v>
      </c>
      <c s="672" r="AH100">
        <v>64</v>
      </c>
      <c s="550" r="AI100"/>
      <c t="str" s="42" r="AJ100">
        <f>(AI100/AI$110)+AJ99</f>
        <v>#DIV/0!:divZero</v>
      </c>
      <c t="str" s="619" r="AK100">
        <f>IF(OR((SUM(AI$86:AI101)=0),(SUM(AI100:AI$109)=0)),NA(),AJ100)</f>
        <v>#N/A:explicit</v>
      </c>
      <c s="140" r="AL100"/>
      <c s="908" r="AM100"/>
      <c s="551" r="AN100"/>
      <c s="551" r="AO100"/>
      <c s="551" r="AP100"/>
      <c s="551" r="AQ100"/>
      <c s="551" r="AR100"/>
      <c s="551" r="AS100"/>
      <c s="551" r="AT100"/>
      <c s="551" r="AU100"/>
      <c s="551" r="AV100"/>
      <c s="671" r="AW100"/>
      <c s="51" r="AX100"/>
      <c s="125" r="AY100"/>
      <c s="125" r="AZ100"/>
      <c s="125" r="BA100"/>
      <c s="125" r="BB100"/>
      <c s="125" r="BC100"/>
      <c s="125" r="BD100"/>
      <c s="125" r="BE100"/>
      <c s="341" r="BF100"/>
      <c s="761" r="BG100"/>
      <c s="125" r="BH100"/>
      <c s="125" r="BI100"/>
      <c s="125" r="BJ100"/>
      <c s="125" r="BK100"/>
      <c s="125" r="BL100"/>
      <c s="125" r="BM100"/>
      <c s="125" r="BN100"/>
      <c s="125" r="BO100"/>
      <c s="125" r="BP100"/>
      <c s="125" r="BQ100"/>
      <c s="125" r="BR100"/>
      <c s="125" r="BS100"/>
      <c s="125" r="BT100"/>
      <c s="125" r="BU100"/>
      <c s="125" r="BV100"/>
      <c s="125" r="BW100"/>
      <c s="125" r="BX100"/>
      <c s="125" r="BY100"/>
      <c s="125" r="BZ100"/>
      <c s="125" r="CA100"/>
      <c s="125" r="CB100"/>
      <c s="125" r="CC100"/>
      <c s="125" r="CD100"/>
      <c s="125" r="CE100"/>
      <c s="125" r="CF100"/>
      <c s="125" r="CG100"/>
      <c s="125" r="CH100"/>
      <c s="125" r="CI100"/>
      <c s="125" r="CJ100"/>
      <c s="125" r="CK100"/>
      <c s="125" r="CL100"/>
    </row>
    <row r="101">
      <c s="125" r="A101"/>
      <c s="125" r="B101"/>
      <c s="125" r="C101"/>
      <c s="125" r="D101"/>
      <c s="125" r="E101"/>
      <c s="125" r="F101"/>
      <c s="125" r="G101"/>
      <c s="125" r="H101"/>
      <c s="125" r="I101"/>
      <c s="125" r="J101"/>
      <c s="125" r="K101"/>
      <c s="125" r="L101"/>
      <c s="125" r="M101"/>
      <c s="125" r="N101"/>
      <c s="125" r="O101"/>
      <c s="125" r="P101"/>
      <c s="125" r="Q101"/>
      <c s="125" r="R101"/>
      <c s="125" r="S101"/>
      <c s="125" r="T101"/>
      <c s="125" r="U101"/>
      <c s="125" r="V101"/>
      <c s="125" r="W101"/>
      <c s="125" r="X101"/>
      <c s="125" r="Y101"/>
      <c s="125" r="Z101"/>
      <c s="125" r="AA101"/>
      <c s="125" r="AB101"/>
      <c s="125" r="AC101"/>
      <c s="33" r="AD101"/>
      <c s="511" r="AE101"/>
      <c t="s" s="416" r="AF101">
        <v>505</v>
      </c>
      <c t="str" s="73" r="AG101">
        <f>64&amp;"  -"</f>
        <v>64  -</v>
      </c>
      <c s="860" r="AH101">
        <v>90</v>
      </c>
      <c s="550" r="AI101"/>
      <c t="str" s="42" r="AJ101">
        <f>(AI101/AI$110)+AJ100</f>
        <v>#DIV/0!:divZero</v>
      </c>
      <c t="str" s="619" r="AK101">
        <f>IF(OR((SUM(AI$86:AI102)=0),(SUM(AI101:AI$109)=0)),NA(),AJ101)</f>
        <v>#N/A:explicit</v>
      </c>
      <c s="140" r="AL101"/>
      <c s="908" r="AM101"/>
      <c s="551" r="AN101"/>
      <c s="551" r="AO101"/>
      <c s="551" r="AP101"/>
      <c s="551" r="AQ101"/>
      <c s="551" r="AR101"/>
      <c s="551" r="AS101"/>
      <c s="551" r="AT101"/>
      <c s="551" r="AU101"/>
      <c s="551" r="AV101"/>
      <c s="671" r="AW101"/>
      <c s="51" r="AX101"/>
      <c s="125" r="AY101"/>
      <c s="125" r="AZ101"/>
      <c s="125" r="BA101"/>
      <c s="125" r="BB101"/>
      <c s="125" r="BC101"/>
      <c s="125" r="BD101"/>
      <c s="125" r="BE101"/>
      <c s="341" r="BF101"/>
      <c s="761" r="BG101"/>
      <c s="125" r="BH101"/>
      <c s="125" r="BI101"/>
      <c s="125" r="BJ101"/>
      <c s="125" r="BK101"/>
      <c s="125" r="BL101"/>
      <c s="125" r="BM101"/>
      <c s="125" r="BN101"/>
      <c s="125" r="BO101"/>
      <c s="125" r="BP101"/>
      <c s="125" r="BQ101"/>
      <c s="125" r="BR101"/>
      <c s="125" r="BS101"/>
      <c s="125" r="BT101"/>
      <c s="125" r="BU101"/>
      <c s="125" r="BV101"/>
      <c s="125" r="BW101"/>
      <c s="125" r="BX101"/>
      <c s="125" r="BY101"/>
      <c s="125" r="BZ101"/>
      <c s="125" r="CA101"/>
      <c s="125" r="CB101"/>
      <c s="125" r="CC101"/>
      <c s="125" r="CD101"/>
      <c s="125" r="CE101"/>
      <c s="125" r="CF101"/>
      <c s="125" r="CG101"/>
      <c s="125" r="CH101"/>
      <c s="125" r="CI101"/>
      <c s="125" r="CJ101"/>
      <c s="125" r="CK101"/>
      <c s="125" r="CL101"/>
    </row>
    <row r="102">
      <c s="125" r="A102"/>
      <c s="125" r="B102"/>
      <c s="125" r="C102"/>
      <c s="125" r="D102"/>
      <c s="125" r="E102"/>
      <c s="125" r="F102"/>
      <c s="125" r="G102"/>
      <c s="125" r="H102"/>
      <c s="125" r="I102"/>
      <c s="125" r="J102"/>
      <c s="125" r="K102"/>
      <c s="125" r="L102"/>
      <c s="125" r="M102"/>
      <c s="125" r="N102"/>
      <c s="125" r="O102"/>
      <c s="125" r="P102"/>
      <c s="125" r="Q102"/>
      <c s="125" r="R102"/>
      <c s="125" r="S102"/>
      <c s="125" r="T102"/>
      <c s="125" r="U102"/>
      <c s="125" r="V102"/>
      <c s="125" r="W102"/>
      <c s="125" r="X102"/>
      <c s="125" r="Y102"/>
      <c s="125" r="Z102"/>
      <c s="125" r="AA102"/>
      <c s="125" r="AB102"/>
      <c s="125" r="AC102"/>
      <c s="33" r="AD102"/>
      <c s="409" r="AE102"/>
      <c t="s" s="8" r="AF102">
        <v>507</v>
      </c>
      <c t="str" s="595" r="AG102">
        <f>90&amp;"  -"</f>
        <v>90  -</v>
      </c>
      <c s="411" r="AH102">
        <v>128</v>
      </c>
      <c s="550" r="AI102"/>
      <c t="str" s="42" r="AJ102">
        <f>(AI102/AI$110)+AJ101</f>
        <v>#DIV/0!:divZero</v>
      </c>
      <c t="str" s="619" r="AK102">
        <f>IF(OR((SUM(AI$86:AI103)=0),(SUM(AI102:AI$109)=0)),NA(),AJ102)</f>
        <v>#N/A:explicit</v>
      </c>
      <c s="140" r="AL102"/>
      <c s="908" r="AM102"/>
      <c s="551" r="AN102"/>
      <c s="551" r="AO102"/>
      <c s="551" r="AP102"/>
      <c s="551" r="AQ102"/>
      <c s="551" r="AR102"/>
      <c s="551" r="AS102"/>
      <c s="551" r="AT102"/>
      <c s="551" r="AU102"/>
      <c s="551" r="AV102"/>
      <c s="671" r="AW102"/>
      <c s="51" r="AX102"/>
      <c s="125" r="AY102"/>
      <c s="125" r="AZ102"/>
      <c s="125" r="BA102"/>
      <c s="125" r="BB102"/>
      <c s="125" r="BC102"/>
      <c s="125" r="BD102"/>
      <c s="125" r="BE102"/>
      <c s="341" r="BF102"/>
      <c s="761" r="BG102"/>
      <c s="125" r="BH102"/>
      <c s="125" r="BI102"/>
      <c s="125" r="BJ102"/>
      <c s="125" r="BK102"/>
      <c s="125" r="BL102"/>
      <c s="125" r="BM102"/>
      <c s="125" r="BN102"/>
      <c s="125" r="BO102"/>
      <c s="125" r="BP102"/>
      <c s="125" r="BQ102"/>
      <c s="125" r="BR102"/>
      <c s="125" r="BS102"/>
      <c s="125" r="BT102"/>
      <c s="125" r="BU102"/>
      <c s="125" r="BV102"/>
      <c s="125" r="BW102"/>
      <c s="125" r="BX102"/>
      <c s="125" r="BY102"/>
      <c s="125" r="BZ102"/>
      <c s="125" r="CA102"/>
      <c s="125" r="CB102"/>
      <c s="125" r="CC102"/>
      <c s="125" r="CD102"/>
      <c s="125" r="CE102"/>
      <c s="125" r="CF102"/>
      <c s="125" r="CG102"/>
      <c s="125" r="CH102"/>
      <c s="125" r="CI102"/>
      <c s="125" r="CJ102"/>
      <c s="125" r="CK102"/>
      <c s="125" r="CL102"/>
    </row>
    <row r="103">
      <c s="125" r="A103"/>
      <c s="125" r="B103"/>
      <c s="125" r="C103"/>
      <c s="125" r="D103"/>
      <c s="125" r="E103"/>
      <c s="125" r="F103"/>
      <c s="125" r="G103"/>
      <c s="125" r="H103"/>
      <c s="125" r="I103"/>
      <c s="125" r="J103"/>
      <c s="125" r="K103"/>
      <c s="125" r="L103"/>
      <c s="125" r="M103"/>
      <c s="125" r="N103"/>
      <c s="125" r="O103"/>
      <c s="125" r="P103"/>
      <c s="125" r="Q103"/>
      <c s="125" r="R103"/>
      <c s="125" r="S103"/>
      <c s="125" r="T103"/>
      <c s="125" r="U103"/>
      <c s="125" r="V103"/>
      <c s="125" r="W103"/>
      <c s="125" r="X103"/>
      <c s="125" r="Y103"/>
      <c s="125" r="Z103"/>
      <c s="125" r="AA103"/>
      <c s="125" r="AB103"/>
      <c s="125" r="AC103"/>
      <c s="33" r="AD103"/>
      <c s="409" r="AE103"/>
      <c t="s" s="8" r="AF103">
        <v>510</v>
      </c>
      <c t="str" s="595" r="AG103">
        <f>128&amp;"  -"</f>
        <v>128  -</v>
      </c>
      <c s="411" r="AH103">
        <v>180</v>
      </c>
      <c s="550" r="AI103"/>
      <c t="str" s="42" r="AJ103">
        <f>(AI103/AI$110)+AJ102</f>
        <v>#DIV/0!:divZero</v>
      </c>
      <c t="str" s="619" r="AK103">
        <f>IF(OR((SUM(AI$86:AI104)=0),(SUM(AI103:AI$109)=0)),NA(),AJ103)</f>
        <v>#N/A:explicit</v>
      </c>
      <c s="140" r="AL103"/>
      <c s="908" r="AM103"/>
      <c s="551" r="AN103"/>
      <c s="551" r="AO103"/>
      <c s="551" r="AP103"/>
      <c s="551" r="AQ103"/>
      <c s="551" r="AR103"/>
      <c s="551" r="AS103"/>
      <c s="551" r="AT103"/>
      <c s="551" r="AU103"/>
      <c s="551" r="AV103"/>
      <c s="671" r="AW103"/>
      <c s="51" r="AX103"/>
      <c s="125" r="AY103"/>
      <c s="125" r="AZ103"/>
      <c s="125" r="BA103"/>
      <c s="125" r="BB103"/>
      <c s="125" r="BC103"/>
      <c s="125" r="BD103"/>
      <c s="125" r="BE103"/>
      <c s="341" r="BF103"/>
      <c s="761" r="BG103"/>
      <c s="125" r="BH103"/>
      <c s="125" r="BI103"/>
      <c s="125" r="BJ103"/>
      <c s="125" r="BK103"/>
      <c s="125" r="BL103"/>
      <c s="125" r="BM103"/>
      <c s="125" r="BN103"/>
      <c s="125" r="BO103"/>
      <c s="125" r="BP103"/>
      <c s="125" r="BQ103"/>
      <c s="125" r="BR103"/>
      <c s="125" r="BS103"/>
      <c s="125" r="BT103"/>
      <c s="125" r="BU103"/>
      <c s="125" r="BV103"/>
      <c s="125" r="BW103"/>
      <c s="125" r="BX103"/>
      <c s="125" r="BY103"/>
      <c s="125" r="BZ103"/>
      <c s="125" r="CA103"/>
      <c s="125" r="CB103"/>
      <c s="125" r="CC103"/>
      <c s="125" r="CD103"/>
      <c s="125" r="CE103"/>
      <c s="125" r="CF103"/>
      <c s="125" r="CG103"/>
      <c s="125" r="CH103"/>
      <c s="125" r="CI103"/>
      <c s="125" r="CJ103"/>
      <c s="125" r="CK103"/>
      <c s="125" r="CL103"/>
    </row>
    <row r="104">
      <c s="125" r="A104"/>
      <c s="125" r="B104"/>
      <c s="125" r="C104"/>
      <c s="125" r="D104"/>
      <c s="125" r="E104"/>
      <c s="125" r="F104"/>
      <c s="125" r="G104"/>
      <c s="125" r="H104"/>
      <c s="125" r="I104"/>
      <c s="125" r="J104"/>
      <c s="125" r="K104"/>
      <c s="125" r="L104"/>
      <c s="125" r="M104"/>
      <c s="125" r="N104"/>
      <c s="125" r="O104"/>
      <c s="125" r="P104"/>
      <c s="125" r="Q104"/>
      <c s="125" r="R104"/>
      <c s="125" r="S104"/>
      <c s="125" r="T104"/>
      <c s="125" r="U104"/>
      <c s="125" r="V104"/>
      <c s="125" r="W104"/>
      <c s="125" r="X104"/>
      <c s="125" r="Y104"/>
      <c s="125" r="Z104"/>
      <c s="125" r="AA104"/>
      <c s="125" r="AB104"/>
      <c s="125" r="AC104"/>
      <c s="33" r="AD104"/>
      <c s="460" r="AE104"/>
      <c t="s" s="18" r="AF104">
        <v>513</v>
      </c>
      <c t="str" s="658" r="AG104">
        <f>180&amp;"  -"</f>
        <v>180  -</v>
      </c>
      <c s="672" r="AH104">
        <v>256</v>
      </c>
      <c s="550" r="AI104"/>
      <c t="str" s="42" r="AJ104">
        <f>(AI104/AI$110)+AJ103</f>
        <v>#DIV/0!:divZero</v>
      </c>
      <c t="str" s="619" r="AK104">
        <f>IF(OR((SUM(AI$86:AI105)=0),(SUM(AI104:AI$109)=0)),NA(),AJ104)</f>
        <v>#N/A:explicit</v>
      </c>
      <c s="140" r="AL104"/>
      <c s="908" r="AM104"/>
      <c s="551" r="AN104"/>
      <c s="551" r="AO104"/>
      <c s="551" r="AP104"/>
      <c s="551" r="AQ104"/>
      <c s="551" r="AR104"/>
      <c s="551" r="AS104"/>
      <c s="551" r="AT104"/>
      <c s="551" r="AU104"/>
      <c s="551" r="AV104"/>
      <c s="671" r="AW104"/>
      <c s="51" r="AX104"/>
      <c s="125" r="AY104"/>
      <c s="125" r="AZ104"/>
      <c s="125" r="BA104"/>
      <c s="125" r="BB104"/>
      <c s="125" r="BC104"/>
      <c s="125" r="BD104"/>
      <c s="125" r="BE104"/>
      <c s="341" r="BF104"/>
      <c s="761" r="BG104"/>
      <c s="125" r="BH104"/>
      <c s="125" r="BI104"/>
      <c s="125" r="BJ104"/>
      <c s="125" r="BK104"/>
      <c s="125" r="BL104"/>
      <c s="125" r="BM104"/>
      <c s="125" r="BN104"/>
      <c s="125" r="BO104"/>
      <c s="125" r="BP104"/>
      <c s="125" r="BQ104"/>
      <c s="125" r="BR104"/>
      <c s="125" r="BS104"/>
      <c s="125" r="BT104"/>
      <c s="125" r="BU104"/>
      <c s="125" r="BV104"/>
      <c s="125" r="BW104"/>
      <c s="125" r="BX104"/>
      <c s="125" r="BY104"/>
      <c s="125" r="BZ104"/>
      <c s="125" r="CA104"/>
      <c s="125" r="CB104"/>
      <c s="125" r="CC104"/>
      <c s="125" r="CD104"/>
      <c s="125" r="CE104"/>
      <c s="125" r="CF104"/>
      <c s="125" r="CG104"/>
      <c s="125" r="CH104"/>
      <c s="125" r="CI104"/>
      <c s="125" r="CJ104"/>
      <c s="125" r="CK104"/>
      <c s="125" r="CL104"/>
    </row>
    <row r="105">
      <c s="125" r="A105"/>
      <c s="125" r="B105"/>
      <c s="125" r="C105"/>
      <c s="125" r="D105"/>
      <c s="125" r="E105"/>
      <c s="125" r="F105"/>
      <c s="125" r="G105"/>
      <c s="125" r="H105"/>
      <c s="125" r="I105"/>
      <c s="125" r="J105"/>
      <c s="125" r="K105"/>
      <c s="125" r="L105"/>
      <c s="125" r="M105"/>
      <c s="125" r="N105"/>
      <c s="125" r="O105"/>
      <c s="125" r="P105"/>
      <c s="125" r="Q105"/>
      <c s="125" r="R105"/>
      <c s="125" r="S105"/>
      <c s="125" r="T105"/>
      <c s="125" r="U105"/>
      <c s="125" r="V105"/>
      <c s="125" r="W105"/>
      <c s="125" r="X105"/>
      <c s="125" r="Y105"/>
      <c s="125" r="Z105"/>
      <c s="125" r="AA105"/>
      <c s="125" r="AB105"/>
      <c s="125" r="AC105"/>
      <c s="33" r="AD105"/>
      <c s="511" r="AE105"/>
      <c t="s" s="416" r="AF105">
        <v>516</v>
      </c>
      <c t="str" s="73" r="AG105">
        <f>256&amp;"  -"</f>
        <v>256  -</v>
      </c>
      <c s="860" r="AH105">
        <v>362</v>
      </c>
      <c s="550" r="AI105"/>
      <c t="str" s="42" r="AJ105">
        <f>(AI105/AI$110)+AJ104</f>
        <v>#DIV/0!:divZero</v>
      </c>
      <c t="str" s="619" r="AK105">
        <f>IF(OR((SUM(AI$86:AI106)=0),(SUM(AI105:AI$109)=0)),NA(),AJ105)</f>
        <v>#N/A:explicit</v>
      </c>
      <c s="140" r="AL105"/>
      <c s="908" r="AM105"/>
      <c s="551" r="AN105"/>
      <c s="551" r="AO105"/>
      <c s="551" r="AP105"/>
      <c s="551" r="AQ105"/>
      <c s="551" r="AR105"/>
      <c s="551" r="AS105"/>
      <c s="551" r="AT105"/>
      <c s="551" r="AU105"/>
      <c s="551" r="AV105"/>
      <c s="671" r="AW105"/>
      <c s="51" r="AX105"/>
      <c s="125" r="AY105"/>
      <c s="125" r="AZ105"/>
      <c s="125" r="BA105"/>
      <c s="125" r="BB105"/>
      <c s="125" r="BC105"/>
      <c s="125" r="BD105"/>
      <c s="125" r="BE105"/>
      <c s="341" r="BF105"/>
      <c s="761" r="BG105"/>
      <c s="125" r="BH105"/>
      <c s="125" r="BI105"/>
      <c s="125" r="BJ105"/>
      <c s="125" r="BK105"/>
      <c s="125" r="BL105"/>
      <c s="125" r="BM105"/>
      <c s="125" r="BN105"/>
      <c s="125" r="BO105"/>
      <c s="125" r="BP105"/>
      <c s="125" r="BQ105"/>
      <c s="125" r="BR105"/>
      <c s="125" r="BS105"/>
      <c s="125" r="BT105"/>
      <c s="125" r="BU105"/>
      <c s="125" r="BV105"/>
      <c s="125" r="BW105"/>
      <c s="125" r="BX105"/>
      <c s="125" r="BY105"/>
      <c s="125" r="BZ105"/>
      <c s="125" r="CA105"/>
      <c s="125" r="CB105"/>
      <c s="125" r="CC105"/>
      <c s="125" r="CD105"/>
      <c s="125" r="CE105"/>
      <c s="125" r="CF105"/>
      <c s="125" r="CG105"/>
      <c s="125" r="CH105"/>
      <c s="125" r="CI105"/>
      <c s="125" r="CJ105"/>
      <c s="125" r="CK105"/>
      <c s="125" r="CL105"/>
    </row>
    <row r="106">
      <c s="125" r="A106"/>
      <c s="125" r="B106"/>
      <c s="125" r="C106"/>
      <c s="125" r="D106"/>
      <c s="125" r="E106"/>
      <c s="125" r="F106"/>
      <c s="125" r="G106"/>
      <c s="125" r="H106"/>
      <c s="125" r="I106"/>
      <c s="125" r="J106"/>
      <c s="125" r="K106"/>
      <c s="125" r="L106"/>
      <c s="125" r="M106"/>
      <c s="125" r="N106"/>
      <c s="125" r="O106"/>
      <c s="125" r="P106"/>
      <c s="125" r="Q106"/>
      <c s="125" r="R106"/>
      <c s="125" r="S106"/>
      <c s="125" r="T106"/>
      <c s="125" r="U106"/>
      <c s="125" r="V106"/>
      <c s="125" r="W106"/>
      <c s="125" r="X106"/>
      <c s="125" r="Y106"/>
      <c s="125" r="Z106"/>
      <c s="125" r="AA106"/>
      <c s="125" r="AB106"/>
      <c s="125" r="AC106"/>
      <c s="33" r="AD106"/>
      <c s="409" r="AE106"/>
      <c t="s" s="8" r="AF106">
        <v>516</v>
      </c>
      <c t="str" s="595" r="AG106">
        <f>362&amp;"  -"</f>
        <v>362  -</v>
      </c>
      <c s="411" r="AH106">
        <v>512</v>
      </c>
      <c s="550" r="AI106"/>
      <c t="str" s="42" r="AJ106">
        <f>(AI106/AI$110)+AJ105</f>
        <v>#DIV/0!:divZero</v>
      </c>
      <c t="str" s="619" r="AK106">
        <f>IF(OR((SUM(AI$86:AI107)=0),(SUM(AI106:AI$109)=0)),NA(),AJ106)</f>
        <v>#N/A:explicit</v>
      </c>
      <c s="140" r="AL106"/>
      <c s="908" r="AM106"/>
      <c s="551" r="AN106"/>
      <c s="551" r="AO106"/>
      <c s="551" r="AP106"/>
      <c s="551" r="AQ106"/>
      <c s="551" r="AR106"/>
      <c s="551" r="AS106"/>
      <c s="551" r="AT106"/>
      <c s="551" r="AU106"/>
      <c s="551" r="AV106"/>
      <c s="671" r="AW106"/>
      <c s="51" r="AX106"/>
      <c s="125" r="AY106"/>
      <c s="125" r="AZ106"/>
      <c s="125" r="BA106"/>
      <c s="125" r="BB106"/>
      <c s="125" r="BC106"/>
      <c s="125" r="BD106"/>
      <c s="125" r="BE106"/>
      <c s="341" r="BF106"/>
      <c s="761" r="BG106"/>
      <c s="125" r="BH106"/>
      <c s="125" r="BI106"/>
      <c s="125" r="BJ106"/>
      <c s="125" r="BK106"/>
      <c s="125" r="BL106"/>
      <c s="125" r="BM106"/>
      <c s="125" r="BN106"/>
      <c s="125" r="BO106"/>
      <c s="125" r="BP106"/>
      <c s="125" r="BQ106"/>
      <c s="125" r="BR106"/>
      <c s="125" r="BS106"/>
      <c s="125" r="BT106"/>
      <c s="125" r="BU106"/>
      <c s="125" r="BV106"/>
      <c s="125" r="BW106"/>
      <c s="125" r="BX106"/>
      <c s="125" r="BY106"/>
      <c s="125" r="BZ106"/>
      <c s="125" r="CA106"/>
      <c s="125" r="CB106"/>
      <c s="125" r="CC106"/>
      <c s="125" r="CD106"/>
      <c s="125" r="CE106"/>
      <c s="125" r="CF106"/>
      <c s="125" r="CG106"/>
      <c s="125" r="CH106"/>
      <c s="125" r="CI106"/>
      <c s="125" r="CJ106"/>
      <c s="125" r="CK106"/>
      <c s="125" r="CL106"/>
    </row>
    <row r="107">
      <c s="125" r="A107"/>
      <c s="125" r="B107"/>
      <c s="125" r="C107"/>
      <c s="125" r="D107"/>
      <c s="125" r="E107"/>
      <c s="125" r="F107"/>
      <c s="125" r="G107"/>
      <c s="125" r="H107"/>
      <c s="125" r="I107"/>
      <c s="125" r="J107"/>
      <c s="125" r="K107"/>
      <c s="125" r="L107"/>
      <c s="125" r="M107"/>
      <c s="125" r="N107"/>
      <c s="125" r="O107"/>
      <c s="125" r="P107"/>
      <c s="125" r="Q107"/>
      <c s="125" r="R107"/>
      <c s="125" r="S107"/>
      <c s="125" r="T107"/>
      <c s="125" r="U107"/>
      <c s="125" r="V107"/>
      <c s="125" r="W107"/>
      <c s="125" r="X107"/>
      <c s="125" r="Y107"/>
      <c s="125" r="Z107"/>
      <c s="125" r="AA107"/>
      <c s="125" r="AB107"/>
      <c s="125" r="AC107"/>
      <c s="33" r="AD107"/>
      <c s="409" r="AE107"/>
      <c t="s" s="8" r="AF107">
        <v>518</v>
      </c>
      <c t="str" s="595" r="AG107">
        <f>512&amp;"  -"</f>
        <v>512  -</v>
      </c>
      <c s="411" r="AH107">
        <v>1024</v>
      </c>
      <c s="550" r="AI107"/>
      <c t="str" s="42" r="AJ107">
        <f>(AI107/AI$110)+AJ106</f>
        <v>#DIV/0!:divZero</v>
      </c>
      <c t="str" s="619" r="AK107">
        <f>IF(OR((SUM(AI$86:AI108)=0),(SUM(AI107:AI$109)=0)),NA(),AJ107)</f>
        <v>#N/A:explicit</v>
      </c>
      <c s="140" r="AL107">
        <v>0.01</v>
      </c>
      <c s="908" r="AM107"/>
      <c s="551" r="AN107"/>
      <c s="551" r="AO107"/>
      <c s="551" r="AP107"/>
      <c s="551" r="AQ107"/>
      <c s="551" r="AR107"/>
      <c s="551" r="AS107"/>
      <c s="551" r="AT107"/>
      <c s="551" r="AU107"/>
      <c s="551" r="AV107"/>
      <c s="671" r="AW107"/>
      <c s="51" r="AX107"/>
      <c s="125" r="AY107"/>
      <c s="125" r="AZ107"/>
      <c s="125" r="BA107"/>
      <c s="125" r="BB107"/>
      <c s="125" r="BC107"/>
      <c s="125" r="BD107"/>
      <c s="125" r="BE107"/>
      <c s="341" r="BF107"/>
      <c s="761" r="BG107"/>
      <c s="125" r="BH107"/>
      <c s="125" r="BI107"/>
      <c s="125" r="BJ107"/>
      <c s="125" r="BK107"/>
      <c s="125" r="BL107"/>
      <c s="125" r="BM107"/>
      <c s="125" r="BN107"/>
      <c s="125" r="BO107"/>
      <c s="125" r="BP107"/>
      <c s="125" r="BQ107"/>
      <c s="125" r="BR107"/>
      <c s="125" r="BS107"/>
      <c s="125" r="BT107"/>
      <c s="125" r="BU107"/>
      <c s="125" r="BV107"/>
      <c s="125" r="BW107"/>
      <c s="125" r="BX107"/>
      <c s="125" r="BY107"/>
      <c s="125" r="BZ107"/>
      <c s="125" r="CA107"/>
      <c s="125" r="CB107"/>
      <c s="125" r="CC107"/>
      <c s="125" r="CD107"/>
      <c s="125" r="CE107"/>
      <c s="125" r="CF107"/>
      <c s="125" r="CG107"/>
      <c s="125" r="CH107"/>
      <c s="125" r="CI107"/>
      <c s="125" r="CJ107"/>
      <c s="125" r="CK107"/>
      <c s="125" r="CL107"/>
    </row>
    <row r="108">
      <c s="125" r="A108"/>
      <c s="125" r="B108"/>
      <c s="125" r="C108"/>
      <c s="125" r="D108"/>
      <c s="125" r="E108"/>
      <c s="125" r="F108"/>
      <c s="125" r="G108"/>
      <c s="125" r="H108"/>
      <c s="125" r="I108"/>
      <c s="125" r="J108"/>
      <c s="125" r="K108"/>
      <c s="125" r="L108"/>
      <c s="125" r="M108"/>
      <c s="125" r="N108"/>
      <c s="125" r="O108"/>
      <c s="125" r="P108"/>
      <c s="125" r="Q108"/>
      <c s="125" r="R108"/>
      <c s="125" r="S108"/>
      <c s="125" r="T108"/>
      <c s="125" r="U108"/>
      <c s="125" r="V108"/>
      <c s="125" r="W108"/>
      <c s="125" r="X108"/>
      <c s="125" r="Y108"/>
      <c s="125" r="Z108"/>
      <c s="125" r="AA108"/>
      <c s="125" r="AB108"/>
      <c s="125" r="AC108"/>
      <c s="33" r="AD108"/>
      <c s="409" r="AE108"/>
      <c t="s" s="8" r="AF108">
        <v>520</v>
      </c>
      <c t="str" s="595" r="AG108">
        <f>1024&amp;"  -"</f>
        <v>1024  -</v>
      </c>
      <c s="411" r="AH108">
        <v>2048</v>
      </c>
      <c s="550" r="AI108"/>
      <c t="str" s="42" r="AJ108">
        <f>(AI108/AI$110)+AJ107</f>
        <v>#DIV/0!:divZero</v>
      </c>
      <c t="str" s="619" r="AK108">
        <f>IF(OR((SUM(AI$86:AI109)=0),(SUM(AI108:AI$109)=0)),NA(),AJ108)</f>
        <v>#N/A:explicit</v>
      </c>
      <c t="str" s="140" r="AL108">
        <f>AO114</f>
        <v>---</v>
      </c>
      <c s="908" r="AM108"/>
      <c s="551" r="AN108"/>
      <c s="551" r="AO108"/>
      <c s="551" r="AP108"/>
      <c s="551" r="AQ108"/>
      <c s="551" r="AR108"/>
      <c s="551" r="AS108"/>
      <c s="551" r="AT108"/>
      <c s="551" r="AU108"/>
      <c s="551" r="AV108"/>
      <c s="671" r="AW108"/>
      <c s="51" r="AX108"/>
      <c s="125" r="AY108"/>
      <c s="125" r="AZ108"/>
      <c s="125" r="BA108"/>
      <c s="125" r="BB108"/>
      <c s="125" r="BC108"/>
      <c s="125" r="BD108"/>
      <c s="125" r="BE108"/>
      <c s="341" r="BF108"/>
      <c s="761" r="BG108"/>
      <c s="125" r="BH108"/>
      <c s="125" r="BI108"/>
      <c s="125" r="BJ108"/>
      <c s="125" r="BK108"/>
      <c s="125" r="BL108"/>
      <c s="125" r="BM108"/>
      <c s="125" r="BN108"/>
      <c s="125" r="BO108"/>
      <c s="125" r="BP108"/>
      <c s="125" r="BQ108"/>
      <c s="125" r="BR108"/>
      <c s="125" r="BS108"/>
      <c s="125" r="BT108"/>
      <c s="125" r="BU108"/>
      <c s="125" r="BV108"/>
      <c s="125" r="BW108"/>
      <c s="125" r="BX108"/>
      <c s="125" r="BY108"/>
      <c s="125" r="BZ108"/>
      <c s="125" r="CA108"/>
      <c s="125" r="CB108"/>
      <c s="125" r="CC108"/>
      <c s="125" r="CD108"/>
      <c s="125" r="CE108"/>
      <c s="125" r="CF108"/>
      <c s="125" r="CG108"/>
      <c s="125" r="CH108"/>
      <c s="125" r="CI108"/>
      <c s="125" r="CJ108"/>
      <c s="125" r="CK108"/>
      <c s="125" r="CL108"/>
    </row>
    <row customHeight="1" r="109" ht="13.5">
      <c s="125" r="A109"/>
      <c s="125" r="B109"/>
      <c s="125" r="C109"/>
      <c s="125" r="D109"/>
      <c s="125" r="E109"/>
      <c s="125" r="F109"/>
      <c s="125" r="G109"/>
      <c s="125" r="H109"/>
      <c s="125" r="I109"/>
      <c s="125" r="J109"/>
      <c s="125" r="K109"/>
      <c s="125" r="L109"/>
      <c s="125" r="M109"/>
      <c s="125" r="N109"/>
      <c s="125" r="O109"/>
      <c s="125" r="P109"/>
      <c s="125" r="Q109"/>
      <c s="125" r="R109"/>
      <c s="125" r="S109"/>
      <c s="125" r="T109"/>
      <c s="125" r="U109"/>
      <c s="125" r="V109"/>
      <c s="125" r="W109"/>
      <c s="125" r="X109"/>
      <c s="125" r="Y109"/>
      <c s="125" r="Z109"/>
      <c s="125" r="AA109"/>
      <c s="125" r="AB109"/>
      <c s="125" r="AC109"/>
      <c s="33" r="AD109"/>
      <c s="759" r="AE109"/>
      <c t="s" s="538" r="AF109">
        <v>522</v>
      </c>
      <c t="str" s="820" r="AG109">
        <f>2048&amp;"  -"</f>
        <v>2048  -</v>
      </c>
      <c s="565" r="AH109">
        <v>4096</v>
      </c>
      <c s="550" r="AI109"/>
      <c t="str" s="42" r="AJ109">
        <f>(AI109/AI$110)+AJ108</f>
        <v>#DIV/0!:divZero</v>
      </c>
      <c t="str" s="619" r="AK109">
        <f>IF(OR((SUM(AI$86:AI110)=0),(SUM(AI109:AI$109)=0)),NA(),AJ109)</f>
        <v>#N/A:explicit</v>
      </c>
      <c t="str" s="140" r="AL109">
        <f>AO114</f>
        <v>---</v>
      </c>
      <c s="582" r="AM109"/>
      <c s="8" r="AN109"/>
      <c s="52" r="AO109"/>
      <c s="8" r="AP109"/>
      <c s="551" r="AQ109"/>
      <c s="472" r="AR109"/>
      <c s="551" r="AS109"/>
      <c s="52" r="AT109"/>
      <c s="551" r="AU109"/>
      <c s="551" r="AV109"/>
      <c s="671" r="AW109"/>
      <c s="51" r="AX109"/>
      <c s="125" r="AY109"/>
      <c s="125" r="AZ109"/>
      <c s="125" r="BA109"/>
      <c s="125" r="BB109"/>
      <c s="125" r="BC109"/>
      <c s="125" r="BD109"/>
      <c s="125" r="BE109"/>
      <c s="341" r="BF109"/>
      <c s="761" r="BG109"/>
      <c s="125" r="BH109"/>
      <c s="125" r="BI109"/>
      <c s="125" r="BJ109"/>
      <c s="125" r="BK109"/>
      <c s="125" r="BL109"/>
      <c s="125" r="BM109"/>
      <c s="125" r="BN109"/>
      <c s="125" r="BO109"/>
      <c s="125" r="BP109"/>
      <c s="125" r="BQ109"/>
      <c s="125" r="BR109"/>
      <c s="125" r="BS109"/>
      <c s="125" r="BT109"/>
      <c s="125" r="BU109"/>
      <c s="125" r="BV109"/>
      <c s="125" r="BW109"/>
      <c s="125" r="BX109"/>
      <c s="125" r="BY109"/>
      <c s="125" r="BZ109"/>
      <c s="125" r="CA109"/>
      <c s="125" r="CB109"/>
      <c s="125" r="CC109"/>
      <c s="125" r="CD109"/>
      <c s="125" r="CE109"/>
      <c s="125" r="CF109"/>
      <c s="125" r="CG109"/>
      <c s="125" r="CH109"/>
      <c s="125" r="CI109"/>
      <c s="125" r="CJ109"/>
      <c s="125" r="CK109"/>
      <c s="125" r="CL109"/>
    </row>
    <row customHeight="1" r="110" ht="15.0">
      <c s="125" r="A110"/>
      <c s="125" r="B110"/>
      <c s="125" r="C110"/>
      <c s="125" r="D110"/>
      <c s="125" r="E110"/>
      <c s="125" r="F110"/>
      <c s="125" r="G110"/>
      <c s="125" r="H110"/>
      <c s="125" r="I110"/>
      <c s="125" r="J110"/>
      <c s="125" r="K110"/>
      <c s="125" r="L110"/>
      <c s="125" r="M110"/>
      <c s="125" r="N110"/>
      <c s="125" r="O110"/>
      <c s="125" r="P110"/>
      <c s="125" r="Q110"/>
      <c s="125" r="R110"/>
      <c s="125" r="S110"/>
      <c s="125" r="T110"/>
      <c s="125" r="U110"/>
      <c s="125" r="V110"/>
      <c s="125" r="W110"/>
      <c s="125" r="X110"/>
      <c s="125" r="Y110"/>
      <c s="125" r="Z110"/>
      <c s="125" r="AA110"/>
      <c s="125" r="AB110"/>
      <c s="125" r="AC110"/>
      <c s="33" r="AD110"/>
      <c s="178" r="AE110"/>
      <c s="640" r="AF110"/>
      <c s="213" r="AG110"/>
      <c t="s" s="65" r="AH110">
        <v>532</v>
      </c>
      <c s="897" r="AI110">
        <f>SUM(AI86:AI109)</f>
        <v>0</v>
      </c>
      <c t="s" s="42" r="AJ110">
        <v>503</v>
      </c>
      <c s="619" r="AK110"/>
      <c t="str" s="140" r="AL110">
        <f>IF((AI110&gt;0),0.5,NA())</f>
        <v>#N/A:explicit</v>
      </c>
      <c s="585" r="AM110"/>
      <c s="271" r="AN110"/>
      <c s="271" r="AO110"/>
      <c s="271" r="AP110"/>
      <c s="271" r="AQ110"/>
      <c s="271" r="AR110"/>
      <c s="271" r="AS110"/>
      <c s="271" r="AT110"/>
      <c s="271" r="AU110"/>
      <c s="271" r="AV110"/>
      <c s="354" r="AW110"/>
      <c s="51" r="AX110"/>
      <c s="125" r="AY110"/>
      <c s="125" r="AZ110"/>
      <c s="125" r="BA110"/>
      <c s="125" r="BB110"/>
      <c s="125" r="BC110"/>
      <c s="125" r="BD110"/>
      <c s="125" r="BE110"/>
      <c s="341" r="BF110"/>
      <c s="761" r="BG110"/>
      <c s="125" r="BH110"/>
      <c s="125" r="BI110"/>
      <c s="125" r="BJ110"/>
      <c s="125" r="BK110"/>
      <c s="125" r="BL110"/>
      <c s="125" r="BM110"/>
      <c s="125" r="BN110"/>
      <c s="125" r="BO110"/>
      <c s="125" r="BP110"/>
      <c s="125" r="BQ110"/>
      <c s="125" r="BR110"/>
      <c s="125" r="BS110"/>
      <c s="125" r="BT110"/>
      <c s="125" r="BU110"/>
      <c s="125" r="BV110"/>
      <c s="125" r="BW110"/>
      <c s="125" r="BX110"/>
      <c s="125" r="BY110"/>
      <c s="125" r="BZ110"/>
      <c s="125" r="CA110"/>
      <c s="125" r="CB110"/>
      <c s="125" r="CC110"/>
      <c s="125" r="CD110"/>
      <c s="125" r="CE110"/>
      <c s="125" r="CF110"/>
      <c s="125" r="CG110"/>
      <c s="125" r="CH110"/>
      <c s="125" r="CI110"/>
      <c s="125" r="CJ110"/>
      <c s="125" r="CK110"/>
      <c s="125" r="CL110"/>
    </row>
    <row r="111">
      <c s="125" r="A111"/>
      <c s="125" r="B111"/>
      <c s="125" r="C111"/>
      <c s="125" r="D111"/>
      <c s="125" r="E111"/>
      <c s="125" r="F111"/>
      <c s="125" r="G111"/>
      <c s="125" r="H111"/>
      <c s="125" r="I111"/>
      <c s="125" r="J111"/>
      <c s="125" r="K111"/>
      <c s="125" r="L111"/>
      <c s="125" r="M111"/>
      <c s="125" r="N111"/>
      <c s="125" r="O111"/>
      <c s="125" r="P111"/>
      <c s="125" r="Q111"/>
      <c s="125" r="R111"/>
      <c s="125" r="S111"/>
      <c s="125" r="T111"/>
      <c s="125" r="U111"/>
      <c s="125" r="V111"/>
      <c s="125" r="W111"/>
      <c s="125" r="X111"/>
      <c s="125" r="Y111"/>
      <c s="125" r="Z111"/>
      <c s="125" r="AA111"/>
      <c s="125" r="AB111"/>
      <c s="125" r="AC111"/>
      <c s="33" r="AD111"/>
      <c s="908" r="AE111"/>
      <c s="551" r="AF111"/>
      <c s="551" r="AG111"/>
      <c s="551" r="AH111"/>
      <c s="397" r="AI111"/>
      <c s="259" r="AJ111">
        <f>IF((AI110=0),0,IF((AJ86&gt;=0.16),0.062,IF((SUMIF(AJ86:AJ109,"=.16")&gt;=1),INDEX(AH86:AH109,MATCH(0.16,AJ86:AJ109,0)),(2^(LOG((INDEX(AH86:AH109,MATCH(0.16,AJ86:AJ109,1))),2)+(((LOG((INDEX(AH86:AH109,(MATCH(0.16,AJ86:AJ109,1)+1))),2)-LOG((INDEX(AH86:AH109,MATCH(0.16,AJ86:AJ109,1))),2))*(0.16-INDEX(AJ86:AJ109,MATCH(0.16,AJ86:AJ109,1))))/(INDEX(AJ86:AJ109,(MATCH(0.16,AJ86:AJ109,1)+1))-INDEX(AJ86:AJ109,MATCH(0.16,AJ86:AJ109,1)))))))))</f>
        <v>0</v>
      </c>
      <c s="832" r="AK111"/>
      <c t="str" s="140" r="AL111">
        <f>AL110</f>
        <v>#N/A:explicit</v>
      </c>
      <c s="908" r="AM111"/>
      <c t="s" s="680" r="AN111">
        <v>525</v>
      </c>
      <c s="680" r="AO111"/>
      <c s="551" r="AP111"/>
      <c t="s" s="680" r="AQ111">
        <v>535</v>
      </c>
      <c s="680" r="AR111"/>
      <c s="551" r="AS111"/>
      <c s="414" r="AT111"/>
      <c t="s" s="414" r="AU111">
        <v>536</v>
      </c>
      <c s="414" r="AV111"/>
      <c s="671" r="AW111"/>
      <c s="51" r="AX111"/>
      <c s="125" r="AY111"/>
      <c s="125" r="AZ111"/>
      <c s="125" r="BA111"/>
      <c s="125" r="BB111"/>
      <c s="125" r="BC111"/>
      <c s="125" r="BD111"/>
      <c s="125" r="BE111"/>
      <c s="341" r="BF111"/>
      <c s="761" r="BG111"/>
      <c s="125" r="BH111"/>
      <c s="125" r="BI111"/>
      <c s="125" r="BJ111"/>
      <c s="125" r="BK111"/>
      <c s="125" r="BL111"/>
      <c s="125" r="BM111"/>
      <c s="125" r="BN111"/>
      <c s="125" r="BO111"/>
      <c s="125" r="BP111"/>
      <c s="125" r="BQ111"/>
      <c s="125" r="BR111"/>
      <c s="125" r="BS111"/>
      <c s="125" r="BT111"/>
      <c s="125" r="BU111"/>
      <c s="125" r="BV111"/>
      <c s="125" r="BW111"/>
      <c s="125" r="BX111"/>
      <c s="125" r="BY111"/>
      <c s="125" r="BZ111"/>
      <c s="125" r="CA111"/>
      <c s="125" r="CB111"/>
      <c s="125" r="CC111"/>
      <c s="125" r="CD111"/>
      <c s="125" r="CE111"/>
      <c s="125" r="CF111"/>
      <c s="125" r="CG111"/>
      <c s="125" r="CH111"/>
      <c s="125" r="CI111"/>
      <c s="125" r="CJ111"/>
      <c s="125" r="CK111"/>
      <c s="125" r="CL111"/>
    </row>
    <row r="112">
      <c s="125" r="A112"/>
      <c s="125" r="B112"/>
      <c s="125" r="C112"/>
      <c s="125" r="D112"/>
      <c s="125" r="E112"/>
      <c s="125" r="F112"/>
      <c s="125" r="G112"/>
      <c s="125" r="H112"/>
      <c s="125" r="I112"/>
      <c s="125" r="J112"/>
      <c s="125" r="K112"/>
      <c s="125" r="L112"/>
      <c s="125" r="M112"/>
      <c s="125" r="N112"/>
      <c s="125" r="O112"/>
      <c s="125" r="P112"/>
      <c s="125" r="Q112"/>
      <c s="125" r="R112"/>
      <c s="125" r="S112"/>
      <c s="125" r="T112"/>
      <c s="125" r="U112"/>
      <c s="125" r="V112"/>
      <c s="125" r="W112"/>
      <c s="125" r="X112"/>
      <c s="125" r="Y112"/>
      <c s="125" r="Z112"/>
      <c s="125" r="AA112"/>
      <c s="125" r="AB112"/>
      <c s="125" r="AC112"/>
      <c s="33" r="AD112"/>
      <c s="424" r="AE112"/>
      <c t="s" s="37" r="AF112">
        <v>537</v>
      </c>
      <c t="str" s="67" r="AG112">
        <f>"---------------------"</f>
        <v>---------------------</v>
      </c>
      <c s="390" r="AH112"/>
      <c s="598" r="AI112"/>
      <c s="259" r="AJ112">
        <f>IF((AI110=0),0,IF((AJ86&gt;=0.35),0.062,IF((SUMIF(AJ86:AJ109,"=.35")&gt;=1),INDEX(AH86:AH109,MATCH(0.35,AJ86:AJ109,0)),(2^(LOG((INDEX(AH86:AH109,MATCH(0.35,AJ86:AJ109,1))),2)+(((LOG((INDEX(AH86:AH109,(MATCH(0.35,AJ86:AJ109,1)+1))),2)-LOG((INDEX(AH86:AH109,MATCH(0.35,AJ86:AJ109,1))),2))*(0.35-INDEX(AJ86:AJ109,MATCH(0.35,AJ86:AJ109,1))))/(INDEX(AJ86:AJ109,(MATCH(0.35,AJ86:AJ109,1)+1))-INDEX(AJ86:AJ109,MATCH(0.35,AJ86:AJ109,1)))))))))</f>
        <v>0</v>
      </c>
      <c s="95" r="AK112"/>
      <c s="140" r="AL112">
        <v>0</v>
      </c>
      <c s="116" r="AM112"/>
      <c t="s" s="155" r="AN112">
        <v>526</v>
      </c>
      <c t="str" s="736" r="AO112">
        <f>IF((AI110=0),"---",(ROUND((AJ111/(10^TRUNC(LOG(AJ111)))),(2-IF((AJ111&gt;1),1,0)))*(10^TRUNC(LOG(AJ111)))))</f>
        <v>---</v>
      </c>
      <c s="551" r="AP112"/>
      <c t="s" s="155" r="AQ112">
        <v>538</v>
      </c>
      <c t="str" s="13" r="AR112">
        <f>IF(ISNUMBER((AO112*AO116)),((AO112*AO116)^0.5),"---")</f>
        <v>---</v>
      </c>
      <c s="518" r="AS112"/>
      <c t="s" s="403" r="AT112">
        <v>469</v>
      </c>
      <c t="str" s="200" r="AU112">
        <f>IF(AI116,((AI86)/AI116),"---")</f>
        <v>---</v>
      </c>
      <c t="str" s="403" r="AV112">
        <f>IF((AI112&gt;0),"bedrock","")</f>
        <v/>
      </c>
      <c t="str" s="26" r="AW112">
        <f>IF((AI112&gt;0),(AI112/AI116),"")</f>
        <v/>
      </c>
      <c s="51" r="AX112"/>
      <c s="125" r="AY112"/>
      <c s="125" r="AZ112"/>
      <c s="125" r="BA112"/>
      <c s="125" r="BB112"/>
      <c s="125" r="BC112"/>
      <c s="125" r="BD112"/>
      <c s="125" r="BE112"/>
      <c s="341" r="BF112"/>
      <c s="761" r="BG112"/>
      <c s="125" r="BH112"/>
      <c s="125" r="BI112"/>
      <c s="125" r="BJ112"/>
      <c s="125" r="BK112"/>
      <c s="125" r="BL112"/>
      <c s="125" r="BM112"/>
      <c s="125" r="BN112"/>
      <c s="125" r="BO112"/>
      <c s="125" r="BP112"/>
      <c s="125" r="BQ112"/>
      <c s="125" r="BR112"/>
      <c s="125" r="BS112"/>
      <c s="125" r="BT112"/>
      <c s="125" r="BU112"/>
      <c s="125" r="BV112"/>
      <c s="125" r="BW112"/>
      <c s="125" r="BX112"/>
      <c s="125" r="BY112"/>
      <c s="125" r="BZ112"/>
      <c s="125" r="CA112"/>
      <c s="125" r="CB112"/>
      <c s="125" r="CC112"/>
      <c s="125" r="CD112"/>
      <c s="125" r="CE112"/>
      <c s="125" r="CF112"/>
      <c s="125" r="CG112"/>
      <c s="125" r="CH112"/>
      <c s="125" r="CI112"/>
      <c s="125" r="CJ112"/>
      <c s="125" r="CK112"/>
      <c s="125" r="CL112"/>
    </row>
    <row r="113">
      <c s="125" r="A113"/>
      <c s="125" r="B113"/>
      <c s="125" r="C113"/>
      <c s="125" r="D113"/>
      <c s="125" r="E113"/>
      <c s="125" r="F113"/>
      <c s="125" r="G113"/>
      <c s="125" r="H113"/>
      <c s="125" r="I113"/>
      <c s="125" r="J113"/>
      <c s="125" r="K113"/>
      <c s="125" r="L113"/>
      <c s="125" r="M113"/>
      <c s="125" r="N113"/>
      <c s="125" r="O113"/>
      <c s="125" r="P113"/>
      <c s="125" r="Q113"/>
      <c s="125" r="R113"/>
      <c s="125" r="S113"/>
      <c s="125" r="T113"/>
      <c s="125" r="U113"/>
      <c s="125" r="V113"/>
      <c s="125" r="W113"/>
      <c s="125" r="X113"/>
      <c s="125" r="Y113"/>
      <c s="125" r="Z113"/>
      <c s="125" r="AA113"/>
      <c s="125" r="AB113"/>
      <c s="125" r="AC113"/>
      <c s="33" r="AD113"/>
      <c s="424" r="AE113"/>
      <c t="s" s="37" r="AF113">
        <v>539</v>
      </c>
      <c t="str" s="67" r="AG113">
        <f>"---------------------"</f>
        <v>---------------------</v>
      </c>
      <c s="390" r="AH113"/>
      <c s="598" r="AI113"/>
      <c s="259" r="AJ113">
        <f>IF((AI110=0),0,IF((AJ86&gt;=0.5),0.062,IF((SUMIF(AJ86:AJ109,"=.5")&gt;=1),INDEX(AH86:AH109,MATCH(0.5,AJ86:AJ109,0)),(2^(LOG((INDEX(AH86:AH109,MATCH(0.5,AJ86:AJ109,1))),2)+(((LOG((INDEX(AH86:AH109,(MATCH(0.5,AJ86:AJ109,1)+1))),2)-LOG((INDEX(AH86:AH109,MATCH(0.5,AJ86:AJ109,1))),2))*(0.5-INDEX(AJ86:AJ109,MATCH(0.5,AJ86:AJ109,1))))/(INDEX(AJ86:AJ109,(MATCH(0.5,AJ86:AJ109,1)+1))-INDEX(AJ86:AJ109,MATCH(0.5,AJ86:AJ109,1)))))))))</f>
        <v>0</v>
      </c>
      <c s="282" r="AK113"/>
      <c s="140" r="AL113">
        <v>0.01</v>
      </c>
      <c s="116" r="AM113"/>
      <c t="s" s="766" r="AN113">
        <v>530</v>
      </c>
      <c t="str" s="52" r="AO113">
        <f>IF((AI110=0),"---",(ROUND((AJ112/(10^TRUNC(LOG(AJ112)))),(2-IF((AJ112&gt;1),1,0)))*(10^TRUNC(LOG(AJ112)))))</f>
        <v>---</v>
      </c>
      <c s="551" r="AP113"/>
      <c t="s" s="766" r="AQ113">
        <v>183</v>
      </c>
      <c t="str" s="258" r="AR113">
        <f>IF(ISNUMBER(((AO116/AO114)+(AO114/AO112))),(((AO116/AO114)+(AO114/AO112))/2),"---")</f>
        <v>---</v>
      </c>
      <c s="518" r="AS113"/>
      <c t="s" s="294" r="AT113">
        <v>528</v>
      </c>
      <c t="str" s="479" r="AU113">
        <f>IF(AI116,(SUM(AI87:AI91)/AI116),"---")</f>
        <v>---</v>
      </c>
      <c t="str" s="37" r="AV113">
        <f>IF((AI113&gt;0),"hardpan","")</f>
        <v/>
      </c>
      <c t="str" s="26" r="AW113">
        <f>IF((AI113&gt;0),(AI113/AI116),"")</f>
        <v/>
      </c>
      <c s="51" r="AX113"/>
      <c s="125" r="AY113"/>
      <c s="125" r="AZ113"/>
      <c s="125" r="BA113"/>
      <c s="125" r="BB113"/>
      <c s="125" r="BC113"/>
      <c s="125" r="BD113"/>
      <c s="125" r="BE113"/>
      <c s="341" r="BF113"/>
      <c s="761" r="BG113"/>
      <c s="125" r="BH113"/>
      <c s="125" r="BI113"/>
      <c s="125" r="BJ113"/>
      <c s="125" r="BK113"/>
      <c s="125" r="BL113"/>
      <c s="125" r="BM113"/>
      <c s="125" r="BN113"/>
      <c s="125" r="BO113"/>
      <c s="125" r="BP113"/>
      <c s="125" r="BQ113"/>
      <c s="125" r="BR113"/>
      <c s="125" r="BS113"/>
      <c s="125" r="BT113"/>
      <c s="125" r="BU113"/>
      <c s="125" r="BV113"/>
      <c s="125" r="BW113"/>
      <c s="125" r="BX113"/>
      <c s="125" r="BY113"/>
      <c s="125" r="BZ113"/>
      <c s="125" r="CA113"/>
      <c s="125" r="CB113"/>
      <c s="125" r="CC113"/>
      <c s="125" r="CD113"/>
      <c s="125" r="CE113"/>
      <c s="125" r="CF113"/>
      <c s="125" r="CG113"/>
      <c s="125" r="CH113"/>
      <c s="125" r="CI113"/>
      <c s="125" r="CJ113"/>
      <c s="125" r="CK113"/>
      <c s="125" r="CL113"/>
    </row>
    <row r="114">
      <c s="125" r="A114"/>
      <c s="125" r="B114"/>
      <c s="125" r="C114"/>
      <c s="125" r="D114"/>
      <c s="125" r="E114"/>
      <c s="125" r="F114"/>
      <c s="125" r="G114"/>
      <c s="125" r="H114"/>
      <c s="125" r="I114"/>
      <c s="125" r="J114"/>
      <c s="125" r="K114"/>
      <c s="125" r="L114"/>
      <c s="125" r="M114"/>
      <c s="125" r="N114"/>
      <c s="125" r="O114"/>
      <c s="125" r="P114"/>
      <c s="125" r="Q114"/>
      <c s="125" r="R114"/>
      <c s="125" r="S114"/>
      <c s="125" r="T114"/>
      <c s="125" r="U114"/>
      <c s="125" r="V114"/>
      <c s="125" r="W114"/>
      <c s="125" r="X114"/>
      <c s="125" r="Y114"/>
      <c s="125" r="Z114"/>
      <c s="125" r="AA114"/>
      <c s="125" r="AB114"/>
      <c s="125" r="AC114"/>
      <c s="822" r="AD114"/>
      <c s="424" r="AE114"/>
      <c t="s" s="37" r="AF114">
        <v>541</v>
      </c>
      <c t="str" s="67" r="AG114">
        <f>"---------------------"</f>
        <v>---------------------</v>
      </c>
      <c s="390" r="AH114"/>
      <c s="598" r="AI114"/>
      <c s="259" r="AJ114">
        <f>IF((AI110=0),0,IF((AJ86&gt;=0.65),0.062,IF((SUMIF(AJ86:AJ109,"=.65")&gt;=1),INDEX(AH86:AH109,MATCH(0.65,AJ86:AJ109,0)),(2^(LOG((INDEX(AH86:AH109,MATCH(0.65,AJ86:AJ109,1))),2)+(((LOG((INDEX(AH86:AH109,(MATCH(0.65,AJ86:AJ109,1)+1))),2)-LOG((INDEX(AH86:AH109,MATCH(0.65,AJ86:AJ109,1))),2))*(0.65-INDEX(AJ86:AJ109,MATCH(0.65,AJ86:AJ109,1))))/(INDEX(AJ86:AJ109,(MATCH(0.65,AJ86:AJ109,1)+1))-INDEX(AJ86:AJ109,MATCH(0.65,AJ86:AJ109,1)))))))))</f>
        <v>0</v>
      </c>
      <c s="832" r="AK114"/>
      <c t="str" s="140" r="AL114">
        <f>AO116</f>
        <v>---</v>
      </c>
      <c s="116" r="AM114"/>
      <c t="s" s="766" r="AN114">
        <v>533</v>
      </c>
      <c t="str" s="52" r="AO114">
        <f>IF((AI110=0),"---",(ROUND((AJ113/(10^TRUNC(LOG(AJ113)))),(2-IF((AJ113&gt;1),1,0)))*(10^TRUNC(LOG(AJ113)))))</f>
        <v>---</v>
      </c>
      <c s="551" r="AP114"/>
      <c t="s" s="766" r="AQ114">
        <v>185</v>
      </c>
      <c t="str" s="4" r="AR114">
        <f>IF(ISNUMBER((AO116*AO112)),IF((AO116=AO112),"---",(LOG((((AO116*AO112)^0.5)/AO114))/(LOG((AO116/AO112))^0.5))),"---")</f>
        <v>---</v>
      </c>
      <c s="518" r="AS114"/>
      <c t="s" s="294" r="AT114">
        <v>542</v>
      </c>
      <c t="str" s="479" r="AU114">
        <f>IF(AI116,(SUM(AI92:AI100)/AI116),"---")</f>
        <v>---</v>
      </c>
      <c t="str" s="37" r="AV114">
        <f>IF((AI114&gt;0),"wood/det","")</f>
        <v/>
      </c>
      <c t="str" s="26" r="AW114">
        <f>IF((AI114&gt;0),(AI114/AI116),"")</f>
        <v/>
      </c>
      <c s="51" r="AX114"/>
      <c s="125" r="AY114"/>
      <c s="125" r="AZ114"/>
      <c s="125" r="BA114"/>
      <c s="125" r="BB114"/>
      <c s="125" r="BC114"/>
      <c s="125" r="BD114"/>
      <c s="125" r="BE114"/>
      <c s="341" r="BF114"/>
      <c s="761" r="BG114"/>
      <c s="125" r="BH114"/>
      <c s="125" r="BI114"/>
      <c s="125" r="BJ114"/>
      <c s="125" r="BK114"/>
      <c s="125" r="BL114"/>
      <c s="125" r="BM114"/>
      <c s="125" r="BN114"/>
      <c s="125" r="BO114"/>
      <c s="125" r="BP114"/>
      <c s="125" r="BQ114"/>
      <c s="125" r="BR114"/>
      <c s="125" r="BS114"/>
      <c s="125" r="BT114"/>
      <c s="125" r="BU114"/>
      <c s="125" r="BV114"/>
      <c s="125" r="BW114"/>
      <c s="125" r="BX114"/>
      <c s="125" r="BY114"/>
      <c s="125" r="BZ114"/>
      <c s="125" r="CA114"/>
      <c s="125" r="CB114"/>
      <c s="125" r="CC114"/>
      <c s="125" r="CD114"/>
      <c s="125" r="CE114"/>
      <c s="125" r="CF114"/>
      <c s="125" r="CG114"/>
      <c s="125" r="CH114"/>
      <c s="125" r="CI114"/>
      <c s="125" r="CJ114"/>
      <c s="125" r="CK114"/>
      <c s="125" r="CL114"/>
    </row>
    <row customHeight="1" r="115" ht="13.5">
      <c s="125" r="A115"/>
      <c s="125" r="B115"/>
      <c s="125" r="C115"/>
      <c s="125" r="D115"/>
      <c s="125" r="E115"/>
      <c s="125" r="F115"/>
      <c s="125" r="G115"/>
      <c s="125" r="H115"/>
      <c s="125" r="I115"/>
      <c s="125" r="J115"/>
      <c s="125" r="K115"/>
      <c s="125" r="L115"/>
      <c s="125" r="M115"/>
      <c s="125" r="N115"/>
      <c s="125" r="O115"/>
      <c s="125" r="P115"/>
      <c s="125" r="Q115"/>
      <c s="125" r="R115"/>
      <c s="125" r="S115"/>
      <c s="125" r="T115"/>
      <c s="125" r="U115"/>
      <c s="125" r="V115"/>
      <c s="125" r="W115"/>
      <c s="125" r="X115"/>
      <c s="125" r="Y115"/>
      <c s="125" r="Z115"/>
      <c s="125" r="AA115"/>
      <c s="125" r="AB115"/>
      <c s="125" r="AC115"/>
      <c s="822" r="AD115"/>
      <c s="63" r="AE115"/>
      <c t="s" s="298" r="AF115">
        <v>543</v>
      </c>
      <c t="str" s="23" r="AG115">
        <f>"---------------------"</f>
        <v>---------------------</v>
      </c>
      <c s="218" r="AH115"/>
      <c s="598" r="AI115"/>
      <c s="259" r="AJ115">
        <f>IF((AI110=0),0,IF((AJ86&gt;=0.84),0.062,IF((SUMIF(AJ86:AJ109,"=.84")&gt;=1),INDEX(AH86:AH109,MATCH(0.84,AJ86:AJ109,0)),(2^(LOG((INDEX(AH86:AH109,MATCH(0.84,AJ86:AJ109,1))),2)+(((LOG((INDEX(AH86:AH109,(MATCH(0.84,AJ86:AJ109,1)+1))),2)-LOG((INDEX(AH86:AH109,MATCH(0.84,AJ86:AJ109,1))),2))*(0.84-INDEX(AJ86:AJ109,MATCH(0.84,AJ86:AJ109,1))))/(INDEX(AJ86:AJ109,(MATCH(0.84,AJ86:AJ109,1)+1))-INDEX(AJ86:AJ109,MATCH(0.84,AJ86:AJ109,1)))))))))</f>
        <v>0</v>
      </c>
      <c s="835" r="AK115"/>
      <c t="str" s="140" r="AL115">
        <f>AO116</f>
        <v>---</v>
      </c>
      <c s="116" r="AM115"/>
      <c t="s" s="766" r="AN115">
        <v>527</v>
      </c>
      <c t="str" s="52" r="AO115">
        <f>IF((AI110=0),"---",(ROUND((AJ114/(10^TRUNC(LOG(AJ114)))),(2-IF((AJ114&gt;1),1,0)))*(10^TRUNC(LOG(AJ114)))))</f>
        <v>---</v>
      </c>
      <c s="551" r="AP115"/>
      <c s="551" r="AQ115"/>
      <c s="551" r="AR115"/>
      <c s="518" r="AS115"/>
      <c t="s" s="294" r="AT115">
        <v>544</v>
      </c>
      <c t="str" s="479" r="AU115">
        <f>IF(AI116,(SUM(AI101:AI104)/AI116),"---")</f>
        <v>---</v>
      </c>
      <c t="str" s="37" r="AV115">
        <f>IF((AI115&gt;0),"artificial","")</f>
        <v/>
      </c>
      <c t="str" s="26" r="AW115">
        <f>IF((AI115&gt;0),(AI115/AI116),"")</f>
        <v/>
      </c>
      <c s="51" r="AX115"/>
      <c s="125" r="AY115"/>
      <c s="125" r="AZ115"/>
      <c s="125" r="BA115"/>
      <c s="125" r="BB115"/>
      <c s="125" r="BC115"/>
      <c s="125" r="BD115"/>
      <c s="125" r="BE115"/>
      <c s="341" r="BF115"/>
      <c s="761" r="BG115"/>
      <c s="125" r="BH115"/>
      <c s="125" r="BI115"/>
      <c s="125" r="BJ115"/>
      <c s="125" r="BK115"/>
      <c s="125" r="BL115"/>
      <c s="125" r="BM115"/>
      <c s="125" r="BN115"/>
      <c s="125" r="BO115"/>
      <c s="125" r="BP115"/>
      <c s="125" r="BQ115"/>
      <c s="125" r="BR115"/>
      <c s="125" r="BS115"/>
      <c s="125" r="BT115"/>
      <c s="125" r="BU115"/>
      <c s="125" r="BV115"/>
      <c s="125" r="BW115"/>
      <c s="125" r="BX115"/>
      <c s="125" r="BY115"/>
      <c s="125" r="BZ115"/>
      <c s="125" r="CA115"/>
      <c s="125" r="CB115"/>
      <c s="125" r="CC115"/>
      <c s="125" r="CD115"/>
      <c s="125" r="CE115"/>
      <c s="125" r="CF115"/>
      <c s="125" r="CG115"/>
      <c s="125" r="CH115"/>
      <c s="125" r="CI115"/>
      <c s="125" r="CJ115"/>
      <c s="125" r="CK115"/>
      <c s="125" r="CL115"/>
    </row>
    <row customHeight="1" r="116" ht="15.0">
      <c s="125" r="A116"/>
      <c s="125" r="B116"/>
      <c s="125" r="C116"/>
      <c s="125" r="D116"/>
      <c s="125" r="E116"/>
      <c s="125" r="F116"/>
      <c s="125" r="G116"/>
      <c s="125" r="H116"/>
      <c s="125" r="I116"/>
      <c s="125" r="J116"/>
      <c s="125" r="K116"/>
      <c s="125" r="L116"/>
      <c s="125" r="M116"/>
      <c s="125" r="N116"/>
      <c s="125" r="O116"/>
      <c s="125" r="P116"/>
      <c s="125" r="Q116"/>
      <c s="125" r="R116"/>
      <c s="125" r="S116"/>
      <c s="125" r="T116"/>
      <c s="125" r="U116"/>
      <c s="125" r="V116"/>
      <c s="125" r="W116"/>
      <c s="125" r="X116"/>
      <c s="125" r="Y116"/>
      <c s="125" r="Z116"/>
      <c s="125" r="AA116"/>
      <c s="125" r="AB116"/>
      <c s="125" r="AC116"/>
      <c s="822" r="AD116"/>
      <c s="178" r="AE116"/>
      <c s="640" r="AF116"/>
      <c s="640" r="AG116"/>
      <c t="s" s="232" r="AH116">
        <v>545</v>
      </c>
      <c s="897" r="AI116">
        <f>SUM(AI86:AI109)+SUM(AI112:AI115)</f>
        <v>0</v>
      </c>
      <c s="259" r="AJ116">
        <f>IF((AI110=0),0,IF((AJ86&gt;=0.95),0.062,IF((SUMIF(AJ86:AJ109,"=.95")&gt;=1),INDEX(AH86:AH109,MATCH(0.95,AJ86:AJ109,0)),(2^(LOG((INDEX(AH86:AH109,MATCH(0.95,AJ86:AJ109,1))),2)+(((LOG((INDEX(AH86:AH109,(MATCH(0.95,AJ86:AJ109,1)+1))),2)-LOG((INDEX(AH86:AH109,MATCH(0.95,AJ86:AJ109,1))),2))*(0.95-INDEX(AJ86:AJ109,MATCH(0.95,AJ86:AJ109,1))))/(INDEX(AJ86:AJ109,(MATCH(0.95,AJ86:AJ109,1)+1))-INDEX(AJ86:AJ109,MATCH(0.95,AJ86:AJ109,1)))))))))</f>
        <v>0</v>
      </c>
      <c s="835" r="AK116"/>
      <c t="str" s="140" r="AL116">
        <f>IF((AI110&gt;0),0.84,NA())</f>
        <v>#N/A:explicit</v>
      </c>
      <c s="116" r="AM116"/>
      <c t="s" s="766" r="AN116">
        <v>531</v>
      </c>
      <c t="str" s="52" r="AO116">
        <f>IF((AI110=0),"---",(ROUND((AJ115/(10^TRUNC(LOG(AJ115)))),(2-IF((AJ115&gt;1),1,0)))*(10^TRUNC(LOG(AJ115)))))</f>
        <v>---</v>
      </c>
      <c s="551" r="AP116"/>
      <c s="551" r="AQ116"/>
      <c s="551" r="AR116"/>
      <c s="518" r="AS116"/>
      <c t="s" s="294" r="AT116">
        <v>546</v>
      </c>
      <c t="str" s="479" r="AU116">
        <f>IF(AI116,(SUM(AI105:AI109)/AI116),"---")</f>
        <v>---</v>
      </c>
      <c s="518" r="AV116"/>
      <c s="452" r="AW116"/>
      <c s="51" r="AX116"/>
      <c s="125" r="AY116"/>
      <c s="125" r="AZ116"/>
      <c s="125" r="BA116"/>
      <c s="125" r="BB116"/>
      <c s="125" r="BC116"/>
      <c s="125" r="BD116"/>
      <c s="125" r="BE116"/>
      <c s="341" r="BF116"/>
      <c s="761" r="BG116"/>
      <c s="125" r="BH116"/>
      <c s="125" r="BI116"/>
      <c s="125" r="BJ116"/>
      <c s="125" r="BK116"/>
      <c s="125" r="BL116"/>
      <c s="125" r="BM116"/>
      <c s="125" r="BN116"/>
      <c s="125" r="BO116"/>
      <c s="125" r="BP116"/>
      <c s="125" r="BQ116"/>
      <c s="125" r="BR116"/>
      <c s="125" r="BS116"/>
      <c s="125" r="BT116"/>
      <c s="125" r="BU116"/>
      <c s="125" r="BV116"/>
      <c s="125" r="BW116"/>
      <c s="125" r="BX116"/>
      <c s="125" r="BY116"/>
      <c s="125" r="BZ116"/>
      <c s="125" r="CA116"/>
      <c s="125" r="CB116"/>
      <c s="125" r="CC116"/>
      <c s="125" r="CD116"/>
      <c s="125" r="CE116"/>
      <c s="125" r="CF116"/>
      <c s="125" r="CG116"/>
      <c s="125" r="CH116"/>
      <c s="125" r="CI116"/>
      <c s="125" r="CJ116"/>
      <c s="125" r="CK116"/>
      <c s="125" r="CL116"/>
    </row>
    <row r="117">
      <c s="125" r="A117"/>
      <c s="125" r="B117"/>
      <c s="125" r="C117"/>
      <c s="125" r="D117"/>
      <c s="125" r="E117"/>
      <c s="125" r="F117"/>
      <c s="125" r="G117"/>
      <c s="125" r="H117"/>
      <c s="125" r="I117"/>
      <c s="125" r="J117"/>
      <c s="125" r="K117"/>
      <c s="125" r="L117"/>
      <c s="125" r="M117"/>
      <c s="125" r="N117"/>
      <c s="125" r="O117"/>
      <c s="125" r="P117"/>
      <c s="125" r="Q117"/>
      <c s="125" r="R117"/>
      <c s="125" r="S117"/>
      <c s="125" r="T117"/>
      <c s="125" r="U117"/>
      <c s="125" r="V117"/>
      <c s="125" r="W117"/>
      <c s="125" r="X117"/>
      <c s="125" r="Y117"/>
      <c s="125" r="Z117"/>
      <c s="125" r="AA117"/>
      <c s="125" r="AB117"/>
      <c s="125" r="AC117"/>
      <c s="822" r="AD117"/>
      <c s="908" r="AE117"/>
      <c s="414" r="AF117"/>
      <c s="414" r="AG117"/>
      <c s="414" r="AH117"/>
      <c s="397" r="AI117"/>
      <c s="901" r="AJ117"/>
      <c s="291" r="AK117"/>
      <c t="str" s="140" r="AL117">
        <f>AL116</f>
        <v>#N/A:explicit</v>
      </c>
      <c s="116" r="AM117"/>
      <c t="s" s="766" r="AN117">
        <v>534</v>
      </c>
      <c t="str" s="52" r="AO117">
        <f>IF((AI110=0),"---",(ROUND((AJ116/(10^TRUNC(LOG(AJ116)))),(2-IF((AJ116&gt;1),1,0)))*(10^TRUNC(LOG(AJ116)))))</f>
        <v>---</v>
      </c>
      <c s="518" r="AP117"/>
      <c s="518" r="AQ117"/>
      <c s="518" r="AR117"/>
      <c s="518" r="AS117"/>
      <c s="518" r="AT117"/>
      <c s="518" r="AU117"/>
      <c s="518" r="AV117"/>
      <c s="452" r="AW117"/>
      <c s="51" r="AX117"/>
      <c s="125" r="AY117"/>
      <c s="125" r="AZ117"/>
      <c s="125" r="BA117"/>
      <c s="125" r="BB117"/>
      <c s="125" r="BC117"/>
      <c s="125" r="BD117"/>
      <c s="125" r="BE117"/>
      <c s="341" r="BF117"/>
      <c s="761" r="BG117"/>
      <c s="125" r="BH117"/>
      <c s="125" r="BI117"/>
      <c s="125" r="BJ117"/>
      <c s="125" r="BK117"/>
      <c s="125" r="BL117"/>
      <c s="125" r="BM117"/>
      <c s="125" r="BN117"/>
      <c s="125" r="BO117"/>
      <c s="125" r="BP117"/>
      <c s="125" r="BQ117"/>
      <c s="125" r="BR117"/>
      <c s="125" r="BS117"/>
      <c s="125" r="BT117"/>
      <c s="125" r="BU117"/>
      <c s="125" r="BV117"/>
      <c s="125" r="BW117"/>
      <c s="125" r="BX117"/>
      <c s="125" r="BY117"/>
      <c s="125" r="BZ117"/>
      <c s="125" r="CA117"/>
      <c s="125" r="CB117"/>
      <c s="125" r="CC117"/>
      <c s="125" r="CD117"/>
      <c s="125" r="CE117"/>
      <c s="125" r="CF117"/>
      <c s="125" r="CG117"/>
      <c s="125" r="CH117"/>
      <c s="125" r="CI117"/>
      <c s="125" r="CJ117"/>
      <c s="125" r="CK117"/>
      <c s="125" r="CL117"/>
    </row>
    <row customHeight="1" r="118" ht="13.5">
      <c s="125" r="A118"/>
      <c s="125" r="B118"/>
      <c s="125" r="C118"/>
      <c s="125" r="D118"/>
      <c s="125" r="E118"/>
      <c s="125" r="F118"/>
      <c s="125" r="G118"/>
      <c s="125" r="H118"/>
      <c s="125" r="I118"/>
      <c s="125" r="J118"/>
      <c s="125" r="K118"/>
      <c s="125" r="L118"/>
      <c s="125" r="M118"/>
      <c s="125" r="N118"/>
      <c s="125" r="O118"/>
      <c s="125" r="P118"/>
      <c s="125" r="Q118"/>
      <c s="125" r="R118"/>
      <c s="125" r="S118"/>
      <c s="125" r="T118"/>
      <c s="125" r="U118"/>
      <c s="125" r="V118"/>
      <c s="125" r="W118"/>
      <c s="125" r="X118"/>
      <c s="125" r="Y118"/>
      <c s="125" r="Z118"/>
      <c s="125" r="AA118"/>
      <c s="125" r="AB118"/>
      <c s="125" r="AC118"/>
      <c s="822" r="AD118"/>
      <c t="s" s="340" r="AE118">
        <v>529</v>
      </c>
      <c s="769" r="AF118"/>
      <c s="775" r="AG118"/>
      <c s="775" r="AH118"/>
      <c s="303" r="AI118"/>
      <c s="901" r="AJ118"/>
      <c s="291" r="AK118"/>
      <c s="140" r="AL118">
        <v>0</v>
      </c>
      <c s="533" r="AM118"/>
      <c s="685" r="AN118"/>
      <c s="685" r="AO118"/>
      <c s="685" r="AP118"/>
      <c s="685" r="AQ118"/>
      <c s="685" r="AR118"/>
      <c s="685" r="AS118"/>
      <c s="685" r="AT118"/>
      <c s="685" r="AU118"/>
      <c s="685" r="AV118"/>
      <c s="877" r="AW118"/>
      <c s="51" r="AX118"/>
      <c s="125" r="AY118"/>
      <c s="125" r="AZ118"/>
      <c s="125" r="BA118"/>
      <c s="125" r="BB118"/>
      <c s="125" r="BC118"/>
      <c s="125" r="BD118"/>
      <c s="125" r="BE118"/>
      <c s="341" r="BF118"/>
      <c s="761" r="BG118"/>
      <c s="125" r="BH118"/>
      <c s="125" r="BI118"/>
      <c s="125" r="BJ118"/>
      <c s="125" r="BK118"/>
      <c s="125" r="BL118"/>
      <c s="125" r="BM118"/>
      <c s="125" r="BN118"/>
      <c s="125" r="BO118"/>
      <c s="125" r="BP118"/>
      <c s="125" r="BQ118"/>
      <c s="125" r="BR118"/>
      <c s="125" r="BS118"/>
      <c s="125" r="BT118"/>
      <c s="125" r="BU118"/>
      <c s="125" r="BV118"/>
      <c s="125" r="BW118"/>
      <c s="125" r="BX118"/>
      <c s="125" r="BY118"/>
      <c s="125" r="BZ118"/>
      <c s="125" r="CA118"/>
      <c s="125" r="CB118"/>
      <c s="125" r="CC118"/>
      <c s="125" r="CD118"/>
      <c s="125" r="CE118"/>
      <c s="125" r="CF118"/>
      <c s="125" r="CG118"/>
      <c s="125" r="CH118"/>
      <c s="125" r="CI118"/>
      <c s="125" r="CJ118"/>
      <c s="125" r="CK118"/>
      <c s="125" r="CL118"/>
    </row>
    <row customHeight="1" r="119" ht="14.25">
      <c s="125" r="A119"/>
      <c s="125" r="B119"/>
      <c s="125" r="C119"/>
      <c s="125" r="D119"/>
      <c s="125" r="E119"/>
      <c s="125" r="F119"/>
      <c s="125" r="G119"/>
      <c s="125" r="H119"/>
      <c s="125" r="I119"/>
      <c s="125" r="J119"/>
      <c s="125" r="K119"/>
      <c s="125" r="L119"/>
      <c s="125" r="M119"/>
      <c s="125" r="N119"/>
      <c s="125" r="O119"/>
      <c s="125" r="P119"/>
      <c s="125" r="Q119"/>
      <c s="125" r="R119"/>
      <c s="125" r="S119"/>
      <c s="125" r="T119"/>
      <c s="125" r="U119"/>
      <c s="125" r="V119"/>
      <c s="125" r="W119"/>
      <c s="125" r="X119"/>
      <c s="125" r="Y119"/>
      <c s="125" r="Z119"/>
      <c s="125" r="AA119"/>
      <c s="125" r="AB119"/>
      <c s="125" r="AC119"/>
      <c s="125" r="AD119"/>
      <c s="191" r="AE119"/>
      <c s="803" r="AF119"/>
      <c s="386" r="AG119"/>
      <c s="412" r="AH119"/>
      <c s="412" r="AI119"/>
      <c s="62" r="AJ119"/>
      <c s="62" r="AK119"/>
      <c s="761" r="AL119"/>
      <c s="412" r="AM119"/>
      <c s="412" r="AN119"/>
      <c s="412" r="AO119"/>
      <c s="412" r="AP119"/>
      <c s="412" r="AQ119"/>
      <c s="412" r="AR119"/>
      <c s="412" r="AS119"/>
      <c s="412" r="AT119"/>
      <c s="412" r="AU119"/>
      <c s="412" r="AV119"/>
      <c s="412" r="AW119"/>
      <c s="125" r="AX119"/>
      <c s="125" r="AY119"/>
      <c s="125" r="AZ119"/>
      <c s="125" r="BA119"/>
      <c s="125" r="BB119"/>
      <c s="125" r="BC119"/>
      <c s="125" r="BD119"/>
      <c s="125" r="BE119"/>
      <c s="341" r="BF119"/>
      <c s="761" r="BG119"/>
      <c s="125" r="BH119"/>
      <c s="125" r="BI119"/>
      <c s="125" r="BJ119"/>
      <c s="125" r="BK119"/>
      <c s="125" r="BL119"/>
      <c s="125" r="BM119"/>
      <c s="125" r="BN119"/>
      <c s="125" r="BO119"/>
      <c s="125" r="BP119"/>
      <c s="125" r="BQ119"/>
      <c s="125" r="BR119"/>
      <c s="125" r="BS119"/>
      <c s="125" r="BT119"/>
      <c s="125" r="BU119"/>
      <c s="125" r="BV119"/>
      <c s="125" r="BW119"/>
      <c s="125" r="BX119"/>
      <c s="125" r="BY119"/>
      <c s="125" r="BZ119"/>
      <c s="125" r="CA119"/>
      <c s="125" r="CB119"/>
      <c s="125" r="CC119"/>
      <c s="125" r="CD119"/>
      <c s="125" r="CE119"/>
      <c s="125" r="CF119"/>
      <c s="125" r="CG119"/>
      <c s="125" r="CH119"/>
      <c s="125" r="CI119"/>
      <c s="125" r="CJ119"/>
      <c s="125" r="CK119"/>
      <c s="125" r="CL119"/>
    </row>
    <row customHeight="1" r="120" ht="13.5">
      <c s="125" r="A120"/>
      <c s="125" r="B120"/>
      <c s="125" r="C120"/>
      <c s="125" r="D120"/>
      <c s="125" r="E120"/>
      <c s="125" r="F120"/>
      <c s="125" r="G120"/>
      <c s="125" r="H120"/>
      <c s="125" r="I120"/>
      <c s="125" r="J120"/>
      <c s="125" r="K120"/>
      <c s="125" r="L120"/>
      <c s="125" r="M120"/>
      <c s="125" r="N120"/>
      <c s="125" r="O120"/>
      <c s="125" r="P120"/>
      <c s="125" r="Q120"/>
      <c s="125" r="R120"/>
      <c s="125" r="S120"/>
      <c s="125" r="T120"/>
      <c s="125" r="U120"/>
      <c s="125" r="V120"/>
      <c s="125" r="W120"/>
      <c s="125" r="X120"/>
      <c s="125" r="Y120"/>
      <c s="125" r="Z120"/>
      <c s="125" r="AA120"/>
      <c s="125" r="AB120"/>
      <c s="125" r="AC120"/>
      <c s="822" r="AD120"/>
      <c t="str" s="34" r="AE120">
        <f>IF((AL19=1),"Run",IF((AL19=2),"",IF((AL19=3),"Facies #3","")))</f>
        <v>Facies #3</v>
      </c>
      <c s="110" r="AF120"/>
      <c s="110" r="AG120"/>
      <c s="110" r="AH120"/>
      <c s="295" r="AI120"/>
      <c s="901" r="AJ120"/>
      <c s="291" r="AK120"/>
      <c s="140" r="AL120"/>
      <c s="178" r="AM120"/>
      <c s="863" r="AN120"/>
      <c s="640" r="AO120"/>
      <c s="693" r="AP120"/>
      <c s="693" r="AQ120"/>
      <c s="693" r="AR120"/>
      <c s="693" r="AS120"/>
      <c s="693" r="AT120"/>
      <c s="693" r="AU120"/>
      <c s="693" r="AV120"/>
      <c s="847" r="AW120"/>
      <c s="51" r="AX120"/>
      <c s="125" r="AY120"/>
      <c s="125" r="AZ120"/>
      <c s="125" r="BA120"/>
      <c s="125" r="BB120"/>
      <c s="125" r="BC120"/>
      <c s="125" r="BD120"/>
      <c s="125" r="BE120"/>
      <c s="341" r="BF120"/>
      <c s="761" r="BG120"/>
      <c s="125" r="BH120"/>
      <c s="125" r="BI120"/>
      <c s="125" r="BJ120"/>
      <c s="125" r="BK120"/>
      <c s="125" r="BL120"/>
      <c s="125" r="BM120"/>
      <c s="125" r="BN120"/>
      <c s="125" r="BO120"/>
      <c s="125" r="BP120"/>
      <c s="125" r="BQ120"/>
      <c s="125" r="BR120"/>
      <c s="125" r="BS120"/>
      <c s="125" r="BT120"/>
      <c s="125" r="BU120"/>
      <c s="125" r="BV120"/>
      <c s="125" r="BW120"/>
      <c s="125" r="BX120"/>
      <c s="125" r="BY120"/>
      <c s="125" r="BZ120"/>
      <c s="125" r="CA120"/>
      <c s="125" r="CB120"/>
      <c s="125" r="CC120"/>
      <c s="125" r="CD120"/>
      <c s="125" r="CE120"/>
      <c s="125" r="CF120"/>
      <c s="125" r="CG120"/>
      <c s="125" r="CH120"/>
      <c s="125" r="CI120"/>
      <c s="125" r="CJ120"/>
      <c s="125" r="CK120"/>
      <c s="125" r="CL120"/>
    </row>
    <row customHeight="1" r="121" ht="13.5">
      <c s="125" r="A121"/>
      <c s="125" r="B121"/>
      <c s="125" r="C121"/>
      <c s="125" r="D121"/>
      <c s="125" r="E121"/>
      <c s="125" r="F121"/>
      <c s="125" r="G121"/>
      <c s="125" r="H121"/>
      <c s="125" r="I121"/>
      <c s="125" r="J121"/>
      <c s="125" r="K121"/>
      <c s="125" r="L121"/>
      <c s="125" r="M121"/>
      <c s="125" r="N121"/>
      <c s="125" r="O121"/>
      <c s="125" r="P121"/>
      <c s="125" r="Q121"/>
      <c s="125" r="R121"/>
      <c s="125" r="S121"/>
      <c s="125" r="T121"/>
      <c s="125" r="U121"/>
      <c s="125" r="V121"/>
      <c s="125" r="W121"/>
      <c s="125" r="X121"/>
      <c s="125" r="Y121"/>
      <c s="125" r="Z121"/>
      <c s="125" r="AA121"/>
      <c s="125" r="AB121"/>
      <c s="125" r="AC121"/>
      <c s="822" r="AD121"/>
      <c s="376" r="AE121"/>
      <c t="s" s="440" r="AF121">
        <v>464</v>
      </c>
      <c t="s" s="93" r="AG121">
        <v>465</v>
      </c>
      <c s="645" r="AH121"/>
      <c t="s" s="66" r="AI121">
        <v>466</v>
      </c>
      <c s="872" r="AJ121"/>
      <c s="622" r="AK121"/>
      <c s="492" r="AL121"/>
      <c s="908" r="AM121"/>
      <c s="551" r="AN121"/>
      <c s="551" r="AO121"/>
      <c s="551" r="AP121"/>
      <c s="551" r="AQ121"/>
      <c s="551" r="AR121"/>
      <c s="551" r="AS121"/>
      <c s="551" r="AT121"/>
      <c s="551" r="AU121"/>
      <c s="551" r="AV121"/>
      <c s="671" r="AW121"/>
      <c s="51" r="AX121"/>
      <c s="125" r="AY121"/>
      <c s="125" r="AZ121"/>
      <c s="125" r="BA121"/>
      <c s="125" r="BB121"/>
      <c s="125" r="BC121"/>
      <c s="125" r="BD121"/>
      <c s="125" r="BE121"/>
      <c s="341" r="BF121"/>
      <c s="761" r="BG121"/>
      <c s="125" r="BH121"/>
      <c s="125" r="BI121"/>
      <c s="125" r="BJ121"/>
      <c s="125" r="BK121"/>
      <c s="125" r="BL121"/>
      <c s="125" r="BM121"/>
      <c s="125" r="BN121"/>
      <c s="125" r="BO121"/>
      <c s="125" r="BP121"/>
      <c s="125" r="BQ121"/>
      <c s="125" r="BR121"/>
      <c s="125" r="BS121"/>
      <c s="125" r="BT121"/>
      <c s="125" r="BU121"/>
      <c s="125" r="BV121"/>
      <c s="125" r="BW121"/>
      <c s="125" r="BX121"/>
      <c s="125" r="BY121"/>
      <c s="125" r="BZ121"/>
      <c s="125" r="CA121"/>
      <c s="125" r="CB121"/>
      <c s="125" r="CC121"/>
      <c s="125" r="CD121"/>
      <c s="125" r="CE121"/>
      <c s="125" r="CF121"/>
      <c s="125" r="CG121"/>
      <c s="125" r="CH121"/>
      <c s="125" r="CI121"/>
      <c s="125" r="CJ121"/>
      <c s="125" r="CK121"/>
      <c s="125" r="CL121"/>
    </row>
    <row r="122">
      <c s="125" r="A122"/>
      <c s="125" r="B122"/>
      <c s="125" r="C122"/>
      <c s="125" r="D122"/>
      <c s="125" r="E122"/>
      <c s="125" r="F122"/>
      <c s="125" r="G122"/>
      <c s="125" r="H122"/>
      <c s="125" r="I122"/>
      <c s="125" r="J122"/>
      <c s="125" r="K122"/>
      <c s="125" r="L122"/>
      <c s="125" r="M122"/>
      <c s="125" r="N122"/>
      <c s="125" r="O122"/>
      <c s="125" r="P122"/>
      <c s="125" r="Q122"/>
      <c s="125" r="R122"/>
      <c s="125" r="S122"/>
      <c s="125" r="T122"/>
      <c s="125" r="U122"/>
      <c s="125" r="V122"/>
      <c s="125" r="W122"/>
      <c s="125" r="X122"/>
      <c s="125" r="Y122"/>
      <c s="125" r="Z122"/>
      <c s="125" r="AA122"/>
      <c s="125" r="AB122"/>
      <c s="125" r="AC122"/>
      <c s="822" r="AD122"/>
      <c s="865" r="AE122"/>
      <c t="s" s="742" r="AF122">
        <v>469</v>
      </c>
      <c t="str" s="38" r="AG122">
        <f>0&amp;"    -"</f>
        <v>0    -</v>
      </c>
      <c s="357" r="AH122">
        <v>0.062</v>
      </c>
      <c s="426" r="AI122"/>
      <c t="str" s="42" r="AJ122">
        <f>(AI122/AI$146)+AJ121</f>
        <v>#DIV/0!:divZero</v>
      </c>
      <c t="str" s="619" r="AK122">
        <f>IF(OR((SUM(AI$122:AI123)=0),(SUM(AI122:AI$145)=0)),NA(),AJ122)</f>
        <v>#N/A:explicit</v>
      </c>
      <c t="str" s="72" r="AL122">
        <f>IF(ISBLANK(AE120),"",AE120)</f>
        <v>Facies #3</v>
      </c>
      <c s="908" r="AM122"/>
      <c s="8" r="AN122"/>
      <c s="551" r="AO122"/>
      <c s="472" r="AP122"/>
      <c s="472" r="AQ122"/>
      <c s="472" r="AR122"/>
      <c s="472" r="AS122"/>
      <c s="472" r="AT122"/>
      <c s="472" r="AU122"/>
      <c s="472" r="AV122"/>
      <c s="323" r="AW122"/>
      <c s="51" r="AX122"/>
      <c s="125" r="AY122"/>
      <c s="125" r="AZ122"/>
      <c s="125" r="BA122"/>
      <c s="125" r="BB122"/>
      <c s="125" r="BC122"/>
      <c s="125" r="BD122"/>
      <c s="125" r="BE122"/>
      <c s="341" r="BF122"/>
      <c s="761" r="BG122"/>
      <c s="125" r="BH122"/>
      <c s="125" r="BI122"/>
      <c s="125" r="BJ122"/>
      <c s="125" r="BK122"/>
      <c s="125" r="BL122"/>
      <c s="125" r="BM122"/>
      <c s="125" r="BN122"/>
      <c s="125" r="BO122"/>
      <c s="125" r="BP122"/>
      <c s="125" r="BQ122"/>
      <c s="125" r="BR122"/>
      <c s="125" r="BS122"/>
      <c s="125" r="BT122"/>
      <c s="125" r="BU122"/>
      <c s="125" r="BV122"/>
      <c s="125" r="BW122"/>
      <c s="125" r="BX122"/>
      <c s="125" r="BY122"/>
      <c s="125" r="BZ122"/>
      <c s="125" r="CA122"/>
      <c s="125" r="CB122"/>
      <c s="125" r="CC122"/>
      <c s="125" r="CD122"/>
      <c s="125" r="CE122"/>
      <c s="125" r="CF122"/>
      <c s="125" r="CG122"/>
      <c s="125" r="CH122"/>
      <c s="125" r="CI122"/>
      <c s="125" r="CJ122"/>
      <c s="125" r="CK122"/>
      <c s="125" r="CL122"/>
    </row>
    <row r="123">
      <c s="125" r="A123"/>
      <c s="125" r="B123"/>
      <c s="125" r="C123"/>
      <c s="125" r="D123"/>
      <c s="125" r="E123"/>
      <c s="125" r="F123"/>
      <c s="125" r="G123"/>
      <c s="125" r="H123"/>
      <c s="125" r="I123"/>
      <c s="125" r="J123"/>
      <c s="125" r="K123"/>
      <c s="125" r="L123"/>
      <c s="125" r="M123"/>
      <c s="125" r="N123"/>
      <c s="125" r="O123"/>
      <c s="125" r="P123"/>
      <c s="125" r="Q123"/>
      <c s="125" r="R123"/>
      <c s="125" r="S123"/>
      <c s="125" r="T123"/>
      <c s="125" r="U123"/>
      <c s="125" r="V123"/>
      <c s="125" r="W123"/>
      <c s="125" r="X123"/>
      <c s="125" r="Y123"/>
      <c s="125" r="Z123"/>
      <c s="125" r="AA123"/>
      <c s="125" r="AB123"/>
      <c s="125" r="AC123"/>
      <c s="822" r="AD123"/>
      <c s="511" r="AE123"/>
      <c t="s" s="416" r="AF123">
        <v>473</v>
      </c>
      <c t="str" s="141" r="AG123">
        <f>0.062&amp;"  -"</f>
        <v>0.062  -</v>
      </c>
      <c s="114" r="AH123">
        <v>0.125</v>
      </c>
      <c s="550" r="AI123"/>
      <c t="str" s="42" r="AJ123">
        <f>(AI123/AI$146)+AJ122</f>
        <v>#DIV/0!:divZero</v>
      </c>
      <c t="str" s="619" r="AK123">
        <f>IF(OR((SUM(AI$122:AI124)=0),(SUM(AI123:AI$145)=0)),NA(),AJ123)</f>
        <v>#N/A:explicit</v>
      </c>
      <c t="str" s="72" r="AL123">
        <f>$D$33</f>
        <v>---</v>
      </c>
      <c s="908" r="AM123"/>
      <c s="8" r="AN123"/>
      <c s="472" r="AO123"/>
      <c s="472" r="AP123"/>
      <c s="472" r="AQ123"/>
      <c s="472" r="AR123"/>
      <c s="472" r="AS123"/>
      <c s="472" r="AT123"/>
      <c s="472" r="AU123"/>
      <c s="472" r="AV123"/>
      <c s="323" r="AW123"/>
      <c s="51" r="AX123"/>
      <c s="125" r="AY123"/>
      <c s="125" r="AZ123"/>
      <c s="125" r="BA123"/>
      <c s="125" r="BB123"/>
      <c s="125" r="BC123"/>
      <c s="125" r="BD123"/>
      <c s="125" r="BE123"/>
      <c s="341" r="BF123"/>
      <c s="761" r="BG123"/>
      <c s="125" r="BH123"/>
      <c s="125" r="BI123"/>
      <c s="125" r="BJ123"/>
      <c s="125" r="BK123"/>
      <c s="125" r="BL123"/>
      <c s="125" r="BM123"/>
      <c s="125" r="BN123"/>
      <c s="125" r="BO123"/>
      <c s="125" r="BP123"/>
      <c s="125" r="BQ123"/>
      <c s="125" r="BR123"/>
      <c s="125" r="BS123"/>
      <c s="125" r="BT123"/>
      <c s="125" r="BU123"/>
      <c s="125" r="BV123"/>
      <c s="125" r="BW123"/>
      <c s="125" r="BX123"/>
      <c s="125" r="BY123"/>
      <c s="125" r="BZ123"/>
      <c s="125" r="CA123"/>
      <c s="125" r="CB123"/>
      <c s="125" r="CC123"/>
      <c s="125" r="CD123"/>
      <c s="125" r="CE123"/>
      <c s="125" r="CF123"/>
      <c s="125" r="CG123"/>
      <c s="125" r="CH123"/>
      <c s="125" r="CI123"/>
      <c s="125" r="CJ123"/>
      <c s="125" r="CK123"/>
      <c s="125" r="CL123"/>
    </row>
    <row r="124">
      <c s="125" r="A124"/>
      <c s="125" r="B124"/>
      <c s="125" r="C124"/>
      <c s="125" r="D124"/>
      <c s="125" r="E124"/>
      <c s="125" r="F124"/>
      <c s="125" r="G124"/>
      <c s="125" r="H124"/>
      <c s="125" r="I124"/>
      <c s="125" r="J124"/>
      <c s="125" r="K124"/>
      <c s="125" r="L124"/>
      <c s="125" r="M124"/>
      <c s="125" r="N124"/>
      <c s="125" r="O124"/>
      <c s="125" r="P124"/>
      <c s="125" r="Q124"/>
      <c s="125" r="R124"/>
      <c s="125" r="S124"/>
      <c s="125" r="T124"/>
      <c s="125" r="U124"/>
      <c s="125" r="V124"/>
      <c s="125" r="W124"/>
      <c s="125" r="X124"/>
      <c s="125" r="Y124"/>
      <c s="125" r="Z124"/>
      <c s="125" r="AA124"/>
      <c s="125" r="AB124"/>
      <c s="125" r="AC124"/>
      <c s="822" r="AD124"/>
      <c s="217" r="AE124"/>
      <c t="s" s="294" r="AF124">
        <v>479</v>
      </c>
      <c t="str" s="817" r="AG124">
        <f>0.125&amp;"  -"</f>
        <v>0.125  -</v>
      </c>
      <c s="512" r="AH124">
        <v>0.25</v>
      </c>
      <c s="550" r="AI124"/>
      <c t="str" s="42" r="AJ124">
        <f>(AI124/AI$146)+AJ123</f>
        <v>#DIV/0!:divZero</v>
      </c>
      <c t="str" s="619" r="AK124">
        <f>IF(OR((SUM(AI$122:AI125)=0),(SUM(AI124:AI$145)=0)),NA(),AJ124)</f>
        <v>#N/A:explicit</v>
      </c>
      <c s="72" r="AL124"/>
      <c s="908" r="AM124"/>
      <c s="8" r="AN124"/>
      <c s="375" r="AO124"/>
      <c s="505" r="AP124"/>
      <c s="505" r="AQ124"/>
      <c s="505" r="AR124"/>
      <c s="375" r="AS124"/>
      <c s="375" r="AT124"/>
      <c s="375" r="AU124"/>
      <c s="375" r="AV124"/>
      <c s="809" r="AW124"/>
      <c s="51" r="AX124"/>
      <c s="125" r="AY124"/>
      <c s="125" r="AZ124"/>
      <c s="125" r="BA124"/>
      <c s="125" r="BB124"/>
      <c s="125" r="BC124"/>
      <c s="125" r="BD124"/>
      <c s="125" r="BE124"/>
      <c s="341" r="BF124"/>
      <c s="761" r="BG124"/>
      <c s="125" r="BH124"/>
      <c s="125" r="BI124"/>
      <c s="125" r="BJ124"/>
      <c s="125" r="BK124"/>
      <c s="125" r="BL124"/>
      <c s="125" r="BM124"/>
      <c s="125" r="BN124"/>
      <c s="125" r="BO124"/>
      <c s="125" r="BP124"/>
      <c s="125" r="BQ124"/>
      <c s="125" r="BR124"/>
      <c s="125" r="BS124"/>
      <c s="125" r="BT124"/>
      <c s="125" r="BU124"/>
      <c s="125" r="BV124"/>
      <c s="125" r="BW124"/>
      <c s="125" r="BX124"/>
      <c s="125" r="BY124"/>
      <c s="125" r="BZ124"/>
      <c s="125" r="CA124"/>
      <c s="125" r="CB124"/>
      <c s="125" r="CC124"/>
      <c s="125" r="CD124"/>
      <c s="125" r="CE124"/>
      <c s="125" r="CF124"/>
      <c s="125" r="CG124"/>
      <c s="125" r="CH124"/>
      <c s="125" r="CI124"/>
      <c s="125" r="CJ124"/>
      <c s="125" r="CK124"/>
      <c s="125" r="CL124"/>
    </row>
    <row r="125">
      <c s="125" r="A125"/>
      <c s="125" r="B125"/>
      <c s="125" r="C125"/>
      <c s="125" r="D125"/>
      <c s="125" r="E125"/>
      <c s="125" r="F125"/>
      <c s="125" r="G125"/>
      <c s="125" r="H125"/>
      <c s="125" r="I125"/>
      <c s="125" r="J125"/>
      <c s="125" r="K125"/>
      <c s="125" r="L125"/>
      <c s="125" r="M125"/>
      <c s="125" r="N125"/>
      <c s="125" r="O125"/>
      <c s="125" r="P125"/>
      <c s="125" r="Q125"/>
      <c s="125" r="R125"/>
      <c s="125" r="S125"/>
      <c s="125" r="T125"/>
      <c s="125" r="U125"/>
      <c s="125" r="V125"/>
      <c s="125" r="W125"/>
      <c s="125" r="X125"/>
      <c s="125" r="Y125"/>
      <c s="125" r="Z125"/>
      <c s="125" r="AA125"/>
      <c s="125" r="AB125"/>
      <c s="125" r="AC125"/>
      <c s="822" r="AD125"/>
      <c s="217" r="AE125"/>
      <c t="s" s="294" r="AF125">
        <v>487</v>
      </c>
      <c t="str" s="817" r="AG125">
        <f>0.25&amp;"  -"</f>
        <v>0.25  -</v>
      </c>
      <c s="674" r="AH125">
        <v>0.5</v>
      </c>
      <c s="550" r="AI125"/>
      <c t="str" s="42" r="AJ125">
        <f>(AI125/AI$146)+AJ124</f>
        <v>#DIV/0!:divZero</v>
      </c>
      <c t="str" s="619" r="AK125">
        <f>IF(OR((SUM(AI$122:AI126)=0),(SUM(AI125:AI$145)=0)),NA(),AJ125)</f>
        <v>#N/A:explicit</v>
      </c>
      <c s="72" r="AL125"/>
      <c s="908" r="AM125"/>
      <c s="551" r="AN125"/>
      <c s="551" r="AO125"/>
      <c s="551" r="AP125"/>
      <c s="551" r="AQ125"/>
      <c s="551" r="AR125"/>
      <c s="551" r="AS125"/>
      <c s="551" r="AT125"/>
      <c s="551" r="AU125"/>
      <c s="551" r="AV125"/>
      <c s="671" r="AW125"/>
      <c s="51" r="AX125"/>
      <c s="125" r="AY125"/>
      <c s="125" r="AZ125"/>
      <c s="125" r="BA125"/>
      <c s="125" r="BB125"/>
      <c s="125" r="BC125"/>
      <c s="125" r="BD125"/>
      <c s="125" r="BE125"/>
      <c s="341" r="BF125"/>
      <c s="761" r="BG125"/>
      <c s="125" r="BH125"/>
      <c s="125" r="BI125"/>
      <c s="125" r="BJ125"/>
      <c s="125" r="BK125"/>
      <c s="125" r="BL125"/>
      <c s="125" r="BM125"/>
      <c s="125" r="BN125"/>
      <c s="125" r="BO125"/>
      <c s="125" r="BP125"/>
      <c s="125" r="BQ125"/>
      <c s="125" r="BR125"/>
      <c s="125" r="BS125"/>
      <c s="125" r="BT125"/>
      <c s="125" r="BU125"/>
      <c s="125" r="BV125"/>
      <c s="125" r="BW125"/>
      <c s="125" r="BX125"/>
      <c s="125" r="BY125"/>
      <c s="125" r="BZ125"/>
      <c s="125" r="CA125"/>
      <c s="125" r="CB125"/>
      <c s="125" r="CC125"/>
      <c s="125" r="CD125"/>
      <c s="125" r="CE125"/>
      <c s="125" r="CF125"/>
      <c s="125" r="CG125"/>
      <c s="125" r="CH125"/>
      <c s="125" r="CI125"/>
      <c s="125" r="CJ125"/>
      <c s="125" r="CK125"/>
      <c s="125" r="CL125"/>
    </row>
    <row r="126">
      <c s="125" r="A126"/>
      <c s="125" r="B126"/>
      <c s="125" r="C126"/>
      <c s="125" r="D126"/>
      <c s="125" r="E126"/>
      <c s="125" r="F126"/>
      <c s="125" r="G126"/>
      <c s="125" r="H126"/>
      <c s="125" r="I126"/>
      <c s="125" r="J126"/>
      <c s="125" r="K126"/>
      <c s="125" r="L126"/>
      <c s="125" r="M126"/>
      <c s="125" r="N126"/>
      <c s="125" r="O126"/>
      <c s="125" r="P126"/>
      <c s="125" r="Q126"/>
      <c s="125" r="R126"/>
      <c s="125" r="S126"/>
      <c s="125" r="T126"/>
      <c s="125" r="U126"/>
      <c s="125" r="V126"/>
      <c s="125" r="W126"/>
      <c s="125" r="X126"/>
      <c s="125" r="Y126"/>
      <c s="125" r="Z126"/>
      <c s="125" r="AA126"/>
      <c s="125" r="AB126"/>
      <c s="125" r="AC126"/>
      <c s="822" r="AD126"/>
      <c s="217" r="AE126"/>
      <c t="s" s="294" r="AF126">
        <v>492</v>
      </c>
      <c t="str" s="534" r="AG126">
        <f>0.5&amp;"  -"</f>
        <v>0.5  -</v>
      </c>
      <c s="411" r="AH126">
        <v>1</v>
      </c>
      <c s="550" r="AI126"/>
      <c t="str" s="42" r="AJ126">
        <f>(AI126/AI$146)+AJ125</f>
        <v>#DIV/0!:divZero</v>
      </c>
      <c t="str" s="619" r="AK126">
        <f>IF(OR((SUM(AI$122:AI127)=0),(SUM(AI126:AI$145)=0)),NA(),AJ126)</f>
        <v>#N/A:explicit</v>
      </c>
      <c s="72" r="AL126"/>
      <c s="908" r="AM126"/>
      <c s="551" r="AN126"/>
      <c s="551" r="AO126"/>
      <c s="551" r="AP126"/>
      <c s="551" r="AQ126"/>
      <c s="551" r="AR126"/>
      <c s="551" r="AS126"/>
      <c s="551" r="AT126"/>
      <c s="551" r="AU126"/>
      <c s="551" r="AV126"/>
      <c s="671" r="AW126"/>
      <c s="51" r="AX126"/>
      <c s="125" r="AY126"/>
      <c s="125" r="AZ126"/>
      <c s="125" r="BA126"/>
      <c s="125" r="BB126"/>
      <c s="125" r="BC126"/>
      <c s="125" r="BD126"/>
      <c s="125" r="BE126"/>
      <c s="341" r="BF126"/>
      <c s="761" r="BG126"/>
      <c s="125" r="BH126"/>
      <c s="125" r="BI126"/>
      <c s="125" r="BJ126"/>
      <c s="125" r="BK126"/>
      <c s="125" r="BL126"/>
      <c s="125" r="BM126"/>
      <c s="125" r="BN126"/>
      <c s="125" r="BO126"/>
      <c s="125" r="BP126"/>
      <c s="125" r="BQ126"/>
      <c s="125" r="BR126"/>
      <c s="125" r="BS126"/>
      <c s="125" r="BT126"/>
      <c s="125" r="BU126"/>
      <c s="125" r="BV126"/>
      <c s="125" r="BW126"/>
      <c s="125" r="BX126"/>
      <c s="125" r="BY126"/>
      <c s="125" r="BZ126"/>
      <c s="125" r="CA126"/>
      <c s="125" r="CB126"/>
      <c s="125" r="CC126"/>
      <c s="125" r="CD126"/>
      <c s="125" r="CE126"/>
      <c s="125" r="CF126"/>
      <c s="125" r="CG126"/>
      <c s="125" r="CH126"/>
      <c s="125" r="CI126"/>
      <c s="125" r="CJ126"/>
      <c s="125" r="CK126"/>
      <c s="125" r="CL126"/>
    </row>
    <row r="127">
      <c s="125" r="A127"/>
      <c s="125" r="B127"/>
      <c s="125" r="C127"/>
      <c s="125" r="D127"/>
      <c s="125" r="E127"/>
      <c s="125" r="F127"/>
      <c s="125" r="G127"/>
      <c s="125" r="H127"/>
      <c s="125" r="I127"/>
      <c s="125" r="J127"/>
      <c s="125" r="K127"/>
      <c s="125" r="L127"/>
      <c s="125" r="M127"/>
      <c s="125" r="N127"/>
      <c s="125" r="O127"/>
      <c s="125" r="P127"/>
      <c s="125" r="Q127"/>
      <c s="125" r="R127"/>
      <c s="125" r="S127"/>
      <c s="125" r="T127"/>
      <c s="125" r="U127"/>
      <c s="125" r="V127"/>
      <c s="125" r="W127"/>
      <c s="125" r="X127"/>
      <c s="125" r="Y127"/>
      <c s="125" r="Z127"/>
      <c s="125" r="AA127"/>
      <c s="125" r="AB127"/>
      <c s="125" r="AC127"/>
      <c s="822" r="AD127"/>
      <c s="460" r="AE127"/>
      <c t="s" s="18" r="AF127">
        <v>496</v>
      </c>
      <c t="str" s="658" r="AG127">
        <f>1&amp;"  -"</f>
        <v>1  -</v>
      </c>
      <c s="672" r="AH127">
        <v>2</v>
      </c>
      <c s="550" r="AI127"/>
      <c t="str" s="42" r="AJ127">
        <f>(AI127/AI$146)+AJ126</f>
        <v>#DIV/0!:divZero</v>
      </c>
      <c t="str" s="619" r="AK127">
        <f>IF(OR((SUM(AI$122:AI128)=0),(SUM(AI127:AI$145)=0)),NA(),AJ127)</f>
        <v>#N/A:explicit</v>
      </c>
      <c s="72" r="AL127"/>
      <c s="908" r="AM127"/>
      <c s="551" r="AN127"/>
      <c s="551" r="AO127"/>
      <c s="551" r="AP127"/>
      <c s="551" r="AQ127"/>
      <c s="551" r="AR127"/>
      <c s="551" r="AS127"/>
      <c s="551" r="AT127"/>
      <c s="551" r="AU127"/>
      <c s="551" r="AV127"/>
      <c s="671" r="AW127"/>
      <c s="51" r="AX127"/>
      <c s="125" r="AY127"/>
      <c s="125" r="AZ127"/>
      <c s="125" r="BA127"/>
      <c s="125" r="BB127"/>
      <c s="125" r="BC127"/>
      <c s="125" r="BD127"/>
      <c s="125" r="BE127"/>
      <c s="341" r="BF127"/>
      <c s="761" r="BG127"/>
      <c s="125" r="BH127"/>
      <c s="125" r="BI127"/>
      <c s="125" r="BJ127"/>
      <c s="125" r="BK127"/>
      <c s="125" r="BL127"/>
      <c s="125" r="BM127"/>
      <c s="125" r="BN127"/>
      <c s="125" r="BO127"/>
      <c s="125" r="BP127"/>
      <c s="125" r="BQ127"/>
      <c s="125" r="BR127"/>
      <c s="125" r="BS127"/>
      <c s="125" r="BT127"/>
      <c s="125" r="BU127"/>
      <c s="125" r="BV127"/>
      <c s="125" r="BW127"/>
      <c s="125" r="BX127"/>
      <c s="125" r="BY127"/>
      <c s="125" r="BZ127"/>
      <c s="125" r="CA127"/>
      <c s="125" r="CB127"/>
      <c s="125" r="CC127"/>
      <c s="125" r="CD127"/>
      <c s="125" r="CE127"/>
      <c s="125" r="CF127"/>
      <c s="125" r="CG127"/>
      <c s="125" r="CH127"/>
      <c s="125" r="CI127"/>
      <c s="125" r="CJ127"/>
      <c s="125" r="CK127"/>
      <c s="125" r="CL127"/>
    </row>
    <row r="128">
      <c s="125" r="A128"/>
      <c s="125" r="B128"/>
      <c s="125" r="C128"/>
      <c s="125" r="D128"/>
      <c s="125" r="E128"/>
      <c s="125" r="F128"/>
      <c s="125" r="G128"/>
      <c s="125" r="H128"/>
      <c s="125" r="I128"/>
      <c s="125" r="J128"/>
      <c s="125" r="K128"/>
      <c s="125" r="L128"/>
      <c s="125" r="M128"/>
      <c s="125" r="N128"/>
      <c s="125" r="O128"/>
      <c s="125" r="P128"/>
      <c s="125" r="Q128"/>
      <c s="125" r="R128"/>
      <c s="125" r="S128"/>
      <c s="125" r="T128"/>
      <c s="125" r="U128"/>
      <c s="125" r="V128"/>
      <c s="125" r="W128"/>
      <c s="125" r="X128"/>
      <c s="125" r="Y128"/>
      <c s="125" r="Z128"/>
      <c s="125" r="AA128"/>
      <c s="125" r="AB128"/>
      <c s="125" r="AC128"/>
      <c s="822" r="AD128"/>
      <c s="779" r="AE128"/>
      <c t="s" s="880" r="AF128">
        <v>467</v>
      </c>
      <c t="str" s="73" r="AG128">
        <f>2&amp;"  -"</f>
        <v>2  -</v>
      </c>
      <c s="860" r="AH128">
        <v>4</v>
      </c>
      <c s="550" r="AI128"/>
      <c t="str" s="42" r="AJ128">
        <f>(AI128/AI$146)+AJ127</f>
        <v>#DIV/0!:divZero</v>
      </c>
      <c t="str" s="619" r="AK128">
        <f>IF(OR((SUM(AI$122:AI129)=0),(SUM(AI128:AI$145)=0)),NA(),AJ128)</f>
        <v>#N/A:explicit</v>
      </c>
      <c s="72" r="AL128"/>
      <c s="908" r="AM128"/>
      <c s="551" r="AN128"/>
      <c s="551" r="AO128"/>
      <c s="551" r="AP128"/>
      <c s="551" r="AQ128"/>
      <c s="551" r="AR128"/>
      <c s="551" r="AS128"/>
      <c s="551" r="AT128"/>
      <c s="551" r="AU128"/>
      <c s="551" r="AV128"/>
      <c s="671" r="AW128"/>
      <c s="51" r="AX128"/>
      <c s="125" r="AY128"/>
      <c s="125" r="AZ128"/>
      <c s="125" r="BA128"/>
      <c s="125" r="BB128"/>
      <c s="125" r="BC128"/>
      <c s="125" r="BD128"/>
      <c s="125" r="BE128"/>
      <c s="341" r="BF128"/>
      <c s="761" r="BG128"/>
      <c s="125" r="BH128"/>
      <c s="125" r="BI128"/>
      <c s="125" r="BJ128"/>
      <c s="125" r="BK128"/>
      <c s="125" r="BL128"/>
      <c s="125" r="BM128"/>
      <c s="125" r="BN128"/>
      <c s="125" r="BO128"/>
      <c s="125" r="BP128"/>
      <c s="125" r="BQ128"/>
      <c s="125" r="BR128"/>
      <c s="125" r="BS128"/>
      <c s="125" r="BT128"/>
      <c s="125" r="BU128"/>
      <c s="125" r="BV128"/>
      <c s="125" r="BW128"/>
      <c s="125" r="BX128"/>
      <c s="125" r="BY128"/>
      <c s="125" r="BZ128"/>
      <c s="125" r="CA128"/>
      <c s="125" r="CB128"/>
      <c s="125" r="CC128"/>
      <c s="125" r="CD128"/>
      <c s="125" r="CE128"/>
      <c s="125" r="CF128"/>
      <c s="125" r="CG128"/>
      <c s="125" r="CH128"/>
      <c s="125" r="CI128"/>
      <c s="125" r="CJ128"/>
      <c s="125" r="CK128"/>
      <c s="125" r="CL128"/>
    </row>
    <row r="129">
      <c s="125" r="A129"/>
      <c s="125" r="B129"/>
      <c s="125" r="C129"/>
      <c s="125" r="D129"/>
      <c s="125" r="E129"/>
      <c s="125" r="F129"/>
      <c s="125" r="G129"/>
      <c s="125" r="H129"/>
      <c s="125" r="I129"/>
      <c s="125" r="J129"/>
      <c s="125" r="K129"/>
      <c s="125" r="L129"/>
      <c s="125" r="M129"/>
      <c s="125" r="N129"/>
      <c s="125" r="O129"/>
      <c s="125" r="P129"/>
      <c s="125" r="Q129"/>
      <c s="125" r="R129"/>
      <c s="125" r="S129"/>
      <c s="125" r="T129"/>
      <c s="125" r="U129"/>
      <c s="125" r="V129"/>
      <c s="125" r="W129"/>
      <c s="125" r="X129"/>
      <c s="125" r="Y129"/>
      <c s="125" r="Z129"/>
      <c s="125" r="AA129"/>
      <c s="125" r="AB129"/>
      <c s="125" r="AC129"/>
      <c s="822" r="AD129"/>
      <c s="217" r="AE129"/>
      <c t="s" s="294" r="AF129">
        <v>471</v>
      </c>
      <c t="str" s="595" r="AG129">
        <f>4&amp;"  -"</f>
        <v>4  -</v>
      </c>
      <c s="411" r="AH129">
        <v>6</v>
      </c>
      <c s="550" r="AI129"/>
      <c t="str" s="42" r="AJ129">
        <f>(AI129/AI$146)+AJ128</f>
        <v>#DIV/0!:divZero</v>
      </c>
      <c t="str" s="619" r="AK129">
        <f>IF(OR((SUM(AI$122:AI130)=0),(SUM(AI129:AI$145)=0)),NA(),AJ129)</f>
        <v>#N/A:explicit</v>
      </c>
      <c s="72" r="AL129"/>
      <c s="908" r="AM129"/>
      <c s="551" r="AN129"/>
      <c s="551" r="AO129"/>
      <c s="551" r="AP129"/>
      <c s="551" r="AQ129"/>
      <c s="551" r="AR129"/>
      <c s="551" r="AS129"/>
      <c s="551" r="AT129"/>
      <c s="551" r="AU129"/>
      <c s="551" r="AV129"/>
      <c s="671" r="AW129"/>
      <c s="51" r="AX129"/>
      <c s="125" r="AY129"/>
      <c s="125" r="AZ129"/>
      <c s="125" r="BA129"/>
      <c s="125" r="BB129"/>
      <c s="125" r="BC129"/>
      <c s="125" r="BD129"/>
      <c s="125" r="BE129"/>
      <c s="341" r="BF129"/>
      <c s="761" r="BG129"/>
      <c s="125" r="BH129"/>
      <c s="125" r="BI129"/>
      <c s="125" r="BJ129"/>
      <c s="125" r="BK129"/>
      <c s="125" r="BL129"/>
      <c s="125" r="BM129"/>
      <c s="125" r="BN129"/>
      <c s="125" r="BO129"/>
      <c s="125" r="BP129"/>
      <c s="125" r="BQ129"/>
      <c s="125" r="BR129"/>
      <c s="125" r="BS129"/>
      <c s="125" r="BT129"/>
      <c s="125" r="BU129"/>
      <c s="125" r="BV129"/>
      <c s="125" r="BW129"/>
      <c s="125" r="BX129"/>
      <c s="125" r="BY129"/>
      <c s="125" r="BZ129"/>
      <c s="125" r="CA129"/>
      <c s="125" r="CB129"/>
      <c s="125" r="CC129"/>
      <c s="125" r="CD129"/>
      <c s="125" r="CE129"/>
      <c s="125" r="CF129"/>
      <c s="125" r="CG129"/>
      <c s="125" r="CH129"/>
      <c s="125" r="CI129"/>
      <c s="125" r="CJ129"/>
      <c s="125" r="CK129"/>
      <c s="125" r="CL129"/>
    </row>
    <row r="130">
      <c s="125" r="A130"/>
      <c s="125" r="B130"/>
      <c s="125" r="C130"/>
      <c s="125" r="D130"/>
      <c s="125" r="E130"/>
      <c s="125" r="F130"/>
      <c s="125" r="G130"/>
      <c s="125" r="H130"/>
      <c s="125" r="I130"/>
      <c s="125" r="J130"/>
      <c s="125" r="K130"/>
      <c s="125" r="L130"/>
      <c s="125" r="M130"/>
      <c s="125" r="N130"/>
      <c s="125" r="O130"/>
      <c s="125" r="P130"/>
      <c s="125" r="Q130"/>
      <c s="125" r="R130"/>
      <c s="125" r="S130"/>
      <c s="125" r="T130"/>
      <c s="125" r="U130"/>
      <c s="125" r="V130"/>
      <c s="125" r="W130"/>
      <c s="125" r="X130"/>
      <c s="125" r="Y130"/>
      <c s="125" r="Z130"/>
      <c s="125" r="AA130"/>
      <c s="125" r="AB130"/>
      <c s="125" r="AC130"/>
      <c s="822" r="AD130"/>
      <c s="217" r="AE130"/>
      <c t="s" s="294" r="AF130">
        <v>471</v>
      </c>
      <c t="str" s="595" r="AG130">
        <f>6&amp;"  -"</f>
        <v>6  -</v>
      </c>
      <c s="411" r="AH130">
        <v>8</v>
      </c>
      <c s="550" r="AI130"/>
      <c t="str" s="42" r="AJ130">
        <f>(AI130/AI$146)+AJ129</f>
        <v>#DIV/0!:divZero</v>
      </c>
      <c t="str" s="619" r="AK130">
        <f>IF(OR((SUM(AI$122:AI131)=0),(SUM(AI130:AI$145)=0)),NA(),AJ130)</f>
        <v>#N/A:explicit</v>
      </c>
      <c s="72" r="AL130"/>
      <c s="908" r="AM130"/>
      <c s="551" r="AN130"/>
      <c s="551" r="AO130"/>
      <c s="551" r="AP130"/>
      <c s="551" r="AQ130"/>
      <c s="551" r="AR130"/>
      <c s="551" r="AS130"/>
      <c s="551" r="AT130"/>
      <c s="551" r="AU130"/>
      <c s="551" r="AV130"/>
      <c s="671" r="AW130"/>
      <c s="51" r="AX130"/>
      <c s="125" r="AY130"/>
      <c s="125" r="AZ130"/>
      <c s="125" r="BA130"/>
      <c s="125" r="BB130"/>
      <c s="125" r="BC130"/>
      <c s="125" r="BD130"/>
      <c s="125" r="BE130"/>
      <c s="341" r="BF130"/>
      <c s="761" r="BG130"/>
      <c s="125" r="BH130"/>
      <c s="125" r="BI130"/>
      <c s="125" r="BJ130"/>
      <c s="125" r="BK130"/>
      <c s="125" r="BL130"/>
      <c s="125" r="BM130"/>
      <c s="125" r="BN130"/>
      <c s="125" r="BO130"/>
      <c s="125" r="BP130"/>
      <c s="125" r="BQ130"/>
      <c s="125" r="BR130"/>
      <c s="125" r="BS130"/>
      <c s="125" r="BT130"/>
      <c s="125" r="BU130"/>
      <c s="125" r="BV130"/>
      <c s="125" r="BW130"/>
      <c s="125" r="BX130"/>
      <c s="125" r="BY130"/>
      <c s="125" r="BZ130"/>
      <c s="125" r="CA130"/>
      <c s="125" r="CB130"/>
      <c s="125" r="CC130"/>
      <c s="125" r="CD130"/>
      <c s="125" r="CE130"/>
      <c s="125" r="CF130"/>
      <c s="125" r="CG130"/>
      <c s="125" r="CH130"/>
      <c s="125" r="CI130"/>
      <c s="125" r="CJ130"/>
      <c s="125" r="CK130"/>
      <c s="125" r="CL130"/>
    </row>
    <row r="131">
      <c s="125" r="A131"/>
      <c s="125" r="B131"/>
      <c s="125" r="C131"/>
      <c s="125" r="D131"/>
      <c s="125" r="E131"/>
      <c s="125" r="F131"/>
      <c s="125" r="G131"/>
      <c s="125" r="H131"/>
      <c s="125" r="I131"/>
      <c s="125" r="J131"/>
      <c s="125" r="K131"/>
      <c s="125" r="L131"/>
      <c s="125" r="M131"/>
      <c s="125" r="N131"/>
      <c s="125" r="O131"/>
      <c s="125" r="P131"/>
      <c s="125" r="Q131"/>
      <c s="125" r="R131"/>
      <c s="125" r="S131"/>
      <c s="125" r="T131"/>
      <c s="125" r="U131"/>
      <c s="125" r="V131"/>
      <c s="125" r="W131"/>
      <c s="125" r="X131"/>
      <c s="125" r="Y131"/>
      <c s="125" r="Z131"/>
      <c s="125" r="AA131"/>
      <c s="125" r="AB131"/>
      <c s="125" r="AC131"/>
      <c s="822" r="AD131"/>
      <c s="217" r="AE131"/>
      <c t="s" s="294" r="AF131">
        <v>485</v>
      </c>
      <c t="str" s="595" r="AG131">
        <f>8&amp;"  -"</f>
        <v>8  -</v>
      </c>
      <c s="411" r="AH131">
        <v>11</v>
      </c>
      <c s="550" r="AI131"/>
      <c t="str" s="42" r="AJ131">
        <f>(AI131/AI$146)+AJ130</f>
        <v>#DIV/0!:divZero</v>
      </c>
      <c t="str" s="619" r="AK131">
        <f>IF(OR((SUM(AI$122:AI132)=0),(SUM(AI131:AI$145)=0)),NA(),AJ131)</f>
        <v>#N/A:explicit</v>
      </c>
      <c s="72" r="AL131"/>
      <c s="908" r="AM131"/>
      <c s="551" r="AN131"/>
      <c s="551" r="AO131"/>
      <c s="551" r="AP131"/>
      <c s="551" r="AQ131"/>
      <c s="551" r="AR131"/>
      <c s="551" r="AS131"/>
      <c s="551" r="AT131"/>
      <c s="551" r="AU131"/>
      <c s="551" r="AV131"/>
      <c s="671" r="AW131"/>
      <c s="51" r="AX131"/>
      <c s="125" r="AY131"/>
      <c s="125" r="AZ131"/>
      <c s="125" r="BA131"/>
      <c s="125" r="BB131"/>
      <c s="125" r="BC131"/>
      <c s="125" r="BD131"/>
      <c s="125" r="BE131"/>
      <c s="341" r="BF131"/>
      <c s="761" r="BG131"/>
      <c s="125" r="BH131"/>
      <c s="125" r="BI131"/>
      <c s="125" r="BJ131"/>
      <c s="125" r="BK131"/>
      <c s="125" r="BL131"/>
      <c s="125" r="BM131"/>
      <c s="125" r="BN131"/>
      <c s="125" r="BO131"/>
      <c s="125" r="BP131"/>
      <c s="125" r="BQ131"/>
      <c s="125" r="BR131"/>
      <c s="125" r="BS131"/>
      <c s="125" r="BT131"/>
      <c s="125" r="BU131"/>
      <c s="125" r="BV131"/>
      <c s="125" r="BW131"/>
      <c s="125" r="BX131"/>
      <c s="125" r="BY131"/>
      <c s="125" r="BZ131"/>
      <c s="125" r="CA131"/>
      <c s="125" r="CB131"/>
      <c s="125" r="CC131"/>
      <c s="125" r="CD131"/>
      <c s="125" r="CE131"/>
      <c s="125" r="CF131"/>
      <c s="125" r="CG131"/>
      <c s="125" r="CH131"/>
      <c s="125" r="CI131"/>
      <c s="125" r="CJ131"/>
      <c s="125" r="CK131"/>
      <c s="125" r="CL131"/>
    </row>
    <row r="132">
      <c s="125" r="A132"/>
      <c s="125" r="B132"/>
      <c s="125" r="C132"/>
      <c s="125" r="D132"/>
      <c s="125" r="E132"/>
      <c s="125" r="F132"/>
      <c s="125" r="G132"/>
      <c s="125" r="H132"/>
      <c s="125" r="I132"/>
      <c s="125" r="J132"/>
      <c s="125" r="K132"/>
      <c s="125" r="L132"/>
      <c s="125" r="M132"/>
      <c s="125" r="N132"/>
      <c s="125" r="O132"/>
      <c s="125" r="P132"/>
      <c s="125" r="Q132"/>
      <c s="125" r="R132"/>
      <c s="125" r="S132"/>
      <c s="125" r="T132"/>
      <c s="125" r="U132"/>
      <c s="125" r="V132"/>
      <c s="125" r="W132"/>
      <c s="125" r="X132"/>
      <c s="125" r="Y132"/>
      <c s="125" r="Z132"/>
      <c s="125" r="AA132"/>
      <c s="125" r="AB132"/>
      <c s="125" r="AC132"/>
      <c s="822" r="AD132"/>
      <c s="217" r="AE132"/>
      <c t="s" s="294" r="AF132">
        <v>485</v>
      </c>
      <c t="str" s="595" r="AG132">
        <f>11&amp;"  -"</f>
        <v>11  -</v>
      </c>
      <c s="411" r="AH132">
        <v>16</v>
      </c>
      <c s="550" r="AI132"/>
      <c t="str" s="42" r="AJ132">
        <f>(AI132/AI$146)+AJ131</f>
        <v>#DIV/0!:divZero</v>
      </c>
      <c t="str" s="619" r="AK132">
        <f>IF(OR((SUM(AI$122:AI133)=0),(SUM(AI132:AI$145)=0)),NA(),AJ132)</f>
        <v>#N/A:explicit</v>
      </c>
      <c s="140" r="AL132"/>
      <c s="908" r="AM132"/>
      <c s="551" r="AN132"/>
      <c s="551" r="AO132"/>
      <c s="551" r="AP132"/>
      <c s="551" r="AQ132"/>
      <c s="551" r="AR132"/>
      <c s="551" r="AS132"/>
      <c s="551" r="AT132"/>
      <c s="551" r="AU132"/>
      <c s="551" r="AV132"/>
      <c s="671" r="AW132"/>
      <c s="51" r="AX132"/>
      <c s="125" r="AY132"/>
      <c s="125" r="AZ132"/>
      <c s="125" r="BA132"/>
      <c s="125" r="BB132"/>
      <c s="125" r="BC132"/>
      <c s="125" r="BD132"/>
      <c s="125" r="BE132"/>
      <c s="341" r="BF132"/>
      <c s="761" r="BG132"/>
      <c s="125" r="BH132"/>
      <c s="125" r="BI132"/>
      <c s="125" r="BJ132"/>
      <c s="125" r="BK132"/>
      <c s="125" r="BL132"/>
      <c s="125" r="BM132"/>
      <c s="125" r="BN132"/>
      <c s="125" r="BO132"/>
      <c s="125" r="BP132"/>
      <c s="125" r="BQ132"/>
      <c s="125" r="BR132"/>
      <c s="125" r="BS132"/>
      <c s="125" r="BT132"/>
      <c s="125" r="BU132"/>
      <c s="125" r="BV132"/>
      <c s="125" r="BW132"/>
      <c s="125" r="BX132"/>
      <c s="125" r="BY132"/>
      <c s="125" r="BZ132"/>
      <c s="125" r="CA132"/>
      <c s="125" r="CB132"/>
      <c s="125" r="CC132"/>
      <c s="125" r="CD132"/>
      <c s="125" r="CE132"/>
      <c s="125" r="CF132"/>
      <c s="125" r="CG132"/>
      <c s="125" r="CH132"/>
      <c s="125" r="CI132"/>
      <c s="125" r="CJ132"/>
      <c s="125" r="CK132"/>
      <c s="125" r="CL132"/>
    </row>
    <row r="133">
      <c s="125" r="A133"/>
      <c s="125" r="B133"/>
      <c s="125" r="C133"/>
      <c s="125" r="D133"/>
      <c s="125" r="E133"/>
      <c s="125" r="F133"/>
      <c s="125" r="G133"/>
      <c s="125" r="H133"/>
      <c s="125" r="I133"/>
      <c s="125" r="J133"/>
      <c s="125" r="K133"/>
      <c s="125" r="L133"/>
      <c s="125" r="M133"/>
      <c s="125" r="N133"/>
      <c s="125" r="O133"/>
      <c s="125" r="P133"/>
      <c s="125" r="Q133"/>
      <c s="125" r="R133"/>
      <c s="125" r="S133"/>
      <c s="125" r="T133"/>
      <c s="125" r="U133"/>
      <c s="125" r="V133"/>
      <c s="125" r="W133"/>
      <c s="125" r="X133"/>
      <c s="125" r="Y133"/>
      <c s="125" r="Z133"/>
      <c s="125" r="AA133"/>
      <c s="125" r="AB133"/>
      <c s="125" r="AC133"/>
      <c s="822" r="AD133"/>
      <c s="217" r="AE133"/>
      <c t="s" s="294" r="AF133">
        <v>494</v>
      </c>
      <c t="str" s="595" r="AG133">
        <f>16&amp;"  -"</f>
        <v>16  -</v>
      </c>
      <c s="411" r="AH133">
        <v>22</v>
      </c>
      <c s="550" r="AI133"/>
      <c t="str" s="42" r="AJ133">
        <f>(AI133/AI$146)+AJ132</f>
        <v>#DIV/0!:divZero</v>
      </c>
      <c t="str" s="619" r="AK133">
        <f>IF(OR((SUM(AI$122:AI134)=0),(SUM(AI133:AI$145)=0)),NA(),AJ133)</f>
        <v>#N/A:explicit</v>
      </c>
      <c s="140" r="AL133"/>
      <c s="908" r="AM133"/>
      <c s="551" r="AN133"/>
      <c s="551" r="AO133"/>
      <c s="551" r="AP133"/>
      <c s="551" r="AQ133"/>
      <c s="551" r="AR133"/>
      <c s="551" r="AS133"/>
      <c s="551" r="AT133"/>
      <c s="551" r="AU133"/>
      <c s="551" r="AV133"/>
      <c s="671" r="AW133"/>
      <c s="51" r="AX133"/>
      <c s="125" r="AY133"/>
      <c s="125" r="AZ133"/>
      <c s="125" r="BA133"/>
      <c s="125" r="BB133"/>
      <c s="125" r="BC133"/>
      <c s="125" r="BD133"/>
      <c s="125" r="BE133"/>
      <c s="341" r="BF133"/>
      <c s="761" r="BG133"/>
      <c s="125" r="BH133"/>
      <c s="125" r="BI133"/>
      <c s="125" r="BJ133"/>
      <c s="125" r="BK133"/>
      <c s="125" r="BL133"/>
      <c s="125" r="BM133"/>
      <c s="125" r="BN133"/>
      <c s="125" r="BO133"/>
      <c s="125" r="BP133"/>
      <c s="125" r="BQ133"/>
      <c s="125" r="BR133"/>
      <c s="125" r="BS133"/>
      <c s="125" r="BT133"/>
      <c s="125" r="BU133"/>
      <c s="125" r="BV133"/>
      <c s="125" r="BW133"/>
      <c s="125" r="BX133"/>
      <c s="125" r="BY133"/>
      <c s="125" r="BZ133"/>
      <c s="125" r="CA133"/>
      <c s="125" r="CB133"/>
      <c s="125" r="CC133"/>
      <c s="125" r="CD133"/>
      <c s="125" r="CE133"/>
      <c s="125" r="CF133"/>
      <c s="125" r="CG133"/>
      <c s="125" r="CH133"/>
      <c s="125" r="CI133"/>
      <c s="125" r="CJ133"/>
      <c s="125" r="CK133"/>
      <c s="125" r="CL133"/>
    </row>
    <row r="134">
      <c s="125" r="A134"/>
      <c s="125" r="B134"/>
      <c s="125" r="C134"/>
      <c s="125" r="D134"/>
      <c s="125" r="E134"/>
      <c s="125" r="F134"/>
      <c s="125" r="G134"/>
      <c s="125" r="H134"/>
      <c s="125" r="I134"/>
      <c s="125" r="J134"/>
      <c s="125" r="K134"/>
      <c s="125" r="L134"/>
      <c s="125" r="M134"/>
      <c s="125" r="N134"/>
      <c s="125" r="O134"/>
      <c s="125" r="P134"/>
      <c s="125" r="Q134"/>
      <c s="125" r="R134"/>
      <c s="125" r="S134"/>
      <c s="125" r="T134"/>
      <c s="125" r="U134"/>
      <c s="125" r="V134"/>
      <c s="125" r="W134"/>
      <c s="125" r="X134"/>
      <c s="125" r="Y134"/>
      <c s="125" r="Z134"/>
      <c s="125" r="AA134"/>
      <c s="125" r="AB134"/>
      <c s="125" r="AC134"/>
      <c s="822" r="AD134"/>
      <c s="217" r="AE134"/>
      <c t="s" s="294" r="AF134">
        <v>494</v>
      </c>
      <c t="str" s="595" r="AG134">
        <f>22&amp;"  -"</f>
        <v>22  -</v>
      </c>
      <c s="411" r="AH134">
        <v>32</v>
      </c>
      <c s="550" r="AI134"/>
      <c t="str" s="42" r="AJ134">
        <f>(AI134/AI$146)+AJ133</f>
        <v>#DIV/0!:divZero</v>
      </c>
      <c t="str" s="619" r="AK134">
        <f>IF(OR((SUM(AI$122:AI135)=0),(SUM(AI134:AI$145)=0)),NA(),AJ134)</f>
        <v>#N/A:explicit</v>
      </c>
      <c s="140" r="AL134"/>
      <c s="908" r="AM134"/>
      <c s="551" r="AN134"/>
      <c s="551" r="AO134"/>
      <c s="551" r="AP134"/>
      <c s="551" r="AQ134"/>
      <c s="551" r="AR134"/>
      <c s="551" r="AS134"/>
      <c s="551" r="AT134"/>
      <c s="551" r="AU134"/>
      <c s="551" r="AV134"/>
      <c s="671" r="AW134"/>
      <c s="51" r="AX134"/>
      <c s="125" r="AY134"/>
      <c s="125" r="AZ134"/>
      <c s="125" r="BA134"/>
      <c s="125" r="BB134"/>
      <c s="125" r="BC134"/>
      <c s="125" r="BD134"/>
      <c s="125" r="BE134"/>
      <c s="341" r="BF134"/>
      <c s="761" r="BG134"/>
      <c s="125" r="BH134"/>
      <c s="125" r="BI134"/>
      <c s="125" r="BJ134"/>
      <c s="125" r="BK134"/>
      <c s="125" r="BL134"/>
      <c s="125" r="BM134"/>
      <c s="125" r="BN134"/>
      <c s="125" r="BO134"/>
      <c s="125" r="BP134"/>
      <c s="125" r="BQ134"/>
      <c s="125" r="BR134"/>
      <c s="125" r="BS134"/>
      <c s="125" r="BT134"/>
      <c s="125" r="BU134"/>
      <c s="125" r="BV134"/>
      <c s="125" r="BW134"/>
      <c s="125" r="BX134"/>
      <c s="125" r="BY134"/>
      <c s="125" r="BZ134"/>
      <c s="125" r="CA134"/>
      <c s="125" r="CB134"/>
      <c s="125" r="CC134"/>
      <c s="125" r="CD134"/>
      <c s="125" r="CE134"/>
      <c s="125" r="CF134"/>
      <c s="125" r="CG134"/>
      <c s="125" r="CH134"/>
      <c s="125" r="CI134"/>
      <c s="125" r="CJ134"/>
      <c s="125" r="CK134"/>
      <c s="125" r="CL134"/>
    </row>
    <row r="135">
      <c s="125" r="A135"/>
      <c s="125" r="B135"/>
      <c s="125" r="C135"/>
      <c s="125" r="D135"/>
      <c s="125" r="E135"/>
      <c s="125" r="F135"/>
      <c s="125" r="G135"/>
      <c s="125" r="H135"/>
      <c s="125" r="I135"/>
      <c s="125" r="J135"/>
      <c s="125" r="K135"/>
      <c s="125" r="L135"/>
      <c s="125" r="M135"/>
      <c s="125" r="N135"/>
      <c s="125" r="O135"/>
      <c s="125" r="P135"/>
      <c s="125" r="Q135"/>
      <c s="125" r="R135"/>
      <c s="125" r="S135"/>
      <c s="125" r="T135"/>
      <c s="125" r="U135"/>
      <c s="125" r="V135"/>
      <c s="125" r="W135"/>
      <c s="125" r="X135"/>
      <c s="125" r="Y135"/>
      <c s="125" r="Z135"/>
      <c s="125" r="AA135"/>
      <c s="125" r="AB135"/>
      <c s="125" r="AC135"/>
      <c s="822" r="AD135"/>
      <c s="409" r="AE135"/>
      <c t="s" s="8" r="AF135">
        <v>500</v>
      </c>
      <c t="str" s="595" r="AG135">
        <f>32&amp;"  -"</f>
        <v>32  -</v>
      </c>
      <c s="411" r="AH135">
        <v>45</v>
      </c>
      <c s="550" r="AI135"/>
      <c t="str" s="42" r="AJ135">
        <f>(AI135/AI$146)+AJ134</f>
        <v>#DIV/0!:divZero</v>
      </c>
      <c t="str" s="619" r="AK135">
        <f>IF(OR((SUM(AI$122:AI136)=0),(SUM(AI135:AI$145)=0)),NA(),AJ135)</f>
        <v>#N/A:explicit</v>
      </c>
      <c s="140" r="AL135"/>
      <c s="908" r="AM135"/>
      <c s="551" r="AN135"/>
      <c s="551" r="AO135"/>
      <c s="551" r="AP135"/>
      <c s="551" r="AQ135"/>
      <c s="551" r="AR135"/>
      <c s="551" r="AS135"/>
      <c s="551" r="AT135"/>
      <c s="551" r="AU135"/>
      <c s="551" r="AV135"/>
      <c s="671" r="AW135"/>
      <c s="51" r="AX135"/>
      <c s="125" r="AY135"/>
      <c s="125" r="AZ135"/>
      <c s="125" r="BA135"/>
      <c s="125" r="BB135"/>
      <c s="125" r="BC135"/>
      <c s="125" r="BD135"/>
      <c s="125" r="BE135"/>
      <c s="341" r="BF135"/>
      <c s="761" r="BG135"/>
      <c s="125" r="BH135"/>
      <c s="125" r="BI135"/>
      <c s="125" r="BJ135"/>
      <c s="125" r="BK135"/>
      <c s="125" r="BL135"/>
      <c s="125" r="BM135"/>
      <c s="125" r="BN135"/>
      <c s="125" r="BO135"/>
      <c s="125" r="BP135"/>
      <c s="125" r="BQ135"/>
      <c s="125" r="BR135"/>
      <c s="125" r="BS135"/>
      <c s="125" r="BT135"/>
      <c s="125" r="BU135"/>
      <c s="125" r="BV135"/>
      <c s="125" r="BW135"/>
      <c s="125" r="BX135"/>
      <c s="125" r="BY135"/>
      <c s="125" r="BZ135"/>
      <c s="125" r="CA135"/>
      <c s="125" r="CB135"/>
      <c s="125" r="CC135"/>
      <c s="125" r="CD135"/>
      <c s="125" r="CE135"/>
      <c s="125" r="CF135"/>
      <c s="125" r="CG135"/>
      <c s="125" r="CH135"/>
      <c s="125" r="CI135"/>
      <c s="125" r="CJ135"/>
      <c s="125" r="CK135"/>
      <c s="125" r="CL135"/>
    </row>
    <row r="136">
      <c s="125" r="A136"/>
      <c s="125" r="B136"/>
      <c s="125" r="C136"/>
      <c s="125" r="D136"/>
      <c s="125" r="E136"/>
      <c s="125" r="F136"/>
      <c s="125" r="G136"/>
      <c s="125" r="H136"/>
      <c s="125" r="I136"/>
      <c s="125" r="J136"/>
      <c s="125" r="K136"/>
      <c s="125" r="L136"/>
      <c s="125" r="M136"/>
      <c s="125" r="N136"/>
      <c s="125" r="O136"/>
      <c s="125" r="P136"/>
      <c s="125" r="Q136"/>
      <c s="125" r="R136"/>
      <c s="125" r="S136"/>
      <c s="125" r="T136"/>
      <c s="125" r="U136"/>
      <c s="125" r="V136"/>
      <c s="125" r="W136"/>
      <c s="125" r="X136"/>
      <c s="125" r="Y136"/>
      <c s="125" r="Z136"/>
      <c s="125" r="AA136"/>
      <c s="125" r="AB136"/>
      <c s="125" r="AC136"/>
      <c s="822" r="AD136"/>
      <c s="460" r="AE136"/>
      <c t="s" s="18" r="AF136">
        <v>500</v>
      </c>
      <c t="str" s="658" r="AG136">
        <f>45&amp;"  -"</f>
        <v>45  -</v>
      </c>
      <c s="672" r="AH136">
        <v>64</v>
      </c>
      <c s="550" r="AI136"/>
      <c t="str" s="42" r="AJ136">
        <f>(AI136/AI$146)+AJ135</f>
        <v>#DIV/0!:divZero</v>
      </c>
      <c t="str" s="619" r="AK136">
        <f>IF(OR((SUM(AI$122:AI137)=0),(SUM(AI136:AI$145)=0)),NA(),AJ136)</f>
        <v>#N/A:explicit</v>
      </c>
      <c s="140" r="AL136"/>
      <c s="908" r="AM136"/>
      <c s="551" r="AN136"/>
      <c s="551" r="AO136"/>
      <c s="551" r="AP136"/>
      <c s="551" r="AQ136"/>
      <c s="551" r="AR136"/>
      <c s="551" r="AS136"/>
      <c s="551" r="AT136"/>
      <c s="551" r="AU136"/>
      <c s="551" r="AV136"/>
      <c s="671" r="AW136"/>
      <c s="51" r="AX136"/>
      <c s="125" r="AY136"/>
      <c s="125" r="AZ136"/>
      <c s="125" r="BA136"/>
      <c s="125" r="BB136"/>
      <c s="125" r="BC136"/>
      <c s="125" r="BD136"/>
      <c s="125" r="BE136"/>
      <c s="341" r="BF136"/>
      <c s="761" r="BG136"/>
      <c s="125" r="BH136"/>
      <c s="125" r="BI136"/>
      <c s="125" r="BJ136"/>
      <c s="125" r="BK136"/>
      <c s="125" r="BL136"/>
      <c s="125" r="BM136"/>
      <c s="125" r="BN136"/>
      <c s="125" r="BO136"/>
      <c s="125" r="BP136"/>
      <c s="125" r="BQ136"/>
      <c s="125" r="BR136"/>
      <c s="125" r="BS136"/>
      <c s="125" r="BT136"/>
      <c s="125" r="BU136"/>
      <c s="125" r="BV136"/>
      <c s="125" r="BW136"/>
      <c s="125" r="BX136"/>
      <c s="125" r="BY136"/>
      <c s="125" r="BZ136"/>
      <c s="125" r="CA136"/>
      <c s="125" r="CB136"/>
      <c s="125" r="CC136"/>
      <c s="125" r="CD136"/>
      <c s="125" r="CE136"/>
      <c s="125" r="CF136"/>
      <c s="125" r="CG136"/>
      <c s="125" r="CH136"/>
      <c s="125" r="CI136"/>
      <c s="125" r="CJ136"/>
      <c s="125" r="CK136"/>
      <c s="125" r="CL136"/>
    </row>
    <row r="137">
      <c s="125" r="A137"/>
      <c s="125" r="B137"/>
      <c s="125" r="C137"/>
      <c s="125" r="D137"/>
      <c s="125" r="E137"/>
      <c s="125" r="F137"/>
      <c s="125" r="G137"/>
      <c s="125" r="H137"/>
      <c s="125" r="I137"/>
      <c s="125" r="J137"/>
      <c s="125" r="K137"/>
      <c s="125" r="L137"/>
      <c s="125" r="M137"/>
      <c s="125" r="N137"/>
      <c s="125" r="O137"/>
      <c s="125" r="P137"/>
      <c s="125" r="Q137"/>
      <c s="125" r="R137"/>
      <c s="125" r="S137"/>
      <c s="125" r="T137"/>
      <c s="125" r="U137"/>
      <c s="125" r="V137"/>
      <c s="125" r="W137"/>
      <c s="125" r="X137"/>
      <c s="125" r="Y137"/>
      <c s="125" r="Z137"/>
      <c s="125" r="AA137"/>
      <c s="125" r="AB137"/>
      <c s="125" r="AC137"/>
      <c s="822" r="AD137"/>
      <c s="511" r="AE137"/>
      <c t="s" s="416" r="AF137">
        <v>505</v>
      </c>
      <c t="str" s="73" r="AG137">
        <f>64&amp;"  -"</f>
        <v>64  -</v>
      </c>
      <c s="860" r="AH137">
        <v>90</v>
      </c>
      <c s="550" r="AI137"/>
      <c t="str" s="42" r="AJ137">
        <f>(AI137/AI$146)+AJ136</f>
        <v>#DIV/0!:divZero</v>
      </c>
      <c t="str" s="619" r="AK137">
        <f>IF(OR((SUM(AI$122:AI138)=0),(SUM(AI137:AI$145)=0)),NA(),AJ137)</f>
        <v>#N/A:explicit</v>
      </c>
      <c s="140" r="AL137"/>
      <c s="908" r="AM137"/>
      <c s="551" r="AN137"/>
      <c s="551" r="AO137"/>
      <c s="551" r="AP137"/>
      <c s="551" r="AQ137"/>
      <c s="551" r="AR137"/>
      <c s="551" r="AS137"/>
      <c s="551" r="AT137"/>
      <c s="551" r="AU137"/>
      <c s="551" r="AV137"/>
      <c s="671" r="AW137"/>
      <c s="51" r="AX137"/>
      <c s="125" r="AY137"/>
      <c s="125" r="AZ137"/>
      <c s="125" r="BA137"/>
      <c s="125" r="BB137"/>
      <c s="125" r="BC137"/>
      <c s="125" r="BD137"/>
      <c s="125" r="BE137"/>
      <c s="341" r="BF137"/>
      <c s="761" r="BG137"/>
      <c s="125" r="BH137"/>
      <c s="125" r="BI137"/>
      <c s="125" r="BJ137"/>
      <c s="125" r="BK137"/>
      <c s="125" r="BL137"/>
      <c s="125" r="BM137"/>
      <c s="125" r="BN137"/>
      <c s="125" r="BO137"/>
      <c s="125" r="BP137"/>
      <c s="125" r="BQ137"/>
      <c s="125" r="BR137"/>
      <c s="125" r="BS137"/>
      <c s="125" r="BT137"/>
      <c s="125" r="BU137"/>
      <c s="125" r="BV137"/>
      <c s="125" r="BW137"/>
      <c s="125" r="BX137"/>
      <c s="125" r="BY137"/>
      <c s="125" r="BZ137"/>
      <c s="125" r="CA137"/>
      <c s="125" r="CB137"/>
      <c s="125" r="CC137"/>
      <c s="125" r="CD137"/>
      <c s="125" r="CE137"/>
      <c s="125" r="CF137"/>
      <c s="125" r="CG137"/>
      <c s="125" r="CH137"/>
      <c s="125" r="CI137"/>
      <c s="125" r="CJ137"/>
      <c s="125" r="CK137"/>
      <c s="125" r="CL137"/>
    </row>
    <row r="138">
      <c s="125" r="A138"/>
      <c s="125" r="B138"/>
      <c s="125" r="C138"/>
      <c s="125" r="D138"/>
      <c s="125" r="E138"/>
      <c s="125" r="F138"/>
      <c s="125" r="G138"/>
      <c s="125" r="H138"/>
      <c s="125" r="I138"/>
      <c s="125" r="J138"/>
      <c s="125" r="K138"/>
      <c s="125" r="L138"/>
      <c s="125" r="M138"/>
      <c s="125" r="N138"/>
      <c s="125" r="O138"/>
      <c s="125" r="P138"/>
      <c s="125" r="Q138"/>
      <c s="125" r="R138"/>
      <c s="125" r="S138"/>
      <c s="125" r="T138"/>
      <c s="125" r="U138"/>
      <c s="125" r="V138"/>
      <c s="125" r="W138"/>
      <c s="125" r="X138"/>
      <c s="125" r="Y138"/>
      <c s="125" r="Z138"/>
      <c s="125" r="AA138"/>
      <c s="125" r="AB138"/>
      <c s="125" r="AC138"/>
      <c s="822" r="AD138"/>
      <c s="409" r="AE138"/>
      <c t="s" s="8" r="AF138">
        <v>507</v>
      </c>
      <c t="str" s="595" r="AG138">
        <f>90&amp;"  -"</f>
        <v>90  -</v>
      </c>
      <c s="411" r="AH138">
        <v>128</v>
      </c>
      <c s="550" r="AI138"/>
      <c t="str" s="42" r="AJ138">
        <f>(AI138/AI$146)+AJ137</f>
        <v>#DIV/0!:divZero</v>
      </c>
      <c t="str" s="619" r="AK138">
        <f>IF(OR((SUM(AI$122:AI139)=0),(SUM(AI138:AI$145)=0)),NA(),AJ138)</f>
        <v>#N/A:explicit</v>
      </c>
      <c s="140" r="AL138"/>
      <c s="908" r="AM138"/>
      <c s="551" r="AN138"/>
      <c s="551" r="AO138"/>
      <c s="551" r="AP138"/>
      <c s="551" r="AQ138"/>
      <c s="551" r="AR138"/>
      <c s="551" r="AS138"/>
      <c s="551" r="AT138"/>
      <c s="551" r="AU138"/>
      <c s="551" r="AV138"/>
      <c s="671" r="AW138"/>
      <c s="51" r="AX138"/>
      <c s="125" r="AY138"/>
      <c s="125" r="AZ138"/>
      <c s="125" r="BA138"/>
      <c s="125" r="BB138"/>
      <c s="125" r="BC138"/>
      <c s="125" r="BD138"/>
      <c s="125" r="BE138"/>
      <c s="341" r="BF138"/>
      <c s="761" r="BG138"/>
      <c s="125" r="BH138"/>
      <c s="125" r="BI138"/>
      <c s="125" r="BJ138"/>
      <c s="125" r="BK138"/>
      <c s="125" r="BL138"/>
      <c s="125" r="BM138"/>
      <c s="125" r="BN138"/>
      <c s="125" r="BO138"/>
      <c s="125" r="BP138"/>
      <c s="125" r="BQ138"/>
      <c s="125" r="BR138"/>
      <c s="125" r="BS138"/>
      <c s="125" r="BT138"/>
      <c s="125" r="BU138"/>
      <c s="125" r="BV138"/>
      <c s="125" r="BW138"/>
      <c s="125" r="BX138"/>
      <c s="125" r="BY138"/>
      <c s="125" r="BZ138"/>
      <c s="125" r="CA138"/>
      <c s="125" r="CB138"/>
      <c s="125" r="CC138"/>
      <c s="125" r="CD138"/>
      <c s="125" r="CE138"/>
      <c s="125" r="CF138"/>
      <c s="125" r="CG138"/>
      <c s="125" r="CH138"/>
      <c s="125" r="CI138"/>
      <c s="125" r="CJ138"/>
      <c s="125" r="CK138"/>
      <c s="125" r="CL138"/>
    </row>
    <row r="139">
      <c s="125" r="A139"/>
      <c s="125" r="B139"/>
      <c s="125" r="C139"/>
      <c s="125" r="D139"/>
      <c s="125" r="E139"/>
      <c s="125" r="F139"/>
      <c s="125" r="G139"/>
      <c s="125" r="H139"/>
      <c s="125" r="I139"/>
      <c s="125" r="J139"/>
      <c s="125" r="K139"/>
      <c s="125" r="L139"/>
      <c s="125" r="M139"/>
      <c s="125" r="N139"/>
      <c s="125" r="O139"/>
      <c s="125" r="P139"/>
      <c s="125" r="Q139"/>
      <c s="125" r="R139"/>
      <c s="125" r="S139"/>
      <c s="125" r="T139"/>
      <c s="125" r="U139"/>
      <c s="125" r="V139"/>
      <c s="125" r="W139"/>
      <c s="125" r="X139"/>
      <c s="125" r="Y139"/>
      <c s="125" r="Z139"/>
      <c s="125" r="AA139"/>
      <c s="125" r="AB139"/>
      <c s="125" r="AC139"/>
      <c s="822" r="AD139"/>
      <c s="409" r="AE139"/>
      <c t="s" s="8" r="AF139">
        <v>510</v>
      </c>
      <c t="str" s="595" r="AG139">
        <f>128&amp;"  -"</f>
        <v>128  -</v>
      </c>
      <c s="411" r="AH139">
        <v>180</v>
      </c>
      <c s="550" r="AI139"/>
      <c t="str" s="42" r="AJ139">
        <f>(AI139/AI$146)+AJ138</f>
        <v>#DIV/0!:divZero</v>
      </c>
      <c t="str" s="619" r="AK139">
        <f>IF(OR((SUM(AI$122:AI140)=0),(SUM(AI139:AI$145)=0)),NA(),AJ139)</f>
        <v>#N/A:explicit</v>
      </c>
      <c s="140" r="AL139"/>
      <c s="908" r="AM139"/>
      <c s="551" r="AN139"/>
      <c s="551" r="AO139"/>
      <c s="551" r="AP139"/>
      <c s="551" r="AQ139"/>
      <c s="551" r="AR139"/>
      <c s="551" r="AS139"/>
      <c s="551" r="AT139"/>
      <c s="551" r="AU139"/>
      <c s="551" r="AV139"/>
      <c s="671" r="AW139"/>
      <c s="51" r="AX139"/>
      <c s="125" r="AY139"/>
      <c s="125" r="AZ139"/>
      <c s="125" r="BA139"/>
      <c s="125" r="BB139"/>
      <c s="125" r="BC139"/>
      <c s="125" r="BD139"/>
      <c s="125" r="BE139"/>
      <c s="341" r="BF139"/>
      <c s="761" r="BG139"/>
      <c s="125" r="BH139"/>
      <c s="125" r="BI139"/>
      <c s="125" r="BJ139"/>
      <c s="125" r="BK139"/>
      <c s="125" r="BL139"/>
      <c s="125" r="BM139"/>
      <c s="125" r="BN139"/>
      <c s="125" r="BO139"/>
      <c s="125" r="BP139"/>
      <c s="125" r="BQ139"/>
      <c s="125" r="BR139"/>
      <c s="125" r="BS139"/>
      <c s="125" r="BT139"/>
      <c s="125" r="BU139"/>
      <c s="125" r="BV139"/>
      <c s="125" r="BW139"/>
      <c s="125" r="BX139"/>
      <c s="125" r="BY139"/>
      <c s="125" r="BZ139"/>
      <c s="125" r="CA139"/>
      <c s="125" r="CB139"/>
      <c s="125" r="CC139"/>
      <c s="125" r="CD139"/>
      <c s="125" r="CE139"/>
      <c s="125" r="CF139"/>
      <c s="125" r="CG139"/>
      <c s="125" r="CH139"/>
      <c s="125" r="CI139"/>
      <c s="125" r="CJ139"/>
      <c s="125" r="CK139"/>
      <c s="125" r="CL139"/>
    </row>
    <row r="140">
      <c s="125" r="A140"/>
      <c s="125" r="B140"/>
      <c s="125" r="C140"/>
      <c s="125" r="D140"/>
      <c s="125" r="E140"/>
      <c s="125" r="F140"/>
      <c s="125" r="G140"/>
      <c s="125" r="H140"/>
      <c s="125" r="I140"/>
      <c s="125" r="J140"/>
      <c s="125" r="K140"/>
      <c s="125" r="L140"/>
      <c s="125" r="M140"/>
      <c s="125" r="N140"/>
      <c s="125" r="O140"/>
      <c s="125" r="P140"/>
      <c s="125" r="Q140"/>
      <c s="125" r="R140"/>
      <c s="125" r="S140"/>
      <c s="125" r="T140"/>
      <c s="125" r="U140"/>
      <c s="125" r="V140"/>
      <c s="125" r="W140"/>
      <c s="125" r="X140"/>
      <c s="125" r="Y140"/>
      <c s="125" r="Z140"/>
      <c s="125" r="AA140"/>
      <c s="125" r="AB140"/>
      <c s="125" r="AC140"/>
      <c s="822" r="AD140"/>
      <c s="460" r="AE140"/>
      <c t="s" s="18" r="AF140">
        <v>513</v>
      </c>
      <c t="str" s="658" r="AG140">
        <f>180&amp;"  -"</f>
        <v>180  -</v>
      </c>
      <c s="672" r="AH140">
        <v>256</v>
      </c>
      <c s="550" r="AI140"/>
      <c t="str" s="42" r="AJ140">
        <f>(AI140/AI$146)+AJ139</f>
        <v>#DIV/0!:divZero</v>
      </c>
      <c t="str" s="619" r="AK140">
        <f>IF(OR((SUM(AI$122:AI141)=0),(SUM(AI140:AI$145)=0)),NA(),AJ140)</f>
        <v>#N/A:explicit</v>
      </c>
      <c s="140" r="AL140"/>
      <c s="908" r="AM140"/>
      <c s="551" r="AN140"/>
      <c s="551" r="AO140"/>
      <c s="551" r="AP140"/>
      <c s="551" r="AQ140"/>
      <c s="551" r="AR140"/>
      <c s="551" r="AS140"/>
      <c s="551" r="AT140"/>
      <c s="551" r="AU140"/>
      <c s="551" r="AV140"/>
      <c s="671" r="AW140"/>
      <c s="51" r="AX140"/>
      <c s="125" r="AY140"/>
      <c s="125" r="AZ140"/>
      <c s="125" r="BA140"/>
      <c s="125" r="BB140"/>
      <c s="125" r="BC140"/>
      <c s="125" r="BD140"/>
      <c s="125" r="BE140"/>
      <c s="341" r="BF140"/>
      <c s="761" r="BG140"/>
      <c s="125" r="BH140"/>
      <c s="125" r="BI140"/>
      <c s="125" r="BJ140"/>
      <c s="125" r="BK140"/>
      <c s="125" r="BL140"/>
      <c s="125" r="BM140"/>
      <c s="125" r="BN140"/>
      <c s="125" r="BO140"/>
      <c s="125" r="BP140"/>
      <c s="125" r="BQ140"/>
      <c s="125" r="BR140"/>
      <c s="125" r="BS140"/>
      <c s="125" r="BT140"/>
      <c s="125" r="BU140"/>
      <c s="125" r="BV140"/>
      <c s="125" r="BW140"/>
      <c s="125" r="BX140"/>
      <c s="125" r="BY140"/>
      <c s="125" r="BZ140"/>
      <c s="125" r="CA140"/>
      <c s="125" r="CB140"/>
      <c s="125" r="CC140"/>
      <c s="125" r="CD140"/>
      <c s="125" r="CE140"/>
      <c s="125" r="CF140"/>
      <c s="125" r="CG140"/>
      <c s="125" r="CH140"/>
      <c s="125" r="CI140"/>
      <c s="125" r="CJ140"/>
      <c s="125" r="CK140"/>
      <c s="125" r="CL140"/>
    </row>
    <row r="141">
      <c s="125" r="A141"/>
      <c s="125" r="B141"/>
      <c s="125" r="C141"/>
      <c s="125" r="D141"/>
      <c s="125" r="E141"/>
      <c s="125" r="F141"/>
      <c s="125" r="G141"/>
      <c s="125" r="H141"/>
      <c s="125" r="I141"/>
      <c s="125" r="J141"/>
      <c s="125" r="K141"/>
      <c s="125" r="L141"/>
      <c s="125" r="M141"/>
      <c s="125" r="N141"/>
      <c s="125" r="O141"/>
      <c s="125" r="P141"/>
      <c s="125" r="Q141"/>
      <c s="125" r="R141"/>
      <c s="125" r="S141"/>
      <c s="125" r="T141"/>
      <c s="125" r="U141"/>
      <c s="125" r="V141"/>
      <c s="125" r="W141"/>
      <c s="125" r="X141"/>
      <c s="125" r="Y141"/>
      <c s="125" r="Z141"/>
      <c s="125" r="AA141"/>
      <c s="125" r="AB141"/>
      <c s="125" r="AC141"/>
      <c s="822" r="AD141"/>
      <c s="511" r="AE141"/>
      <c t="s" s="416" r="AF141">
        <v>516</v>
      </c>
      <c t="str" s="73" r="AG141">
        <f>256&amp;"  -"</f>
        <v>256  -</v>
      </c>
      <c s="860" r="AH141">
        <v>362</v>
      </c>
      <c s="550" r="AI141"/>
      <c t="str" s="42" r="AJ141">
        <f>(AI141/AI$146)+AJ140</f>
        <v>#DIV/0!:divZero</v>
      </c>
      <c t="str" s="619" r="AK141">
        <f>IF(OR((SUM(AI$122:AI142)=0),(SUM(AI141:AI$145)=0)),NA(),AJ141)</f>
        <v>#N/A:explicit</v>
      </c>
      <c s="140" r="AL141"/>
      <c s="908" r="AM141"/>
      <c s="551" r="AN141"/>
      <c s="551" r="AO141"/>
      <c s="551" r="AP141"/>
      <c s="551" r="AQ141"/>
      <c s="551" r="AR141"/>
      <c s="551" r="AS141"/>
      <c s="551" r="AT141"/>
      <c s="551" r="AU141"/>
      <c s="551" r="AV141"/>
      <c s="671" r="AW141"/>
      <c s="51" r="AX141"/>
      <c s="125" r="AY141"/>
      <c s="125" r="AZ141"/>
      <c s="125" r="BA141"/>
      <c s="125" r="BB141"/>
      <c s="125" r="BC141"/>
      <c s="125" r="BD141"/>
      <c s="125" r="BE141"/>
      <c s="341" r="BF141"/>
      <c s="761" r="BG141"/>
      <c s="125" r="BH141"/>
      <c s="125" r="BI141"/>
      <c s="125" r="BJ141"/>
      <c s="125" r="BK141"/>
      <c s="125" r="BL141"/>
      <c s="125" r="BM141"/>
      <c s="125" r="BN141"/>
      <c s="125" r="BO141"/>
      <c s="125" r="BP141"/>
      <c s="125" r="BQ141"/>
      <c s="125" r="BR141"/>
      <c s="125" r="BS141"/>
      <c s="125" r="BT141"/>
      <c s="125" r="BU141"/>
      <c s="125" r="BV141"/>
      <c s="125" r="BW141"/>
      <c s="125" r="BX141"/>
      <c s="125" r="BY141"/>
      <c s="125" r="BZ141"/>
      <c s="125" r="CA141"/>
      <c s="125" r="CB141"/>
      <c s="125" r="CC141"/>
      <c s="125" r="CD141"/>
      <c s="125" r="CE141"/>
      <c s="125" r="CF141"/>
      <c s="125" r="CG141"/>
      <c s="125" r="CH141"/>
      <c s="125" r="CI141"/>
      <c s="125" r="CJ141"/>
      <c s="125" r="CK141"/>
      <c s="125" r="CL141"/>
    </row>
    <row r="142">
      <c s="125" r="A142"/>
      <c s="125" r="B142"/>
      <c s="125" r="C142"/>
      <c s="125" r="D142"/>
      <c s="125" r="E142"/>
      <c s="125" r="F142"/>
      <c s="125" r="G142"/>
      <c s="125" r="H142"/>
      <c s="125" r="I142"/>
      <c s="125" r="J142"/>
      <c s="125" r="K142"/>
      <c s="125" r="L142"/>
      <c s="125" r="M142"/>
      <c s="125" r="N142"/>
      <c s="125" r="O142"/>
      <c s="125" r="P142"/>
      <c s="125" r="Q142"/>
      <c s="125" r="R142"/>
      <c s="125" r="S142"/>
      <c s="125" r="T142"/>
      <c s="125" r="U142"/>
      <c s="125" r="V142"/>
      <c s="125" r="W142"/>
      <c s="125" r="X142"/>
      <c s="125" r="Y142"/>
      <c s="125" r="Z142"/>
      <c s="125" r="AA142"/>
      <c s="125" r="AB142"/>
      <c s="125" r="AC142"/>
      <c s="822" r="AD142"/>
      <c s="409" r="AE142"/>
      <c t="s" s="8" r="AF142">
        <v>516</v>
      </c>
      <c t="str" s="595" r="AG142">
        <f>362&amp;"  -"</f>
        <v>362  -</v>
      </c>
      <c s="411" r="AH142">
        <v>512</v>
      </c>
      <c s="550" r="AI142"/>
      <c t="str" s="42" r="AJ142">
        <f>(AI142/AI$146)+AJ141</f>
        <v>#DIV/0!:divZero</v>
      </c>
      <c t="str" s="619" r="AK142">
        <f>IF(OR((SUM(AI$122:AI143)=0),(SUM(AI142:AI$145)=0)),NA(),AJ142)</f>
        <v>#N/A:explicit</v>
      </c>
      <c s="140" r="AL142"/>
      <c s="908" r="AM142"/>
      <c s="551" r="AN142"/>
      <c s="551" r="AO142"/>
      <c s="551" r="AP142"/>
      <c s="551" r="AQ142"/>
      <c s="551" r="AR142"/>
      <c s="551" r="AS142"/>
      <c s="551" r="AT142"/>
      <c s="551" r="AU142"/>
      <c s="551" r="AV142"/>
      <c s="671" r="AW142"/>
      <c s="51" r="AX142"/>
      <c s="125" r="AY142"/>
      <c s="125" r="AZ142"/>
      <c s="125" r="BA142"/>
      <c s="125" r="BB142"/>
      <c s="125" r="BC142"/>
      <c s="125" r="BD142"/>
      <c s="125" r="BE142"/>
      <c s="341" r="BF142"/>
      <c s="761" r="BG142"/>
      <c s="125" r="BH142"/>
      <c s="125" r="BI142"/>
      <c s="125" r="BJ142"/>
      <c s="125" r="BK142"/>
      <c s="125" r="BL142"/>
      <c s="125" r="BM142"/>
      <c s="125" r="BN142"/>
      <c s="125" r="BO142"/>
      <c s="125" r="BP142"/>
      <c s="125" r="BQ142"/>
      <c s="125" r="BR142"/>
      <c s="125" r="BS142"/>
      <c s="125" r="BT142"/>
      <c s="125" r="BU142"/>
      <c s="125" r="BV142"/>
      <c s="125" r="BW142"/>
      <c s="125" r="BX142"/>
      <c s="125" r="BY142"/>
      <c s="125" r="BZ142"/>
      <c s="125" r="CA142"/>
      <c s="125" r="CB142"/>
      <c s="125" r="CC142"/>
      <c s="125" r="CD142"/>
      <c s="125" r="CE142"/>
      <c s="125" r="CF142"/>
      <c s="125" r="CG142"/>
      <c s="125" r="CH142"/>
      <c s="125" r="CI142"/>
      <c s="125" r="CJ142"/>
      <c s="125" r="CK142"/>
      <c s="125" r="CL142"/>
    </row>
    <row r="143">
      <c s="125" r="A143"/>
      <c s="125" r="B143"/>
      <c s="125" r="C143"/>
      <c s="125" r="D143"/>
      <c s="125" r="E143"/>
      <c s="125" r="F143"/>
      <c s="125" r="G143"/>
      <c s="125" r="H143"/>
      <c s="125" r="I143"/>
      <c s="125" r="J143"/>
      <c s="125" r="K143"/>
      <c s="125" r="L143"/>
      <c s="125" r="M143"/>
      <c s="125" r="N143"/>
      <c s="125" r="O143"/>
      <c s="125" r="P143"/>
      <c s="125" r="Q143"/>
      <c s="125" r="R143"/>
      <c s="125" r="S143"/>
      <c s="125" r="T143"/>
      <c s="125" r="U143"/>
      <c s="125" r="V143"/>
      <c s="125" r="W143"/>
      <c s="125" r="X143"/>
      <c s="125" r="Y143"/>
      <c s="125" r="Z143"/>
      <c s="125" r="AA143"/>
      <c s="125" r="AB143"/>
      <c s="125" r="AC143"/>
      <c s="822" r="AD143"/>
      <c s="409" r="AE143"/>
      <c t="s" s="8" r="AF143">
        <v>518</v>
      </c>
      <c t="str" s="595" r="AG143">
        <f>512&amp;"  -"</f>
        <v>512  -</v>
      </c>
      <c s="411" r="AH143">
        <v>1024</v>
      </c>
      <c s="550" r="AI143"/>
      <c t="str" s="42" r="AJ143">
        <f>(AI143/AI$146)+AJ142</f>
        <v>#DIV/0!:divZero</v>
      </c>
      <c t="str" s="619" r="AK143">
        <f>IF(OR((SUM(AI$122:AI144)=0),(SUM(AI143:AI$145)=0)),NA(),AJ143)</f>
        <v>#N/A:explicit</v>
      </c>
      <c s="140" r="AL143">
        <v>0.01</v>
      </c>
      <c s="908" r="AM143"/>
      <c s="551" r="AN143"/>
      <c s="551" r="AO143"/>
      <c s="551" r="AP143"/>
      <c s="551" r="AQ143"/>
      <c s="551" r="AR143"/>
      <c s="551" r="AS143"/>
      <c s="551" r="AT143"/>
      <c s="551" r="AU143"/>
      <c s="551" r="AV143"/>
      <c s="671" r="AW143"/>
      <c s="51" r="AX143"/>
      <c s="125" r="AY143"/>
      <c s="125" r="AZ143"/>
      <c s="125" r="BA143"/>
      <c s="125" r="BB143"/>
      <c s="125" r="BC143"/>
      <c s="125" r="BD143"/>
      <c s="125" r="BE143"/>
      <c s="341" r="BF143"/>
      <c s="761" r="BG143"/>
      <c s="125" r="BH143"/>
      <c s="125" r="BI143"/>
      <c s="125" r="BJ143"/>
      <c s="125" r="BK143"/>
      <c s="125" r="BL143"/>
      <c s="125" r="BM143"/>
      <c s="125" r="BN143"/>
      <c s="125" r="BO143"/>
      <c s="125" r="BP143"/>
      <c s="125" r="BQ143"/>
      <c s="125" r="BR143"/>
      <c s="125" r="BS143"/>
      <c s="125" r="BT143"/>
      <c s="125" r="BU143"/>
      <c s="125" r="BV143"/>
      <c s="125" r="BW143"/>
      <c s="125" r="BX143"/>
      <c s="125" r="BY143"/>
      <c s="125" r="BZ143"/>
      <c s="125" r="CA143"/>
      <c s="125" r="CB143"/>
      <c s="125" r="CC143"/>
      <c s="125" r="CD143"/>
      <c s="125" r="CE143"/>
      <c s="125" r="CF143"/>
      <c s="125" r="CG143"/>
      <c s="125" r="CH143"/>
      <c s="125" r="CI143"/>
      <c s="125" r="CJ143"/>
      <c s="125" r="CK143"/>
      <c s="125" r="CL143"/>
    </row>
    <row r="144">
      <c s="125" r="A144"/>
      <c s="125" r="B144"/>
      <c s="125" r="C144"/>
      <c s="125" r="D144"/>
      <c s="125" r="E144"/>
      <c s="125" r="F144"/>
      <c s="125" r="G144"/>
      <c s="125" r="H144"/>
      <c s="125" r="I144"/>
      <c s="125" r="J144"/>
      <c s="125" r="K144"/>
      <c s="125" r="L144"/>
      <c s="125" r="M144"/>
      <c s="125" r="N144"/>
      <c s="125" r="O144"/>
      <c s="125" r="P144"/>
      <c s="125" r="Q144"/>
      <c s="125" r="R144"/>
      <c s="125" r="S144"/>
      <c s="125" r="T144"/>
      <c s="125" r="U144"/>
      <c s="125" r="V144"/>
      <c s="125" r="W144"/>
      <c s="125" r="X144"/>
      <c s="125" r="Y144"/>
      <c s="125" r="Z144"/>
      <c s="125" r="AA144"/>
      <c s="125" r="AB144"/>
      <c s="125" r="AC144"/>
      <c s="822" r="AD144"/>
      <c s="409" r="AE144"/>
      <c t="s" s="8" r="AF144">
        <v>520</v>
      </c>
      <c t="str" s="595" r="AG144">
        <f>1024&amp;"  -"</f>
        <v>1024  -</v>
      </c>
      <c s="411" r="AH144">
        <v>2048</v>
      </c>
      <c s="550" r="AI144"/>
      <c t="str" s="42" r="AJ144">
        <f>(AI144/AI$146)+AJ143</f>
        <v>#DIV/0!:divZero</v>
      </c>
      <c t="str" s="619" r="AK144">
        <f>IF(OR((SUM(AI$122:AI145)=0),(SUM(AI144:AI$145)=0)),NA(),AJ144)</f>
        <v>#N/A:explicit</v>
      </c>
      <c t="str" s="140" r="AL144">
        <f>AO150</f>
        <v>---</v>
      </c>
      <c s="908" r="AM144"/>
      <c s="551" r="AN144"/>
      <c s="551" r="AO144"/>
      <c s="551" r="AP144"/>
      <c s="551" r="AQ144"/>
      <c s="551" r="AR144"/>
      <c s="551" r="AS144"/>
      <c s="551" r="AT144"/>
      <c s="551" r="AU144"/>
      <c s="551" r="AV144"/>
      <c s="671" r="AW144"/>
      <c s="51" r="AX144"/>
      <c s="125" r="AY144"/>
      <c s="125" r="AZ144"/>
      <c s="125" r="BA144"/>
      <c s="125" r="BB144"/>
      <c s="125" r="BC144"/>
      <c s="125" r="BD144"/>
      <c s="125" r="BE144"/>
      <c s="341" r="BF144"/>
      <c s="761" r="BG144"/>
      <c s="125" r="BH144"/>
      <c s="125" r="BI144"/>
      <c s="125" r="BJ144"/>
      <c s="125" r="BK144"/>
      <c s="125" r="BL144"/>
      <c s="125" r="BM144"/>
      <c s="125" r="BN144"/>
      <c s="125" r="BO144"/>
      <c s="125" r="BP144"/>
      <c s="125" r="BQ144"/>
      <c s="125" r="BR144"/>
      <c s="125" r="BS144"/>
      <c s="125" r="BT144"/>
      <c s="125" r="BU144"/>
      <c s="125" r="BV144"/>
      <c s="125" r="BW144"/>
      <c s="125" r="BX144"/>
      <c s="125" r="BY144"/>
      <c s="125" r="BZ144"/>
      <c s="125" r="CA144"/>
      <c s="125" r="CB144"/>
      <c s="125" r="CC144"/>
      <c s="125" r="CD144"/>
      <c s="125" r="CE144"/>
      <c s="125" r="CF144"/>
      <c s="125" r="CG144"/>
      <c s="125" r="CH144"/>
      <c s="125" r="CI144"/>
      <c s="125" r="CJ144"/>
      <c s="125" r="CK144"/>
      <c s="125" r="CL144"/>
    </row>
    <row customHeight="1" r="145" ht="13.5">
      <c s="125" r="A145"/>
      <c s="125" r="B145"/>
      <c s="125" r="C145"/>
      <c s="125" r="D145"/>
      <c s="125" r="E145"/>
      <c s="125" r="F145"/>
      <c s="125" r="G145"/>
      <c s="125" r="H145"/>
      <c s="125" r="I145"/>
      <c s="125" r="J145"/>
      <c s="125" r="K145"/>
      <c s="125" r="L145"/>
      <c s="125" r="M145"/>
      <c s="125" r="N145"/>
      <c s="125" r="O145"/>
      <c s="125" r="P145"/>
      <c s="125" r="Q145"/>
      <c s="125" r="R145"/>
      <c s="125" r="S145"/>
      <c s="125" r="T145"/>
      <c s="125" r="U145"/>
      <c s="125" r="V145"/>
      <c s="125" r="W145"/>
      <c s="125" r="X145"/>
      <c s="125" r="Y145"/>
      <c s="125" r="Z145"/>
      <c s="125" r="AA145"/>
      <c s="125" r="AB145"/>
      <c s="125" r="AC145"/>
      <c s="822" r="AD145"/>
      <c s="759" r="AE145"/>
      <c t="s" s="538" r="AF145">
        <v>522</v>
      </c>
      <c t="str" s="820" r="AG145">
        <f>2048&amp;"  -"</f>
        <v>2048  -</v>
      </c>
      <c s="565" r="AH145">
        <v>4096</v>
      </c>
      <c s="550" r="AI145"/>
      <c t="str" s="42" r="AJ145">
        <f>(AI145/AI$146)+AJ144</f>
        <v>#DIV/0!:divZero</v>
      </c>
      <c t="str" s="619" r="AK145">
        <f>IF(OR((SUM(AI$122:AI146)=0),(SUM(AI145:AI$145)=0)),NA(),AJ145)</f>
        <v>#N/A:explicit</v>
      </c>
      <c t="str" s="140" r="AL145">
        <f>AO150</f>
        <v>---</v>
      </c>
      <c s="582" r="AM145"/>
      <c s="8" r="AN145"/>
      <c s="52" r="AO145"/>
      <c s="8" r="AP145"/>
      <c s="551" r="AQ145"/>
      <c s="472" r="AR145"/>
      <c s="551" r="AS145"/>
      <c s="52" r="AT145"/>
      <c s="551" r="AU145"/>
      <c s="551" r="AV145"/>
      <c s="671" r="AW145"/>
      <c s="51" r="AX145"/>
      <c s="125" r="AY145"/>
      <c s="125" r="AZ145"/>
      <c s="125" r="BA145"/>
      <c s="125" r="BB145"/>
      <c s="125" r="BC145"/>
      <c s="125" r="BD145"/>
      <c s="125" r="BE145"/>
      <c s="341" r="BF145"/>
      <c s="761" r="BG145"/>
      <c s="125" r="BH145"/>
      <c s="125" r="BI145"/>
      <c s="125" r="BJ145"/>
      <c s="125" r="BK145"/>
      <c s="125" r="BL145"/>
      <c s="125" r="BM145"/>
      <c s="125" r="BN145"/>
      <c s="125" r="BO145"/>
      <c s="125" r="BP145"/>
      <c s="125" r="BQ145"/>
      <c s="125" r="BR145"/>
      <c s="125" r="BS145"/>
      <c s="125" r="BT145"/>
      <c s="125" r="BU145"/>
      <c s="125" r="BV145"/>
      <c s="125" r="BW145"/>
      <c s="125" r="BX145"/>
      <c s="125" r="BY145"/>
      <c s="125" r="BZ145"/>
      <c s="125" r="CA145"/>
      <c s="125" r="CB145"/>
      <c s="125" r="CC145"/>
      <c s="125" r="CD145"/>
      <c s="125" r="CE145"/>
      <c s="125" r="CF145"/>
      <c s="125" r="CG145"/>
      <c s="125" r="CH145"/>
      <c s="125" r="CI145"/>
      <c s="125" r="CJ145"/>
      <c s="125" r="CK145"/>
      <c s="125" r="CL145"/>
    </row>
    <row customHeight="1" r="146" ht="15.0">
      <c s="125" r="A146"/>
      <c s="125" r="B146"/>
      <c s="125" r="C146"/>
      <c s="125" r="D146"/>
      <c s="125" r="E146"/>
      <c s="125" r="F146"/>
      <c s="125" r="G146"/>
      <c s="125" r="H146"/>
      <c s="125" r="I146"/>
      <c s="125" r="J146"/>
      <c s="125" r="K146"/>
      <c s="125" r="L146"/>
      <c s="125" r="M146"/>
      <c s="125" r="N146"/>
      <c s="125" r="O146"/>
      <c s="125" r="P146"/>
      <c s="125" r="Q146"/>
      <c s="125" r="R146"/>
      <c s="125" r="S146"/>
      <c s="125" r="T146"/>
      <c s="125" r="U146"/>
      <c s="125" r="V146"/>
      <c s="125" r="W146"/>
      <c s="125" r="X146"/>
      <c s="125" r="Y146"/>
      <c s="125" r="Z146"/>
      <c s="125" r="AA146"/>
      <c s="125" r="AB146"/>
      <c s="125" r="AC146"/>
      <c s="822" r="AD146"/>
      <c s="178" r="AE146"/>
      <c s="640" r="AF146"/>
      <c s="213" r="AG146"/>
      <c t="s" s="65" r="AH146">
        <v>532</v>
      </c>
      <c s="897" r="AI146">
        <f>SUM(AI122:AI145)</f>
        <v>0</v>
      </c>
      <c t="s" s="42" r="AJ146">
        <v>503</v>
      </c>
      <c s="619" r="AK146"/>
      <c t="str" s="140" r="AL146">
        <f>IF((AI146&gt;0),0.5,NA())</f>
        <v>#N/A:explicit</v>
      </c>
      <c s="585" r="AM146"/>
      <c s="271" r="AN146"/>
      <c s="271" r="AO146"/>
      <c s="271" r="AP146"/>
      <c s="271" r="AQ146"/>
      <c s="271" r="AR146"/>
      <c s="271" r="AS146"/>
      <c s="271" r="AT146"/>
      <c s="271" r="AU146"/>
      <c s="271" r="AV146"/>
      <c s="354" r="AW146"/>
      <c s="51" r="AX146"/>
      <c s="125" r="AY146"/>
      <c s="125" r="AZ146"/>
      <c s="125" r="BA146"/>
      <c s="125" r="BB146"/>
      <c s="125" r="BC146"/>
      <c s="125" r="BD146"/>
      <c s="125" r="BE146"/>
      <c s="341" r="BF146"/>
      <c s="761" r="BG146"/>
      <c s="125" r="BH146"/>
      <c s="125" r="BI146"/>
      <c s="125" r="BJ146"/>
      <c s="125" r="BK146"/>
      <c s="125" r="BL146"/>
      <c s="125" r="BM146"/>
      <c s="125" r="BN146"/>
      <c s="125" r="BO146"/>
      <c s="125" r="BP146"/>
      <c s="125" r="BQ146"/>
      <c s="125" r="BR146"/>
      <c s="125" r="BS146"/>
      <c s="125" r="BT146"/>
      <c s="125" r="BU146"/>
      <c s="125" r="BV146"/>
      <c s="125" r="BW146"/>
      <c s="125" r="BX146"/>
      <c s="125" r="BY146"/>
      <c s="125" r="BZ146"/>
      <c s="125" r="CA146"/>
      <c s="125" r="CB146"/>
      <c s="125" r="CC146"/>
      <c s="125" r="CD146"/>
      <c s="125" r="CE146"/>
      <c s="125" r="CF146"/>
      <c s="125" r="CG146"/>
      <c s="125" r="CH146"/>
      <c s="125" r="CI146"/>
      <c s="125" r="CJ146"/>
      <c s="125" r="CK146"/>
      <c s="125" r="CL146"/>
    </row>
    <row r="147">
      <c s="125" r="A147"/>
      <c s="125" r="B147"/>
      <c s="125" r="C147"/>
      <c s="125" r="D147"/>
      <c s="125" r="E147"/>
      <c s="125" r="F147"/>
      <c s="125" r="G147"/>
      <c s="125" r="H147"/>
      <c s="125" r="I147"/>
      <c s="125" r="J147"/>
      <c s="125" r="K147"/>
      <c s="125" r="L147"/>
      <c s="125" r="M147"/>
      <c s="125" r="N147"/>
      <c s="125" r="O147"/>
      <c s="125" r="P147"/>
      <c s="125" r="Q147"/>
      <c s="125" r="R147"/>
      <c s="125" r="S147"/>
      <c s="125" r="T147"/>
      <c s="125" r="U147"/>
      <c s="125" r="V147"/>
      <c s="125" r="W147"/>
      <c s="125" r="X147"/>
      <c s="125" r="Y147"/>
      <c s="125" r="Z147"/>
      <c s="125" r="AA147"/>
      <c s="125" r="AB147"/>
      <c s="125" r="AC147"/>
      <c s="822" r="AD147"/>
      <c s="908" r="AE147"/>
      <c s="551" r="AF147"/>
      <c s="551" r="AG147"/>
      <c s="551" r="AH147"/>
      <c s="397" r="AI147"/>
      <c s="259" r="AJ147">
        <f>IF((AI146=0),0,IF((AJ122&gt;=0.16),0.062,IF((SUMIF(AJ122:AJ145,"=.16")&gt;=1),INDEX(AH122:AH145,MATCH(0.16,AJ122:AJ145,0)),(2^(LOG((INDEX(AH122:AH145,MATCH(0.16,AJ122:AJ145,1))),2)+(((LOG((INDEX(AH122:AH145,(MATCH(0.16,AJ122:AJ145,1)+1))),2)-LOG((INDEX(AH122:AH145,MATCH(0.16,AJ122:AJ145,1))),2))*(0.16-INDEX(AJ122:AJ145,MATCH(0.16,AJ122:AJ145,1))))/(INDEX(AJ122:AJ145,(MATCH(0.16,AJ122:AJ145,1)+1))-INDEX(AJ122:AJ145,MATCH(0.16,AJ122:AJ145,1)))))))))</f>
        <v>0</v>
      </c>
      <c s="832" r="AK147"/>
      <c t="str" s="140" r="AL147">
        <f>AL146</f>
        <v>#N/A:explicit</v>
      </c>
      <c s="908" r="AM147"/>
      <c t="s" s="680" r="AN147">
        <v>525</v>
      </c>
      <c s="680" r="AO147"/>
      <c s="551" r="AP147"/>
      <c t="s" s="680" r="AQ147">
        <v>535</v>
      </c>
      <c s="680" r="AR147"/>
      <c s="551" r="AS147"/>
      <c s="414" r="AT147"/>
      <c t="s" s="414" r="AU147">
        <v>536</v>
      </c>
      <c s="414" r="AV147"/>
      <c s="671" r="AW147"/>
      <c s="51" r="AX147"/>
      <c s="125" r="AY147"/>
      <c s="125" r="AZ147"/>
      <c s="125" r="BA147"/>
      <c s="125" r="BB147"/>
      <c s="125" r="BC147"/>
      <c s="125" r="BD147"/>
      <c s="125" r="BE147"/>
      <c s="341" r="BF147"/>
      <c s="761" r="BG147"/>
      <c s="125" r="BH147"/>
      <c s="125" r="BI147"/>
      <c s="125" r="BJ147"/>
      <c s="125" r="BK147"/>
      <c s="125" r="BL147"/>
      <c s="125" r="BM147"/>
      <c s="125" r="BN147"/>
      <c s="125" r="BO147"/>
      <c s="125" r="BP147"/>
      <c s="125" r="BQ147"/>
      <c s="125" r="BR147"/>
      <c s="125" r="BS147"/>
      <c s="125" r="BT147"/>
      <c s="125" r="BU147"/>
      <c s="125" r="BV147"/>
      <c s="125" r="BW147"/>
      <c s="125" r="BX147"/>
      <c s="125" r="BY147"/>
      <c s="125" r="BZ147"/>
      <c s="125" r="CA147"/>
      <c s="125" r="CB147"/>
      <c s="125" r="CC147"/>
      <c s="125" r="CD147"/>
      <c s="125" r="CE147"/>
      <c s="125" r="CF147"/>
      <c s="125" r="CG147"/>
      <c s="125" r="CH147"/>
      <c s="125" r="CI147"/>
      <c s="125" r="CJ147"/>
      <c s="125" r="CK147"/>
      <c s="125" r="CL147"/>
    </row>
    <row r="148">
      <c s="125" r="A148"/>
      <c s="125" r="B148"/>
      <c s="125" r="C148"/>
      <c s="125" r="D148"/>
      <c s="125" r="E148"/>
      <c s="125" r="F148"/>
      <c s="125" r="G148"/>
      <c s="125" r="H148"/>
      <c s="125" r="I148"/>
      <c s="125" r="J148"/>
      <c s="125" r="K148"/>
      <c s="125" r="L148"/>
      <c s="125" r="M148"/>
      <c s="125" r="N148"/>
      <c s="125" r="O148"/>
      <c s="125" r="P148"/>
      <c s="125" r="Q148"/>
      <c s="125" r="R148"/>
      <c s="125" r="S148"/>
      <c s="125" r="T148"/>
      <c s="125" r="U148"/>
      <c s="125" r="V148"/>
      <c s="125" r="W148"/>
      <c s="125" r="X148"/>
      <c s="125" r="Y148"/>
      <c s="125" r="Z148"/>
      <c s="125" r="AA148"/>
      <c s="125" r="AB148"/>
      <c s="125" r="AC148"/>
      <c s="822" r="AD148"/>
      <c s="424" r="AE148"/>
      <c t="s" s="37" r="AF148">
        <v>537</v>
      </c>
      <c t="str" s="67" r="AG148">
        <f>"---------------------"</f>
        <v>---------------------</v>
      </c>
      <c s="390" r="AH148"/>
      <c s="598" r="AI148"/>
      <c s="259" r="AJ148">
        <f>IF((AI146=0),0,IF((AJ122&gt;=0.35),0.062,IF((SUMIF(AJ122:AJ145,"=.35")&gt;=1),INDEX(AH122:AH145,MATCH(0.35,AJ122:AJ145,0)),(2^(LOG((INDEX(AH122:AH145,MATCH(0.35,AJ122:AJ145,1))),2)+(((LOG((INDEX(AH122:AH145,(MATCH(0.35,AJ122:AJ145,1)+1))),2)-LOG((INDEX(AH122:AH145,MATCH(0.35,AJ122:AJ145,1))),2))*(0.35-INDEX(AJ122:AJ145,MATCH(0.35,AJ122:AJ145,1))))/(INDEX(AJ122:AJ145,(MATCH(0.35,AJ122:AJ145,1)+1))-INDEX(AJ122:AJ145,MATCH(0.35,AJ122:AJ145,1)))))))))</f>
        <v>0</v>
      </c>
      <c s="95" r="AK148"/>
      <c s="140" r="AL148">
        <v>0</v>
      </c>
      <c s="116" r="AM148"/>
      <c t="s" s="155" r="AN148">
        <v>526</v>
      </c>
      <c t="str" s="736" r="AO148">
        <f>IF((AI146=0),"---",(ROUND((AJ147/(10^TRUNC(LOG(AJ147)))),(2-IF((AJ147&gt;1),1,0)))*(10^TRUNC(LOG(AJ147)))))</f>
        <v>---</v>
      </c>
      <c s="551" r="AP148"/>
      <c t="s" s="155" r="AQ148">
        <v>538</v>
      </c>
      <c t="str" s="13" r="AR148">
        <f>IF(ISNUMBER((AO148*AO152)),((AO148*AO152)^0.5),"---")</f>
        <v>---</v>
      </c>
      <c s="518" r="AS148"/>
      <c t="s" s="403" r="AT148">
        <v>469</v>
      </c>
      <c t="str" s="200" r="AU148">
        <f>IF(AI152,((AI122)/AI152),"---")</f>
        <v>---</v>
      </c>
      <c t="str" s="403" r="AV148">
        <f>IF((AI148&gt;0),"bedrock","")</f>
        <v/>
      </c>
      <c t="str" s="26" r="AW148">
        <f>IF((AI148&gt;0),(AI148/AI152),"")</f>
        <v/>
      </c>
      <c s="51" r="AX148"/>
      <c s="125" r="AY148"/>
      <c s="125" r="AZ148"/>
      <c s="125" r="BA148"/>
      <c s="125" r="BB148"/>
      <c s="125" r="BC148"/>
      <c s="125" r="BD148"/>
      <c s="125" r="BE148"/>
      <c s="341" r="BF148"/>
      <c s="761" r="BG148"/>
      <c s="125" r="BH148"/>
      <c s="125" r="BI148"/>
      <c s="125" r="BJ148"/>
      <c s="125" r="BK148"/>
      <c s="125" r="BL148"/>
      <c s="125" r="BM148"/>
      <c s="125" r="BN148"/>
      <c s="125" r="BO148"/>
      <c s="125" r="BP148"/>
      <c s="125" r="BQ148"/>
      <c s="125" r="BR148"/>
      <c s="125" r="BS148"/>
      <c s="125" r="BT148"/>
      <c s="125" r="BU148"/>
      <c s="125" r="BV148"/>
      <c s="125" r="BW148"/>
      <c s="125" r="BX148"/>
      <c s="125" r="BY148"/>
      <c s="125" r="BZ148"/>
      <c s="125" r="CA148"/>
      <c s="125" r="CB148"/>
      <c s="125" r="CC148"/>
      <c s="125" r="CD148"/>
      <c s="125" r="CE148"/>
      <c s="125" r="CF148"/>
      <c s="125" r="CG148"/>
      <c s="125" r="CH148"/>
      <c s="125" r="CI148"/>
      <c s="125" r="CJ148"/>
      <c s="125" r="CK148"/>
      <c s="125" r="CL148"/>
    </row>
    <row r="149">
      <c s="125" r="A149"/>
      <c s="125" r="B149"/>
      <c s="125" r="C149"/>
      <c s="125" r="D149"/>
      <c s="125" r="E149"/>
      <c s="125" r="F149"/>
      <c s="125" r="G149"/>
      <c s="125" r="H149"/>
      <c s="125" r="I149"/>
      <c s="125" r="J149"/>
      <c s="125" r="K149"/>
      <c s="125" r="L149"/>
      <c s="125" r="M149"/>
      <c s="125" r="N149"/>
      <c s="125" r="O149"/>
      <c s="125" r="P149"/>
      <c s="125" r="Q149"/>
      <c s="125" r="R149"/>
      <c s="125" r="S149"/>
      <c s="125" r="T149"/>
      <c s="125" r="U149"/>
      <c s="125" r="V149"/>
      <c s="125" r="W149"/>
      <c s="125" r="X149"/>
      <c s="125" r="Y149"/>
      <c s="125" r="Z149"/>
      <c s="125" r="AA149"/>
      <c s="125" r="AB149"/>
      <c s="125" r="AC149"/>
      <c s="822" r="AD149"/>
      <c s="424" r="AE149"/>
      <c t="s" s="37" r="AF149">
        <v>539</v>
      </c>
      <c t="str" s="67" r="AG149">
        <f>"---------------------"</f>
        <v>---------------------</v>
      </c>
      <c s="390" r="AH149"/>
      <c s="598" r="AI149"/>
      <c s="259" r="AJ149">
        <f>IF((AI146=0),0,IF((AJ122&gt;=0.5),0.062,IF((SUMIF(AJ122:AJ145,"=.5")&gt;=1),INDEX(AH122:AH145,MATCH(0.5,AJ122:AJ145,0)),(2^(LOG((INDEX(AH122:AH145,MATCH(0.5,AJ122:AJ145,1))),2)+(((LOG((INDEX(AH122:AH145,(MATCH(0.5,AJ122:AJ145,1)+1))),2)-LOG((INDEX(AH122:AH145,MATCH(0.5,AJ122:AJ145,1))),2))*(0.5-INDEX(AJ122:AJ145,MATCH(0.5,AJ122:AJ145,1))))/(INDEX(AJ122:AJ145,(MATCH(0.5,AJ122:AJ145,1)+1))-INDEX(AJ122:AJ145,MATCH(0.5,AJ122:AJ145,1)))))))))</f>
        <v>0</v>
      </c>
      <c s="282" r="AK149"/>
      <c s="140" r="AL149">
        <v>0.01</v>
      </c>
      <c s="116" r="AM149"/>
      <c t="s" s="766" r="AN149">
        <v>530</v>
      </c>
      <c t="str" s="52" r="AO149">
        <f>IF((AI146=0),"---",(ROUND((AJ148/(10^TRUNC(LOG(AJ148)))),(2-IF((AJ148&gt;1),1,0)))*(10^TRUNC(LOG(AJ148)))))</f>
        <v>---</v>
      </c>
      <c s="551" r="AP149"/>
      <c t="s" s="766" r="AQ149">
        <v>183</v>
      </c>
      <c t="str" s="258" r="AR149">
        <f>IF(ISNUMBER(((AO152/AO150)+(AO150/AO148))),(((AO152/AO150)+(AO150/AO148))/2),"---")</f>
        <v>---</v>
      </c>
      <c s="518" r="AS149"/>
      <c t="s" s="294" r="AT149">
        <v>528</v>
      </c>
      <c t="str" s="479" r="AU149">
        <f>IF(AI152,(SUM(AI123:AI127)/AI152),"---")</f>
        <v>---</v>
      </c>
      <c t="str" s="37" r="AV149">
        <f>IF((AI149&gt;0),"hardpan","")</f>
        <v/>
      </c>
      <c t="str" s="26" r="AW149">
        <f>IF((AI149&gt;0),(AI149/AI152),"")</f>
        <v/>
      </c>
      <c s="51" r="AX149"/>
      <c s="125" r="AY149"/>
      <c s="125" r="AZ149"/>
      <c s="125" r="BA149"/>
      <c s="125" r="BB149"/>
      <c s="125" r="BC149"/>
      <c s="125" r="BD149"/>
      <c s="125" r="BE149"/>
      <c s="341" r="BF149"/>
      <c s="761" r="BG149"/>
      <c s="125" r="BH149"/>
      <c s="125" r="BI149"/>
      <c s="125" r="BJ149"/>
      <c s="125" r="BK149"/>
      <c s="125" r="BL149"/>
      <c s="125" r="BM149"/>
      <c s="125" r="BN149"/>
      <c s="125" r="BO149"/>
      <c s="125" r="BP149"/>
      <c s="125" r="BQ149"/>
      <c s="125" r="BR149"/>
      <c s="125" r="BS149"/>
      <c s="125" r="BT149"/>
      <c s="125" r="BU149"/>
      <c s="125" r="BV149"/>
      <c s="125" r="BW149"/>
      <c s="125" r="BX149"/>
      <c s="125" r="BY149"/>
      <c s="125" r="BZ149"/>
      <c s="125" r="CA149"/>
      <c s="125" r="CB149"/>
      <c s="125" r="CC149"/>
      <c s="125" r="CD149"/>
      <c s="125" r="CE149"/>
      <c s="125" r="CF149"/>
      <c s="125" r="CG149"/>
      <c s="125" r="CH149"/>
      <c s="125" r="CI149"/>
      <c s="125" r="CJ149"/>
      <c s="125" r="CK149"/>
      <c s="125" r="CL149"/>
    </row>
    <row r="150">
      <c s="125" r="A150"/>
      <c s="125" r="B150"/>
      <c s="125" r="C150"/>
      <c s="125" r="D150"/>
      <c s="125" r="E150"/>
      <c s="125" r="F150"/>
      <c s="125" r="G150"/>
      <c s="125" r="H150"/>
      <c s="125" r="I150"/>
      <c s="125" r="J150"/>
      <c s="125" r="K150"/>
      <c s="125" r="L150"/>
      <c s="125" r="M150"/>
      <c s="125" r="N150"/>
      <c s="125" r="O150"/>
      <c s="125" r="P150"/>
      <c s="125" r="Q150"/>
      <c s="125" r="R150"/>
      <c s="125" r="S150"/>
      <c s="125" r="T150"/>
      <c s="125" r="U150"/>
      <c s="125" r="V150"/>
      <c s="125" r="W150"/>
      <c s="125" r="X150"/>
      <c s="125" r="Y150"/>
      <c s="125" r="Z150"/>
      <c s="125" r="AA150"/>
      <c s="125" r="AB150"/>
      <c s="125" r="AC150"/>
      <c s="822" r="AD150"/>
      <c s="424" r="AE150"/>
      <c t="s" s="37" r="AF150">
        <v>541</v>
      </c>
      <c t="str" s="67" r="AG150">
        <f>"---------------------"</f>
        <v>---------------------</v>
      </c>
      <c s="390" r="AH150"/>
      <c s="598" r="AI150"/>
      <c s="259" r="AJ150">
        <f>IF((AI146=0),0,IF((AJ122&gt;=0.65),0.062,IF((SUMIF(AJ122:AJ145,"=.65")&gt;=1),INDEX(AH122:AH145,MATCH(0.65,AJ122:AJ145,0)),(2^(LOG((INDEX(AH122:AH145,MATCH(0.65,AJ122:AJ145,1))),2)+(((LOG((INDEX(AH122:AH145,(MATCH(0.65,AJ122:AJ145,1)+1))),2)-LOG((INDEX(AH122:AH145,MATCH(0.65,AJ122:AJ145,1))),2))*(0.65-INDEX(AJ122:AJ145,MATCH(0.65,AJ122:AJ145,1))))/(INDEX(AJ122:AJ145,(MATCH(0.65,AJ122:AJ145,1)+1))-INDEX(AJ122:AJ145,MATCH(0.65,AJ122:AJ145,1)))))))))</f>
        <v>0</v>
      </c>
      <c s="832" r="AK150"/>
      <c t="str" s="140" r="AL150">
        <f>AO152</f>
        <v>---</v>
      </c>
      <c s="116" r="AM150"/>
      <c t="s" s="766" r="AN150">
        <v>533</v>
      </c>
      <c t="str" s="52" r="AO150">
        <f>IF((AI146=0),"---",(ROUND((AJ149/(10^TRUNC(LOG(AJ149)))),(2-IF((AJ149&gt;1),1,0)))*(10^TRUNC(LOG(AJ149)))))</f>
        <v>---</v>
      </c>
      <c s="551" r="AP150"/>
      <c t="s" s="766" r="AQ150">
        <v>185</v>
      </c>
      <c t="str" s="4" r="AR150">
        <f>IF(ISNUMBER((AO152*AO148)),IF((AO152=AO148),"---",(LOG((((AO152*AO148)^0.5)/AO150))/(LOG((AO152/AO148))^0.5))),"---")</f>
        <v>---</v>
      </c>
      <c s="518" r="AS150"/>
      <c t="s" s="294" r="AT150">
        <v>542</v>
      </c>
      <c t="str" s="479" r="AU150">
        <f>IF(AI152,(SUM(AI128:AI136)/AI152),"---")</f>
        <v>---</v>
      </c>
      <c t="str" s="37" r="AV150">
        <f>IF((AI150&gt;0),"wood/det","")</f>
        <v/>
      </c>
      <c t="str" s="26" r="AW150">
        <f>IF((AI150&gt;0),(AI150/AI152),"")</f>
        <v/>
      </c>
      <c s="51" r="AX150"/>
      <c s="125" r="AY150"/>
      <c s="125" r="AZ150"/>
      <c s="125" r="BA150"/>
      <c s="125" r="BB150"/>
      <c s="125" r="BC150"/>
      <c s="125" r="BD150"/>
      <c s="125" r="BE150"/>
      <c s="341" r="BF150"/>
      <c s="761" r="BG150"/>
      <c s="125" r="BH150"/>
      <c s="125" r="BI150"/>
      <c s="125" r="BJ150"/>
      <c s="125" r="BK150"/>
      <c s="125" r="BL150"/>
      <c s="125" r="BM150"/>
      <c s="125" r="BN150"/>
      <c s="125" r="BO150"/>
      <c s="125" r="BP150"/>
      <c s="125" r="BQ150"/>
      <c s="125" r="BR150"/>
      <c s="125" r="BS150"/>
      <c s="125" r="BT150"/>
      <c s="125" r="BU150"/>
      <c s="125" r="BV150"/>
      <c s="125" r="BW150"/>
      <c s="125" r="BX150"/>
      <c s="125" r="BY150"/>
      <c s="125" r="BZ150"/>
      <c s="125" r="CA150"/>
      <c s="125" r="CB150"/>
      <c s="125" r="CC150"/>
      <c s="125" r="CD150"/>
      <c s="125" r="CE150"/>
      <c s="125" r="CF150"/>
      <c s="125" r="CG150"/>
      <c s="125" r="CH150"/>
      <c s="125" r="CI150"/>
      <c s="125" r="CJ150"/>
      <c s="125" r="CK150"/>
      <c s="125" r="CL150"/>
    </row>
    <row customHeight="1" r="151" ht="13.5">
      <c s="125" r="A151"/>
      <c s="125" r="B151"/>
      <c s="125" r="C151"/>
      <c s="125" r="D151"/>
      <c s="125" r="E151"/>
      <c s="125" r="F151"/>
      <c s="125" r="G151"/>
      <c s="125" r="H151"/>
      <c s="125" r="I151"/>
      <c s="125" r="J151"/>
      <c s="125" r="K151"/>
      <c s="125" r="L151"/>
      <c s="125" r="M151"/>
      <c s="125" r="N151"/>
      <c s="125" r="O151"/>
      <c s="125" r="P151"/>
      <c s="125" r="Q151"/>
      <c s="125" r="R151"/>
      <c s="125" r="S151"/>
      <c s="125" r="T151"/>
      <c s="125" r="U151"/>
      <c s="125" r="V151"/>
      <c s="125" r="W151"/>
      <c s="125" r="X151"/>
      <c s="125" r="Y151"/>
      <c s="125" r="Z151"/>
      <c s="125" r="AA151"/>
      <c s="125" r="AB151"/>
      <c s="125" r="AC151"/>
      <c s="822" r="AD151"/>
      <c s="63" r="AE151"/>
      <c t="s" s="298" r="AF151">
        <v>543</v>
      </c>
      <c t="str" s="23" r="AG151">
        <f>"---------------------"</f>
        <v>---------------------</v>
      </c>
      <c s="218" r="AH151"/>
      <c s="598" r="AI151"/>
      <c s="259" r="AJ151">
        <f>IF((AI146=0),0,IF((AJ122&gt;=0.84),0.062,IF((SUMIF(AJ122:AJ145,"=.84")&gt;=1),INDEX(AH122:AH145,MATCH(0.84,AJ122:AJ145,0)),(2^(LOG((INDEX(AH122:AH145,MATCH(0.84,AJ122:AJ145,1))),2)+(((LOG((INDEX(AH122:AH145,(MATCH(0.84,AJ122:AJ145,1)+1))),2)-LOG((INDEX(AH122:AH145,MATCH(0.84,AJ122:AJ145,1))),2))*(0.84-INDEX(AJ122:AJ145,MATCH(0.84,AJ122:AJ145,1))))/(INDEX(AJ122:AJ145,(MATCH(0.84,AJ122:AJ145,1)+1))-INDEX(AJ122:AJ145,MATCH(0.84,AJ122:AJ145,1)))))))))</f>
        <v>0</v>
      </c>
      <c s="835" r="AK151"/>
      <c t="str" s="140" r="AL151">
        <f>AO152</f>
        <v>---</v>
      </c>
      <c s="116" r="AM151"/>
      <c t="s" s="766" r="AN151">
        <v>527</v>
      </c>
      <c t="str" s="52" r="AO151">
        <f>IF((AI146=0),"---",(ROUND((AJ150/(10^TRUNC(LOG(AJ150)))),(2-IF((AJ150&gt;1),1,0)))*(10^TRUNC(LOG(AJ150)))))</f>
        <v>---</v>
      </c>
      <c s="551" r="AP151"/>
      <c s="551" r="AQ151"/>
      <c s="551" r="AR151"/>
      <c s="518" r="AS151"/>
      <c t="s" s="294" r="AT151">
        <v>544</v>
      </c>
      <c t="str" s="479" r="AU151">
        <f>IF(AI152,(SUM(AI137:AI140)/AI152),"---")</f>
        <v>---</v>
      </c>
      <c t="str" s="37" r="AV151">
        <f>IF((AI151&gt;0),"artificial","")</f>
        <v/>
      </c>
      <c t="str" s="26" r="AW151">
        <f>IF((AI151&gt;0),(AI151/AI152),"")</f>
        <v/>
      </c>
      <c s="51" r="AX151"/>
      <c s="125" r="AY151"/>
      <c s="125" r="AZ151"/>
      <c s="125" r="BA151"/>
      <c s="125" r="BB151"/>
      <c s="125" r="BC151"/>
      <c s="125" r="BD151"/>
      <c s="125" r="BE151"/>
      <c s="341" r="BF151"/>
      <c s="761" r="BG151"/>
      <c s="125" r="BH151"/>
      <c s="125" r="BI151"/>
      <c s="125" r="BJ151"/>
      <c s="125" r="BK151"/>
      <c s="125" r="BL151"/>
      <c s="125" r="BM151"/>
      <c s="125" r="BN151"/>
      <c s="125" r="BO151"/>
      <c s="125" r="BP151"/>
      <c s="125" r="BQ151"/>
      <c s="125" r="BR151"/>
      <c s="125" r="BS151"/>
      <c s="125" r="BT151"/>
      <c s="125" r="BU151"/>
      <c s="125" r="BV151"/>
      <c s="125" r="BW151"/>
      <c s="125" r="BX151"/>
      <c s="125" r="BY151"/>
      <c s="125" r="BZ151"/>
      <c s="125" r="CA151"/>
      <c s="125" r="CB151"/>
      <c s="125" r="CC151"/>
      <c s="125" r="CD151"/>
      <c s="125" r="CE151"/>
      <c s="125" r="CF151"/>
      <c s="125" r="CG151"/>
      <c s="125" r="CH151"/>
      <c s="125" r="CI151"/>
      <c s="125" r="CJ151"/>
      <c s="125" r="CK151"/>
      <c s="125" r="CL151"/>
    </row>
    <row customHeight="1" r="152" ht="15.0">
      <c s="125" r="A152"/>
      <c s="125" r="B152"/>
      <c s="125" r="C152"/>
      <c s="125" r="D152"/>
      <c s="125" r="E152"/>
      <c s="125" r="F152"/>
      <c s="125" r="G152"/>
      <c s="125" r="H152"/>
      <c s="125" r="I152"/>
      <c s="125" r="J152"/>
      <c s="125" r="K152"/>
      <c s="125" r="L152"/>
      <c s="125" r="M152"/>
      <c s="125" r="N152"/>
      <c s="125" r="O152"/>
      <c s="125" r="P152"/>
      <c s="125" r="Q152"/>
      <c s="125" r="R152"/>
      <c s="125" r="S152"/>
      <c s="125" r="T152"/>
      <c s="125" r="U152"/>
      <c s="125" r="V152"/>
      <c s="125" r="W152"/>
      <c s="125" r="X152"/>
      <c s="125" r="Y152"/>
      <c s="125" r="Z152"/>
      <c s="125" r="AA152"/>
      <c s="125" r="AB152"/>
      <c s="125" r="AC152"/>
      <c s="822" r="AD152"/>
      <c s="178" r="AE152"/>
      <c s="640" r="AF152"/>
      <c s="640" r="AG152"/>
      <c t="s" s="232" r="AH152">
        <v>545</v>
      </c>
      <c s="897" r="AI152">
        <f>SUM(AI122:AI145)+SUM(AI148:AI151)</f>
        <v>0</v>
      </c>
      <c s="259" r="AJ152">
        <f>IF((AI146=0),0,IF((AJ122&gt;=0.95),0.062,IF((SUMIF(AJ122:AJ145,"=.95")&gt;=1),INDEX(AH122:AH145,MATCH(0.95,AJ122:AJ145,0)),(2^(LOG((INDEX(AH122:AH145,MATCH(0.95,AJ122:AJ145,1))),2)+(((LOG((INDEX(AH122:AH145,(MATCH(0.95,AJ122:AJ145,1)+1))),2)-LOG((INDEX(AH122:AH145,MATCH(0.95,AJ122:AJ145,1))),2))*(0.95-INDEX(AJ122:AJ145,MATCH(0.95,AJ122:AJ145,1))))/(INDEX(AJ122:AJ145,(MATCH(0.95,AJ122:AJ145,1)+1))-INDEX(AJ122:AJ145,MATCH(0.95,AJ122:AJ145,1)))))))))</f>
        <v>0</v>
      </c>
      <c s="835" r="AK152"/>
      <c t="str" s="140" r="AL152">
        <f>IF((AI146&gt;0),0.84,NA())</f>
        <v>#N/A:explicit</v>
      </c>
      <c s="116" r="AM152"/>
      <c t="s" s="766" r="AN152">
        <v>531</v>
      </c>
      <c t="str" s="52" r="AO152">
        <f>IF((AI146=0),"---",(ROUND((AJ151/(10^TRUNC(LOG(AJ151)))),(2-IF((AJ151&gt;1),1,0)))*(10^TRUNC(LOG(AJ151)))))</f>
        <v>---</v>
      </c>
      <c s="551" r="AP152"/>
      <c s="551" r="AQ152"/>
      <c s="551" r="AR152"/>
      <c s="518" r="AS152"/>
      <c t="s" s="294" r="AT152">
        <v>546</v>
      </c>
      <c t="str" s="479" r="AU152">
        <f>IF(AI152,(SUM(AI141:AI145)/AI152),"---")</f>
        <v>---</v>
      </c>
      <c s="518" r="AV152"/>
      <c s="452" r="AW152"/>
      <c s="51" r="AX152"/>
      <c s="125" r="AY152"/>
      <c s="125" r="AZ152"/>
      <c s="125" r="BA152"/>
      <c s="125" r="BB152"/>
      <c s="125" r="BC152"/>
      <c s="125" r="BD152"/>
      <c s="125" r="BE152"/>
      <c s="341" r="BF152"/>
      <c s="761" r="BG152"/>
      <c s="125" r="BH152"/>
      <c s="125" r="BI152"/>
      <c s="125" r="BJ152"/>
      <c s="125" r="BK152"/>
      <c s="125" r="BL152"/>
      <c s="125" r="BM152"/>
      <c s="125" r="BN152"/>
      <c s="125" r="BO152"/>
      <c s="125" r="BP152"/>
      <c s="125" r="BQ152"/>
      <c s="125" r="BR152"/>
      <c s="125" r="BS152"/>
      <c s="125" r="BT152"/>
      <c s="125" r="BU152"/>
      <c s="125" r="BV152"/>
      <c s="125" r="BW152"/>
      <c s="125" r="BX152"/>
      <c s="125" r="BY152"/>
      <c s="125" r="BZ152"/>
      <c s="125" r="CA152"/>
      <c s="125" r="CB152"/>
      <c s="125" r="CC152"/>
      <c s="125" r="CD152"/>
      <c s="125" r="CE152"/>
      <c s="125" r="CF152"/>
      <c s="125" r="CG152"/>
      <c s="125" r="CH152"/>
      <c s="125" r="CI152"/>
      <c s="125" r="CJ152"/>
      <c s="125" r="CK152"/>
      <c s="125" r="CL152"/>
    </row>
    <row r="153">
      <c s="125" r="A153"/>
      <c s="125" r="B153"/>
      <c s="125" r="C153"/>
      <c s="125" r="D153"/>
      <c s="125" r="E153"/>
      <c s="125" r="F153"/>
      <c s="125" r="G153"/>
      <c s="125" r="H153"/>
      <c s="125" r="I153"/>
      <c s="125" r="J153"/>
      <c s="125" r="K153"/>
      <c s="125" r="L153"/>
      <c s="125" r="M153"/>
      <c s="125" r="N153"/>
      <c s="125" r="O153"/>
      <c s="125" r="P153"/>
      <c s="125" r="Q153"/>
      <c s="125" r="R153"/>
      <c s="125" r="S153"/>
      <c s="125" r="T153"/>
      <c s="125" r="U153"/>
      <c s="125" r="V153"/>
      <c s="125" r="W153"/>
      <c s="125" r="X153"/>
      <c s="125" r="Y153"/>
      <c s="125" r="Z153"/>
      <c s="125" r="AA153"/>
      <c s="125" r="AB153"/>
      <c s="125" r="AC153"/>
      <c s="822" r="AD153"/>
      <c s="908" r="AE153"/>
      <c s="414" r="AF153"/>
      <c s="414" r="AG153"/>
      <c s="414" r="AH153"/>
      <c s="397" r="AI153"/>
      <c s="901" r="AJ153"/>
      <c s="291" r="AK153"/>
      <c t="str" s="140" r="AL153">
        <f>AL152</f>
        <v>#N/A:explicit</v>
      </c>
      <c s="116" r="AM153"/>
      <c t="s" s="766" r="AN153">
        <v>534</v>
      </c>
      <c t="str" s="52" r="AO153">
        <f>IF((AI146=0),"---",(ROUND((AJ152/(10^TRUNC(LOG(AJ152)))),(2-IF((AJ152&gt;1),1,0)))*(10^TRUNC(LOG(AJ152)))))</f>
        <v>---</v>
      </c>
      <c s="518" r="AP153"/>
      <c s="518" r="AQ153"/>
      <c s="518" r="AR153"/>
      <c s="518" r="AS153"/>
      <c s="518" r="AT153"/>
      <c s="518" r="AU153"/>
      <c s="518" r="AV153"/>
      <c s="452" r="AW153"/>
      <c s="51" r="AX153"/>
      <c s="125" r="AY153"/>
      <c s="125" r="AZ153"/>
      <c s="125" r="BA153"/>
      <c s="125" r="BB153"/>
      <c s="125" r="BC153"/>
      <c s="125" r="BD153"/>
      <c s="125" r="BE153"/>
      <c s="341" r="BF153"/>
      <c s="761" r="BG153"/>
      <c s="125" r="BH153"/>
      <c s="125" r="BI153"/>
      <c s="125" r="BJ153"/>
      <c s="125" r="BK153"/>
      <c s="125" r="BL153"/>
      <c s="125" r="BM153"/>
      <c s="125" r="BN153"/>
      <c s="125" r="BO153"/>
      <c s="125" r="BP153"/>
      <c s="125" r="BQ153"/>
      <c s="125" r="BR153"/>
      <c s="125" r="BS153"/>
      <c s="125" r="BT153"/>
      <c s="125" r="BU153"/>
      <c s="125" r="BV153"/>
      <c s="125" r="BW153"/>
      <c s="125" r="BX153"/>
      <c s="125" r="BY153"/>
      <c s="125" r="BZ153"/>
      <c s="125" r="CA153"/>
      <c s="125" r="CB153"/>
      <c s="125" r="CC153"/>
      <c s="125" r="CD153"/>
      <c s="125" r="CE153"/>
      <c s="125" r="CF153"/>
      <c s="125" r="CG153"/>
      <c s="125" r="CH153"/>
      <c s="125" r="CI153"/>
      <c s="125" r="CJ153"/>
      <c s="125" r="CK153"/>
      <c s="125" r="CL153"/>
    </row>
    <row customHeight="1" r="154" ht="13.5">
      <c s="125" r="A154"/>
      <c s="125" r="B154"/>
      <c s="125" r="C154"/>
      <c s="125" r="D154"/>
      <c s="125" r="E154"/>
      <c s="125" r="F154"/>
      <c s="125" r="G154"/>
      <c s="125" r="H154"/>
      <c s="125" r="I154"/>
      <c s="125" r="J154"/>
      <c s="125" r="K154"/>
      <c s="125" r="L154"/>
      <c s="125" r="M154"/>
      <c s="125" r="N154"/>
      <c s="125" r="O154"/>
      <c s="125" r="P154"/>
      <c s="125" r="Q154"/>
      <c s="125" r="R154"/>
      <c s="125" r="S154"/>
      <c s="125" r="T154"/>
      <c s="125" r="U154"/>
      <c s="125" r="V154"/>
      <c s="125" r="W154"/>
      <c s="125" r="X154"/>
      <c s="125" r="Y154"/>
      <c s="125" r="Z154"/>
      <c s="125" r="AA154"/>
      <c s="125" r="AB154"/>
      <c s="125" r="AC154"/>
      <c s="822" r="AD154"/>
      <c t="s" s="340" r="AE154">
        <v>529</v>
      </c>
      <c s="256" r="AF154"/>
      <c s="650" r="AG154"/>
      <c s="650" r="AH154"/>
      <c s="500" r="AI154"/>
      <c s="901" r="AJ154"/>
      <c s="291" r="AK154"/>
      <c s="140" r="AL154">
        <v>0</v>
      </c>
      <c s="533" r="AM154"/>
      <c s="685" r="AN154"/>
      <c s="685" r="AO154"/>
      <c s="685" r="AP154"/>
      <c s="685" r="AQ154"/>
      <c s="685" r="AR154"/>
      <c s="685" r="AS154"/>
      <c s="685" r="AT154"/>
      <c s="685" r="AU154"/>
      <c s="685" r="AV154"/>
      <c s="877" r="AW154"/>
      <c s="51" r="AX154"/>
      <c s="125" r="AY154"/>
      <c s="125" r="AZ154"/>
      <c s="125" r="BA154"/>
      <c s="125" r="BB154"/>
      <c s="125" r="BC154"/>
      <c s="125" r="BD154"/>
      <c s="125" r="BE154"/>
      <c s="341" r="BF154"/>
      <c s="761" r="BG154"/>
      <c s="125" r="BH154"/>
      <c s="125" r="BI154"/>
      <c s="125" r="BJ154"/>
      <c s="125" r="BK154"/>
      <c s="125" r="BL154"/>
      <c s="125" r="BM154"/>
      <c s="125" r="BN154"/>
      <c s="125" r="BO154"/>
      <c s="125" r="BP154"/>
      <c s="125" r="BQ154"/>
      <c s="125" r="BR154"/>
      <c s="125" r="BS154"/>
      <c s="125" r="BT154"/>
      <c s="125" r="BU154"/>
      <c s="125" r="BV154"/>
      <c s="125" r="BW154"/>
      <c s="125" r="BX154"/>
      <c s="125" r="BY154"/>
      <c s="125" r="BZ154"/>
      <c s="125" r="CA154"/>
      <c s="125" r="CB154"/>
      <c s="125" r="CC154"/>
      <c s="125" r="CD154"/>
      <c s="125" r="CE154"/>
      <c s="125" r="CF154"/>
      <c s="125" r="CG154"/>
      <c s="125" r="CH154"/>
      <c s="125" r="CI154"/>
      <c s="125" r="CJ154"/>
      <c s="125" r="CK154"/>
      <c s="125" r="CL154"/>
    </row>
    <row customHeight="1" r="155" ht="14.25">
      <c s="125" r="A155"/>
      <c s="125" r="B155"/>
      <c s="125" r="C155"/>
      <c s="125" r="D155"/>
      <c s="125" r="E155"/>
      <c s="125" r="F155"/>
      <c s="125" r="G155"/>
      <c s="125" r="H155"/>
      <c s="125" r="I155"/>
      <c s="125" r="J155"/>
      <c s="125" r="K155"/>
      <c s="125" r="L155"/>
      <c s="125" r="M155"/>
      <c s="125" r="N155"/>
      <c s="125" r="O155"/>
      <c s="125" r="P155"/>
      <c s="125" r="Q155"/>
      <c s="125" r="R155"/>
      <c s="125" r="S155"/>
      <c s="125" r="T155"/>
      <c s="125" r="U155"/>
      <c s="125" r="V155"/>
      <c s="125" r="W155"/>
      <c s="125" r="X155"/>
      <c s="125" r="Y155"/>
      <c s="125" r="Z155"/>
      <c s="125" r="AA155"/>
      <c s="125" r="AB155"/>
      <c s="125" r="AC155"/>
      <c s="125" r="AD155"/>
      <c s="191" r="AE155"/>
      <c s="803" r="AF155"/>
      <c s="386" r="AG155"/>
      <c s="412" r="AH155"/>
      <c s="412" r="AI155"/>
      <c s="62" r="AJ155"/>
      <c s="62" r="AK155"/>
      <c s="205" r="AL155"/>
      <c s="412" r="AM155"/>
      <c s="412" r="AN155"/>
      <c s="412" r="AO155"/>
      <c s="412" r="AP155"/>
      <c s="412" r="AQ155"/>
      <c s="412" r="AR155"/>
      <c s="412" r="AS155"/>
      <c s="412" r="AT155"/>
      <c s="412" r="AU155"/>
      <c s="412" r="AV155"/>
      <c s="412" r="AW155"/>
      <c s="125" r="AX155"/>
      <c s="125" r="AY155"/>
      <c s="125" r="AZ155"/>
      <c s="125" r="BA155"/>
      <c s="125" r="BB155"/>
      <c s="125" r="BC155"/>
      <c s="125" r="BD155"/>
      <c s="125" r="BE155"/>
      <c s="341" r="BF155"/>
      <c s="761" r="BG155"/>
      <c s="125" r="BH155"/>
      <c s="125" r="BI155"/>
      <c s="125" r="BJ155"/>
      <c s="125" r="BK155"/>
      <c s="125" r="BL155"/>
      <c s="125" r="BM155"/>
      <c s="125" r="BN155"/>
      <c s="125" r="BO155"/>
      <c s="125" r="BP155"/>
      <c s="125" r="BQ155"/>
      <c s="125" r="BR155"/>
      <c s="125" r="BS155"/>
      <c s="125" r="BT155"/>
      <c s="125" r="BU155"/>
      <c s="125" r="BV155"/>
      <c s="125" r="BW155"/>
      <c s="125" r="BX155"/>
      <c s="125" r="BY155"/>
      <c s="125" r="BZ155"/>
      <c s="125" r="CA155"/>
      <c s="125" r="CB155"/>
      <c s="125" r="CC155"/>
      <c s="125" r="CD155"/>
      <c s="125" r="CE155"/>
      <c s="125" r="CF155"/>
      <c s="125" r="CG155"/>
      <c s="125" r="CH155"/>
      <c s="125" r="CI155"/>
      <c s="125" r="CJ155"/>
      <c s="125" r="CK155"/>
      <c s="125" r="CL155"/>
    </row>
    <row customHeight="1" r="156" ht="13.5">
      <c s="125" r="A156"/>
      <c s="125" r="B156"/>
      <c s="125" r="C156"/>
      <c s="125" r="D156"/>
      <c s="125" r="E156"/>
      <c s="125" r="F156"/>
      <c s="125" r="G156"/>
      <c s="125" r="H156"/>
      <c s="125" r="I156"/>
      <c s="125" r="J156"/>
      <c s="125" r="K156"/>
      <c s="125" r="L156"/>
      <c s="125" r="M156"/>
      <c s="125" r="N156"/>
      <c s="125" r="O156"/>
      <c s="125" r="P156"/>
      <c s="125" r="Q156"/>
      <c s="125" r="R156"/>
      <c s="125" r="S156"/>
      <c s="125" r="T156"/>
      <c s="125" r="U156"/>
      <c s="125" r="V156"/>
      <c s="125" r="W156"/>
      <c s="125" r="X156"/>
      <c s="125" r="Y156"/>
      <c s="125" r="Z156"/>
      <c s="125" r="AA156"/>
      <c s="125" r="AB156"/>
      <c s="125" r="AC156"/>
      <c s="822" r="AD156"/>
      <c t="str" s="34" r="AE156">
        <f>IF((AL19=1),"Glide",IF((AL19=2),"",IF((AL19=3),"Facies #4","")))</f>
        <v>Facies #4</v>
      </c>
      <c s="110" r="AF156"/>
      <c s="110" r="AG156"/>
      <c s="110" r="AH156"/>
      <c s="295" r="AI156"/>
      <c s="901" r="AJ156"/>
      <c s="291" r="AK156"/>
      <c s="140" r="AL156"/>
      <c s="178" r="AM156"/>
      <c s="863" r="AN156"/>
      <c s="640" r="AO156"/>
      <c s="693" r="AP156"/>
      <c s="693" r="AQ156"/>
      <c s="693" r="AR156"/>
      <c s="693" r="AS156"/>
      <c s="693" r="AT156"/>
      <c s="693" r="AU156"/>
      <c s="693" r="AV156"/>
      <c s="847" r="AW156"/>
      <c s="51" r="AX156"/>
      <c s="125" r="AY156"/>
      <c s="125" r="AZ156"/>
      <c s="125" r="BA156"/>
      <c s="125" r="BB156"/>
      <c s="125" r="BC156"/>
      <c s="125" r="BD156"/>
      <c s="125" r="BE156"/>
      <c s="341" r="BF156"/>
      <c s="761" r="BG156"/>
      <c s="125" r="BH156"/>
      <c s="125" r="BI156"/>
      <c s="125" r="BJ156"/>
      <c s="125" r="BK156"/>
      <c s="125" r="BL156"/>
      <c s="125" r="BM156"/>
      <c s="125" r="BN156"/>
      <c s="125" r="BO156"/>
      <c s="125" r="BP156"/>
      <c s="125" r="BQ156"/>
      <c s="125" r="BR156"/>
      <c s="125" r="BS156"/>
      <c s="125" r="BT156"/>
      <c s="125" r="BU156"/>
      <c s="125" r="BV156"/>
      <c s="125" r="BW156"/>
      <c s="125" r="BX156"/>
      <c s="125" r="BY156"/>
      <c s="125" r="BZ156"/>
      <c s="125" r="CA156"/>
      <c s="125" r="CB156"/>
      <c s="125" r="CC156"/>
      <c s="125" r="CD156"/>
      <c s="125" r="CE156"/>
      <c s="125" r="CF156"/>
      <c s="125" r="CG156"/>
      <c s="125" r="CH156"/>
      <c s="125" r="CI156"/>
      <c s="125" r="CJ156"/>
      <c s="125" r="CK156"/>
      <c s="125" r="CL156"/>
    </row>
    <row customHeight="1" r="157" ht="13.5">
      <c s="125" r="A157"/>
      <c s="125" r="B157"/>
      <c s="125" r="C157"/>
      <c s="125" r="D157"/>
      <c s="125" r="E157"/>
      <c s="125" r="F157"/>
      <c s="125" r="G157"/>
      <c s="125" r="H157"/>
      <c s="125" r="I157"/>
      <c s="125" r="J157"/>
      <c s="125" r="K157"/>
      <c s="125" r="L157"/>
      <c s="125" r="M157"/>
      <c s="125" r="N157"/>
      <c s="125" r="O157"/>
      <c s="125" r="P157"/>
      <c s="125" r="Q157"/>
      <c s="125" r="R157"/>
      <c s="125" r="S157"/>
      <c s="125" r="T157"/>
      <c s="125" r="U157"/>
      <c s="125" r="V157"/>
      <c s="125" r="W157"/>
      <c s="125" r="X157"/>
      <c s="125" r="Y157"/>
      <c s="125" r="Z157"/>
      <c s="125" r="AA157"/>
      <c s="125" r="AB157"/>
      <c s="125" r="AC157"/>
      <c s="822" r="AD157"/>
      <c s="376" r="AE157"/>
      <c t="s" s="440" r="AF157">
        <v>464</v>
      </c>
      <c t="s" s="93" r="AG157">
        <v>465</v>
      </c>
      <c s="645" r="AH157"/>
      <c t="s" s="66" r="AI157">
        <v>466</v>
      </c>
      <c s="872" r="AJ157"/>
      <c s="622" r="AK157"/>
      <c s="492" r="AL157"/>
      <c s="908" r="AM157"/>
      <c s="551" r="AN157"/>
      <c s="551" r="AO157"/>
      <c s="551" r="AP157"/>
      <c s="551" r="AQ157"/>
      <c s="551" r="AR157"/>
      <c s="551" r="AS157"/>
      <c s="551" r="AT157"/>
      <c s="551" r="AU157"/>
      <c s="551" r="AV157"/>
      <c s="671" r="AW157"/>
      <c s="51" r="AX157"/>
      <c s="125" r="AY157"/>
      <c s="125" r="AZ157"/>
      <c s="125" r="BA157"/>
      <c s="125" r="BB157"/>
      <c s="125" r="BC157"/>
      <c s="125" r="BD157"/>
      <c s="125" r="BE157"/>
      <c s="341" r="BF157"/>
      <c s="761" r="BG157"/>
      <c s="125" r="BH157"/>
      <c s="125" r="BI157"/>
      <c s="125" r="BJ157"/>
      <c s="125" r="BK157"/>
      <c s="125" r="BL157"/>
      <c s="125" r="BM157"/>
      <c s="125" r="BN157"/>
      <c s="125" r="BO157"/>
      <c s="125" r="BP157"/>
      <c s="125" r="BQ157"/>
      <c s="125" r="BR157"/>
      <c s="125" r="BS157"/>
      <c s="125" r="BT157"/>
      <c s="125" r="BU157"/>
      <c s="125" r="BV157"/>
      <c s="125" r="BW157"/>
      <c s="125" r="BX157"/>
      <c s="125" r="BY157"/>
      <c s="125" r="BZ157"/>
      <c s="125" r="CA157"/>
      <c s="125" r="CB157"/>
      <c s="125" r="CC157"/>
      <c s="125" r="CD157"/>
      <c s="125" r="CE157"/>
      <c s="125" r="CF157"/>
      <c s="125" r="CG157"/>
      <c s="125" r="CH157"/>
      <c s="125" r="CI157"/>
      <c s="125" r="CJ157"/>
      <c s="125" r="CK157"/>
      <c s="125" r="CL157"/>
    </row>
    <row r="158">
      <c s="125" r="A158"/>
      <c s="125" r="B158"/>
      <c s="125" r="C158"/>
      <c s="125" r="D158"/>
      <c s="125" r="E158"/>
      <c s="125" r="F158"/>
      <c s="125" r="G158"/>
      <c s="125" r="H158"/>
      <c s="125" r="I158"/>
      <c s="125" r="J158"/>
      <c s="125" r="K158"/>
      <c s="125" r="L158"/>
      <c s="125" r="M158"/>
      <c s="125" r="N158"/>
      <c s="125" r="O158"/>
      <c s="125" r="P158"/>
      <c s="125" r="Q158"/>
      <c s="125" r="R158"/>
      <c s="125" r="S158"/>
      <c s="125" r="T158"/>
      <c s="125" r="U158"/>
      <c s="125" r="V158"/>
      <c s="125" r="W158"/>
      <c s="125" r="X158"/>
      <c s="125" r="Y158"/>
      <c s="125" r="Z158"/>
      <c s="125" r="AA158"/>
      <c s="125" r="AB158"/>
      <c s="125" r="AC158"/>
      <c s="822" r="AD158"/>
      <c s="865" r="AE158"/>
      <c t="s" s="742" r="AF158">
        <v>469</v>
      </c>
      <c t="str" s="38" r="AG158">
        <f>0&amp;"    -"</f>
        <v>0    -</v>
      </c>
      <c s="357" r="AH158">
        <v>0.062</v>
      </c>
      <c s="426" r="AI158"/>
      <c t="str" s="42" r="AJ158">
        <f>(AI158/AI$182)+AJ157</f>
        <v>#DIV/0!:divZero</v>
      </c>
      <c t="str" s="619" r="AK158">
        <f>IF(OR((SUM(AI$158:AI159)=0),(SUM(AI158:AI$181)=0)),NA(),AJ158)</f>
        <v>#N/A:explicit</v>
      </c>
      <c t="str" s="72" r="AL158">
        <f>IF(ISBLANK(AE156),"",AE156)</f>
        <v>Facies #4</v>
      </c>
      <c s="908" r="AM158"/>
      <c s="8" r="AN158"/>
      <c s="551" r="AO158"/>
      <c s="472" r="AP158"/>
      <c s="472" r="AQ158"/>
      <c s="472" r="AR158"/>
      <c s="472" r="AS158"/>
      <c s="472" r="AT158"/>
      <c s="472" r="AU158"/>
      <c s="472" r="AV158"/>
      <c s="323" r="AW158"/>
      <c s="51" r="AX158"/>
      <c s="125" r="AY158"/>
      <c s="125" r="AZ158"/>
      <c s="125" r="BA158"/>
      <c s="125" r="BB158"/>
      <c s="125" r="BC158"/>
      <c s="125" r="BD158"/>
      <c s="125" r="BE158"/>
      <c s="341" r="BF158"/>
      <c s="761" r="BG158"/>
      <c s="125" r="BH158"/>
      <c s="125" r="BI158"/>
      <c s="125" r="BJ158"/>
      <c s="125" r="BK158"/>
      <c s="125" r="BL158"/>
      <c s="125" r="BM158"/>
      <c s="125" r="BN158"/>
      <c s="125" r="BO158"/>
      <c s="125" r="BP158"/>
      <c s="125" r="BQ158"/>
      <c s="125" r="BR158"/>
      <c s="125" r="BS158"/>
      <c s="125" r="BT158"/>
      <c s="125" r="BU158"/>
      <c s="125" r="BV158"/>
      <c s="125" r="BW158"/>
      <c s="125" r="BX158"/>
      <c s="125" r="BY158"/>
      <c s="125" r="BZ158"/>
      <c s="125" r="CA158"/>
      <c s="125" r="CB158"/>
      <c s="125" r="CC158"/>
      <c s="125" r="CD158"/>
      <c s="125" r="CE158"/>
      <c s="125" r="CF158"/>
      <c s="125" r="CG158"/>
      <c s="125" r="CH158"/>
      <c s="125" r="CI158"/>
      <c s="125" r="CJ158"/>
      <c s="125" r="CK158"/>
      <c s="125" r="CL158"/>
    </row>
    <row r="159">
      <c s="125" r="A159"/>
      <c s="125" r="B159"/>
      <c s="125" r="C159"/>
      <c s="125" r="D159"/>
      <c s="125" r="E159"/>
      <c s="125" r="F159"/>
      <c s="125" r="G159"/>
      <c s="125" r="H159"/>
      <c s="125" r="I159"/>
      <c s="125" r="J159"/>
      <c s="125" r="K159"/>
      <c s="125" r="L159"/>
      <c s="125" r="M159"/>
      <c s="125" r="N159"/>
      <c s="125" r="O159"/>
      <c s="125" r="P159"/>
      <c s="125" r="Q159"/>
      <c s="125" r="R159"/>
      <c s="125" r="S159"/>
      <c s="125" r="T159"/>
      <c s="125" r="U159"/>
      <c s="125" r="V159"/>
      <c s="125" r="W159"/>
      <c s="125" r="X159"/>
      <c s="125" r="Y159"/>
      <c s="125" r="Z159"/>
      <c s="125" r="AA159"/>
      <c s="125" r="AB159"/>
      <c s="125" r="AC159"/>
      <c s="822" r="AD159"/>
      <c s="511" r="AE159"/>
      <c t="s" s="416" r="AF159">
        <v>473</v>
      </c>
      <c t="str" s="141" r="AG159">
        <f>0.062&amp;"  -"</f>
        <v>0.062  -</v>
      </c>
      <c s="114" r="AH159">
        <v>0.125</v>
      </c>
      <c s="550" r="AI159"/>
      <c t="str" s="42" r="AJ159">
        <f>(AI159/AI$182)+AJ158</f>
        <v>#DIV/0!:divZero</v>
      </c>
      <c t="str" s="619" r="AK159">
        <f>IF(OR((SUM(AI$158:AI160)=0),(SUM(AI159:AI$181)=0)),NA(),AJ159)</f>
        <v>#N/A:explicit</v>
      </c>
      <c t="str" s="72" r="AL159">
        <f>$D$33</f>
        <v>---</v>
      </c>
      <c s="908" r="AM159"/>
      <c s="8" r="AN159"/>
      <c s="472" r="AO159"/>
      <c s="472" r="AP159"/>
      <c s="472" r="AQ159"/>
      <c s="472" r="AR159"/>
      <c s="472" r="AS159"/>
      <c s="472" r="AT159"/>
      <c s="472" r="AU159"/>
      <c s="472" r="AV159"/>
      <c s="323" r="AW159"/>
      <c s="51" r="AX159"/>
      <c s="125" r="AY159"/>
      <c s="125" r="AZ159"/>
      <c s="125" r="BA159"/>
      <c s="125" r="BB159"/>
      <c s="125" r="BC159"/>
      <c s="125" r="BD159"/>
      <c s="125" r="BE159"/>
      <c s="341" r="BF159"/>
      <c s="761" r="BG159"/>
      <c s="125" r="BH159"/>
      <c s="125" r="BI159"/>
      <c s="125" r="BJ159"/>
      <c s="125" r="BK159"/>
      <c s="125" r="BL159"/>
      <c s="125" r="BM159"/>
      <c s="125" r="BN159"/>
      <c s="125" r="BO159"/>
      <c s="125" r="BP159"/>
      <c s="125" r="BQ159"/>
      <c s="125" r="BR159"/>
      <c s="125" r="BS159"/>
      <c s="125" r="BT159"/>
      <c s="125" r="BU159"/>
      <c s="125" r="BV159"/>
      <c s="125" r="BW159"/>
      <c s="125" r="BX159"/>
      <c s="125" r="BY159"/>
      <c s="125" r="BZ159"/>
      <c s="125" r="CA159"/>
      <c s="125" r="CB159"/>
      <c s="125" r="CC159"/>
      <c s="125" r="CD159"/>
      <c s="125" r="CE159"/>
      <c s="125" r="CF159"/>
      <c s="125" r="CG159"/>
      <c s="125" r="CH159"/>
      <c s="125" r="CI159"/>
      <c s="125" r="CJ159"/>
      <c s="125" r="CK159"/>
      <c s="125" r="CL159"/>
    </row>
    <row r="160">
      <c s="125" r="A160"/>
      <c s="125" r="B160"/>
      <c s="125" r="C160"/>
      <c s="125" r="D160"/>
      <c s="125" r="E160"/>
      <c s="125" r="F160"/>
      <c s="125" r="G160"/>
      <c s="125" r="H160"/>
      <c s="125" r="I160"/>
      <c s="125" r="J160"/>
      <c s="125" r="K160"/>
      <c s="125" r="L160"/>
      <c s="125" r="M160"/>
      <c s="125" r="N160"/>
      <c s="125" r="O160"/>
      <c s="125" r="P160"/>
      <c s="125" r="Q160"/>
      <c s="125" r="R160"/>
      <c s="125" r="S160"/>
      <c s="125" r="T160"/>
      <c s="125" r="U160"/>
      <c s="125" r="V160"/>
      <c s="125" r="W160"/>
      <c s="125" r="X160"/>
      <c s="125" r="Y160"/>
      <c s="125" r="Z160"/>
      <c s="125" r="AA160"/>
      <c s="125" r="AB160"/>
      <c s="125" r="AC160"/>
      <c s="822" r="AD160"/>
      <c s="217" r="AE160"/>
      <c t="s" s="294" r="AF160">
        <v>479</v>
      </c>
      <c t="str" s="817" r="AG160">
        <f>0.125&amp;"  -"</f>
        <v>0.125  -</v>
      </c>
      <c s="512" r="AH160">
        <v>0.25</v>
      </c>
      <c s="550" r="AI160"/>
      <c t="str" s="42" r="AJ160">
        <f>(AI160/AI$182)+AJ159</f>
        <v>#DIV/0!:divZero</v>
      </c>
      <c t="str" s="619" r="AK160">
        <f>IF(OR((SUM(AI$158:AI161)=0),(SUM(AI160:AI$181)=0)),NA(),AJ160)</f>
        <v>#N/A:explicit</v>
      </c>
      <c s="72" r="AL160"/>
      <c s="908" r="AM160"/>
      <c s="8" r="AN160"/>
      <c s="375" r="AO160"/>
      <c s="505" r="AP160"/>
      <c s="505" r="AQ160"/>
      <c s="505" r="AR160"/>
      <c s="375" r="AS160"/>
      <c s="375" r="AT160"/>
      <c s="375" r="AU160"/>
      <c s="375" r="AV160"/>
      <c s="809" r="AW160"/>
      <c s="51" r="AX160"/>
      <c s="125" r="AY160"/>
      <c s="125" r="AZ160"/>
      <c s="125" r="BA160"/>
      <c s="125" r="BB160"/>
      <c s="125" r="BC160"/>
      <c s="125" r="BD160"/>
      <c s="125" r="BE160"/>
      <c s="341" r="BF160"/>
      <c s="761" r="BG160"/>
      <c s="125" r="BH160"/>
      <c s="125" r="BI160"/>
      <c s="125" r="BJ160"/>
      <c s="125" r="BK160"/>
      <c s="125" r="BL160"/>
      <c s="125" r="BM160"/>
      <c s="125" r="BN160"/>
      <c s="125" r="BO160"/>
      <c s="125" r="BP160"/>
      <c s="125" r="BQ160"/>
      <c s="125" r="BR160"/>
      <c s="125" r="BS160"/>
      <c s="125" r="BT160"/>
      <c s="125" r="BU160"/>
      <c s="125" r="BV160"/>
      <c s="125" r="BW160"/>
      <c s="125" r="BX160"/>
      <c s="125" r="BY160"/>
      <c s="125" r="BZ160"/>
      <c s="125" r="CA160"/>
      <c s="125" r="CB160"/>
      <c s="125" r="CC160"/>
      <c s="125" r="CD160"/>
      <c s="125" r="CE160"/>
      <c s="125" r="CF160"/>
      <c s="125" r="CG160"/>
      <c s="125" r="CH160"/>
      <c s="125" r="CI160"/>
      <c s="125" r="CJ160"/>
      <c s="125" r="CK160"/>
      <c s="125" r="CL160"/>
    </row>
    <row r="161">
      <c s="125" r="A161"/>
      <c s="125" r="B161"/>
      <c s="125" r="C161"/>
      <c s="125" r="D161"/>
      <c s="125" r="E161"/>
      <c s="125" r="F161"/>
      <c s="125" r="G161"/>
      <c s="125" r="H161"/>
      <c s="125" r="I161"/>
      <c s="125" r="J161"/>
      <c s="125" r="K161"/>
      <c s="125" r="L161"/>
      <c s="125" r="M161"/>
      <c s="125" r="N161"/>
      <c s="125" r="O161"/>
      <c s="125" r="P161"/>
      <c s="125" r="Q161"/>
      <c s="125" r="R161"/>
      <c s="125" r="S161"/>
      <c s="125" r="T161"/>
      <c s="125" r="U161"/>
      <c s="125" r="V161"/>
      <c s="125" r="W161"/>
      <c s="125" r="X161"/>
      <c s="125" r="Y161"/>
      <c s="125" r="Z161"/>
      <c s="125" r="AA161"/>
      <c s="125" r="AB161"/>
      <c s="125" r="AC161"/>
      <c s="822" r="AD161"/>
      <c s="217" r="AE161"/>
      <c t="s" s="294" r="AF161">
        <v>487</v>
      </c>
      <c t="str" s="817" r="AG161">
        <f>0.25&amp;"  -"</f>
        <v>0.25  -</v>
      </c>
      <c s="674" r="AH161">
        <v>0.5</v>
      </c>
      <c s="550" r="AI161"/>
      <c t="str" s="42" r="AJ161">
        <f>(AI161/AI$182)+AJ160</f>
        <v>#DIV/0!:divZero</v>
      </c>
      <c t="str" s="619" r="AK161">
        <f>IF(OR((SUM(AI$158:AI162)=0),(SUM(AI161:AI$181)=0)),NA(),AJ161)</f>
        <v>#N/A:explicit</v>
      </c>
      <c s="72" r="AL161"/>
      <c s="908" r="AM161"/>
      <c s="551" r="AN161"/>
      <c s="551" r="AO161"/>
      <c s="551" r="AP161"/>
      <c s="551" r="AQ161"/>
      <c s="551" r="AR161"/>
      <c s="551" r="AS161"/>
      <c s="551" r="AT161"/>
      <c s="551" r="AU161"/>
      <c s="551" r="AV161"/>
      <c s="671" r="AW161"/>
      <c s="51" r="AX161"/>
      <c s="125" r="AY161"/>
      <c s="125" r="AZ161"/>
      <c s="125" r="BA161"/>
      <c s="125" r="BB161"/>
      <c s="125" r="BC161"/>
      <c s="125" r="BD161"/>
      <c s="125" r="BE161"/>
      <c s="341" r="BF161"/>
      <c s="761" r="BG161"/>
      <c s="125" r="BH161"/>
      <c s="125" r="BI161"/>
      <c s="125" r="BJ161"/>
      <c s="125" r="BK161"/>
      <c s="125" r="BL161"/>
      <c s="125" r="BM161"/>
      <c s="125" r="BN161"/>
      <c s="125" r="BO161"/>
      <c s="125" r="BP161"/>
      <c s="125" r="BQ161"/>
      <c s="125" r="BR161"/>
      <c s="125" r="BS161"/>
      <c s="125" r="BT161"/>
      <c s="125" r="BU161"/>
      <c s="125" r="BV161"/>
      <c s="125" r="BW161"/>
      <c s="125" r="BX161"/>
      <c s="125" r="BY161"/>
      <c s="125" r="BZ161"/>
      <c s="125" r="CA161"/>
      <c s="125" r="CB161"/>
      <c s="125" r="CC161"/>
      <c s="125" r="CD161"/>
      <c s="125" r="CE161"/>
      <c s="125" r="CF161"/>
      <c s="125" r="CG161"/>
      <c s="125" r="CH161"/>
      <c s="125" r="CI161"/>
      <c s="125" r="CJ161"/>
      <c s="125" r="CK161"/>
      <c s="125" r="CL161"/>
    </row>
    <row r="162">
      <c s="125" r="A162"/>
      <c s="125" r="B162"/>
      <c s="125" r="C162"/>
      <c s="125" r="D162"/>
      <c s="125" r="E162"/>
      <c s="125" r="F162"/>
      <c s="125" r="G162"/>
      <c s="125" r="H162"/>
      <c s="125" r="I162"/>
      <c s="125" r="J162"/>
      <c s="125" r="K162"/>
      <c s="125" r="L162"/>
      <c s="125" r="M162"/>
      <c s="125" r="N162"/>
      <c s="125" r="O162"/>
      <c s="125" r="P162"/>
      <c s="125" r="Q162"/>
      <c s="125" r="R162"/>
      <c s="125" r="S162"/>
      <c s="125" r="T162"/>
      <c s="125" r="U162"/>
      <c s="125" r="V162"/>
      <c s="125" r="W162"/>
      <c s="125" r="X162"/>
      <c s="125" r="Y162"/>
      <c s="125" r="Z162"/>
      <c s="125" r="AA162"/>
      <c s="125" r="AB162"/>
      <c s="125" r="AC162"/>
      <c s="822" r="AD162"/>
      <c s="217" r="AE162"/>
      <c t="s" s="294" r="AF162">
        <v>492</v>
      </c>
      <c t="str" s="534" r="AG162">
        <f>0.5&amp;"  -"</f>
        <v>0.5  -</v>
      </c>
      <c s="411" r="AH162">
        <v>1</v>
      </c>
      <c s="550" r="AI162"/>
      <c t="str" s="42" r="AJ162">
        <f>(AI162/AI$182)+AJ161</f>
        <v>#DIV/0!:divZero</v>
      </c>
      <c t="str" s="619" r="AK162">
        <f>IF(OR((SUM(AI$158:AI163)=0),(SUM(AI162:AI$181)=0)),NA(),AJ162)</f>
        <v>#N/A:explicit</v>
      </c>
      <c s="72" r="AL162"/>
      <c s="908" r="AM162"/>
      <c s="551" r="AN162"/>
      <c s="551" r="AO162"/>
      <c s="551" r="AP162"/>
      <c s="551" r="AQ162"/>
      <c s="551" r="AR162"/>
      <c s="551" r="AS162"/>
      <c s="551" r="AT162"/>
      <c s="551" r="AU162"/>
      <c s="551" r="AV162"/>
      <c s="671" r="AW162"/>
      <c s="51" r="AX162"/>
      <c s="125" r="AY162"/>
      <c s="125" r="AZ162"/>
      <c s="125" r="BA162"/>
      <c s="125" r="BB162"/>
      <c s="125" r="BC162"/>
      <c s="125" r="BD162"/>
      <c s="125" r="BE162"/>
      <c s="341" r="BF162"/>
      <c s="761" r="BG162"/>
      <c s="125" r="BH162"/>
      <c s="125" r="BI162"/>
      <c s="125" r="BJ162"/>
      <c s="125" r="BK162"/>
      <c s="125" r="BL162"/>
      <c s="125" r="BM162"/>
      <c s="125" r="BN162"/>
      <c s="125" r="BO162"/>
      <c s="125" r="BP162"/>
      <c s="125" r="BQ162"/>
      <c s="125" r="BR162"/>
      <c s="125" r="BS162"/>
      <c s="125" r="BT162"/>
      <c s="125" r="BU162"/>
      <c s="125" r="BV162"/>
      <c s="125" r="BW162"/>
      <c s="125" r="BX162"/>
      <c s="125" r="BY162"/>
      <c s="125" r="BZ162"/>
      <c s="125" r="CA162"/>
      <c s="125" r="CB162"/>
      <c s="125" r="CC162"/>
      <c s="125" r="CD162"/>
      <c s="125" r="CE162"/>
      <c s="125" r="CF162"/>
      <c s="125" r="CG162"/>
      <c s="125" r="CH162"/>
      <c s="125" r="CI162"/>
      <c s="125" r="CJ162"/>
      <c s="125" r="CK162"/>
      <c s="125" r="CL162"/>
    </row>
    <row r="163">
      <c s="125" r="A163"/>
      <c s="125" r="B163"/>
      <c s="125" r="C163"/>
      <c s="125" r="D163"/>
      <c s="125" r="E163"/>
      <c s="125" r="F163"/>
      <c s="125" r="G163"/>
      <c s="125" r="H163"/>
      <c s="125" r="I163"/>
      <c s="125" r="J163"/>
      <c s="125" r="K163"/>
      <c s="125" r="L163"/>
      <c s="125" r="M163"/>
      <c s="125" r="N163"/>
      <c s="125" r="O163"/>
      <c s="125" r="P163"/>
      <c s="125" r="Q163"/>
      <c s="125" r="R163"/>
      <c s="125" r="S163"/>
      <c s="125" r="T163"/>
      <c s="125" r="U163"/>
      <c s="125" r="V163"/>
      <c s="125" r="W163"/>
      <c s="125" r="X163"/>
      <c s="125" r="Y163"/>
      <c s="125" r="Z163"/>
      <c s="125" r="AA163"/>
      <c s="125" r="AB163"/>
      <c s="125" r="AC163"/>
      <c s="822" r="AD163"/>
      <c s="460" r="AE163"/>
      <c t="s" s="18" r="AF163">
        <v>496</v>
      </c>
      <c t="str" s="658" r="AG163">
        <f>1&amp;"  -"</f>
        <v>1  -</v>
      </c>
      <c s="672" r="AH163">
        <v>2</v>
      </c>
      <c s="550" r="AI163"/>
      <c t="str" s="42" r="AJ163">
        <f>(AI163/AI$182)+AJ162</f>
        <v>#DIV/0!:divZero</v>
      </c>
      <c t="str" s="619" r="AK163">
        <f>IF(OR((SUM(AI$158:AI164)=0),(SUM(AI163:AI$181)=0)),NA(),AJ163)</f>
        <v>#N/A:explicit</v>
      </c>
      <c s="72" r="AL163"/>
      <c s="908" r="AM163"/>
      <c s="551" r="AN163"/>
      <c s="551" r="AO163"/>
      <c s="551" r="AP163"/>
      <c s="551" r="AQ163"/>
      <c s="551" r="AR163"/>
      <c s="551" r="AS163"/>
      <c s="551" r="AT163"/>
      <c s="551" r="AU163"/>
      <c s="551" r="AV163"/>
      <c s="671" r="AW163"/>
      <c s="51" r="AX163"/>
      <c s="125" r="AY163"/>
      <c s="125" r="AZ163"/>
      <c s="125" r="BA163"/>
      <c s="125" r="BB163"/>
      <c s="125" r="BC163"/>
      <c s="125" r="BD163"/>
      <c s="125" r="BE163"/>
      <c s="341" r="BF163"/>
      <c s="761" r="BG163"/>
      <c s="125" r="BH163"/>
      <c s="125" r="BI163"/>
      <c s="125" r="BJ163"/>
      <c s="125" r="BK163"/>
      <c s="125" r="BL163"/>
      <c s="125" r="BM163"/>
      <c s="125" r="BN163"/>
      <c s="125" r="BO163"/>
      <c s="125" r="BP163"/>
      <c s="125" r="BQ163"/>
      <c s="125" r="BR163"/>
      <c s="125" r="BS163"/>
      <c s="125" r="BT163"/>
      <c s="125" r="BU163"/>
      <c s="125" r="BV163"/>
      <c s="125" r="BW163"/>
      <c s="125" r="BX163"/>
      <c s="125" r="BY163"/>
      <c s="125" r="BZ163"/>
      <c s="125" r="CA163"/>
      <c s="125" r="CB163"/>
      <c s="125" r="CC163"/>
      <c s="125" r="CD163"/>
      <c s="125" r="CE163"/>
      <c s="125" r="CF163"/>
      <c s="125" r="CG163"/>
      <c s="125" r="CH163"/>
      <c s="125" r="CI163"/>
      <c s="125" r="CJ163"/>
      <c s="125" r="CK163"/>
      <c s="125" r="CL163"/>
    </row>
    <row r="164">
      <c s="125" r="A164"/>
      <c s="125" r="B164"/>
      <c s="125" r="C164"/>
      <c s="125" r="D164"/>
      <c s="125" r="E164"/>
      <c s="125" r="F164"/>
      <c s="125" r="G164"/>
      <c s="125" r="H164"/>
      <c s="125" r="I164"/>
      <c s="125" r="J164"/>
      <c s="125" r="K164"/>
      <c s="125" r="L164"/>
      <c s="125" r="M164"/>
      <c s="125" r="N164"/>
      <c s="125" r="O164"/>
      <c s="125" r="P164"/>
      <c s="125" r="Q164"/>
      <c s="125" r="R164"/>
      <c s="125" r="S164"/>
      <c s="125" r="T164"/>
      <c s="125" r="U164"/>
      <c s="125" r="V164"/>
      <c s="125" r="W164"/>
      <c s="125" r="X164"/>
      <c s="125" r="Y164"/>
      <c s="125" r="Z164"/>
      <c s="125" r="AA164"/>
      <c s="125" r="AB164"/>
      <c s="125" r="AC164"/>
      <c s="822" r="AD164"/>
      <c s="779" r="AE164"/>
      <c t="s" s="880" r="AF164">
        <v>467</v>
      </c>
      <c t="str" s="73" r="AG164">
        <f>2&amp;"  -"</f>
        <v>2  -</v>
      </c>
      <c s="860" r="AH164">
        <v>4</v>
      </c>
      <c s="550" r="AI164"/>
      <c t="str" s="42" r="AJ164">
        <f>(AI164/AI$182)+AJ163</f>
        <v>#DIV/0!:divZero</v>
      </c>
      <c t="str" s="619" r="AK164">
        <f>IF(OR((SUM(AI$158:AI165)=0),(SUM(AI164:AI$181)=0)),NA(),AJ164)</f>
        <v>#N/A:explicit</v>
      </c>
      <c s="72" r="AL164"/>
      <c s="908" r="AM164"/>
      <c s="551" r="AN164"/>
      <c s="551" r="AO164"/>
      <c s="551" r="AP164"/>
      <c s="551" r="AQ164"/>
      <c s="551" r="AR164"/>
      <c s="551" r="AS164"/>
      <c s="551" r="AT164"/>
      <c s="551" r="AU164"/>
      <c s="551" r="AV164"/>
      <c s="671" r="AW164"/>
      <c s="51" r="AX164"/>
      <c s="125" r="AY164"/>
      <c s="125" r="AZ164"/>
      <c s="125" r="BA164"/>
      <c s="125" r="BB164"/>
      <c s="125" r="BC164"/>
      <c s="125" r="BD164"/>
      <c s="125" r="BE164"/>
      <c s="341" r="BF164"/>
      <c s="761" r="BG164"/>
      <c s="125" r="BH164"/>
      <c s="125" r="BI164"/>
      <c s="125" r="BJ164"/>
      <c s="125" r="BK164"/>
      <c s="125" r="BL164"/>
      <c s="125" r="BM164"/>
      <c s="125" r="BN164"/>
      <c s="125" r="BO164"/>
      <c s="125" r="BP164"/>
      <c s="125" r="BQ164"/>
      <c s="125" r="BR164"/>
      <c s="125" r="BS164"/>
      <c s="125" r="BT164"/>
      <c s="125" r="BU164"/>
      <c s="125" r="BV164"/>
      <c s="125" r="BW164"/>
      <c s="125" r="BX164"/>
      <c s="125" r="BY164"/>
      <c s="125" r="BZ164"/>
      <c s="125" r="CA164"/>
      <c s="125" r="CB164"/>
      <c s="125" r="CC164"/>
      <c s="125" r="CD164"/>
      <c s="125" r="CE164"/>
      <c s="125" r="CF164"/>
      <c s="125" r="CG164"/>
      <c s="125" r="CH164"/>
      <c s="125" r="CI164"/>
      <c s="125" r="CJ164"/>
      <c s="125" r="CK164"/>
      <c s="125" r="CL164"/>
    </row>
    <row r="165">
      <c s="125" r="A165"/>
      <c s="125" r="B165"/>
      <c s="125" r="C165"/>
      <c s="125" r="D165"/>
      <c s="125" r="E165"/>
      <c s="125" r="F165"/>
      <c s="125" r="G165"/>
      <c s="125" r="H165"/>
      <c s="125" r="I165"/>
      <c s="125" r="J165"/>
      <c s="125" r="K165"/>
      <c s="125" r="L165"/>
      <c s="125" r="M165"/>
      <c s="125" r="N165"/>
      <c s="125" r="O165"/>
      <c s="125" r="P165"/>
      <c s="125" r="Q165"/>
      <c s="125" r="R165"/>
      <c s="125" r="S165"/>
      <c s="125" r="T165"/>
      <c s="125" r="U165"/>
      <c s="125" r="V165"/>
      <c s="125" r="W165"/>
      <c s="125" r="X165"/>
      <c s="125" r="Y165"/>
      <c s="125" r="Z165"/>
      <c s="125" r="AA165"/>
      <c s="125" r="AB165"/>
      <c s="125" r="AC165"/>
      <c s="822" r="AD165"/>
      <c s="217" r="AE165"/>
      <c t="s" s="294" r="AF165">
        <v>471</v>
      </c>
      <c t="str" s="595" r="AG165">
        <f>4&amp;"  -"</f>
        <v>4  -</v>
      </c>
      <c s="411" r="AH165">
        <v>6</v>
      </c>
      <c s="550" r="AI165"/>
      <c t="str" s="42" r="AJ165">
        <f>(AI165/AI$182)+AJ164</f>
        <v>#DIV/0!:divZero</v>
      </c>
      <c t="str" s="619" r="AK165">
        <f>IF(OR((SUM(AI$158:AI166)=0),(SUM(AI165:AI$181)=0)),NA(),AJ165)</f>
        <v>#N/A:explicit</v>
      </c>
      <c s="72" r="AL165"/>
      <c s="908" r="AM165"/>
      <c s="551" r="AN165"/>
      <c s="551" r="AO165"/>
      <c s="551" r="AP165"/>
      <c s="551" r="AQ165"/>
      <c s="551" r="AR165"/>
      <c s="551" r="AS165"/>
      <c s="551" r="AT165"/>
      <c s="551" r="AU165"/>
      <c s="551" r="AV165"/>
      <c s="671" r="AW165"/>
      <c s="51" r="AX165"/>
      <c s="125" r="AY165"/>
      <c s="125" r="AZ165"/>
      <c s="125" r="BA165"/>
      <c s="125" r="BB165"/>
      <c s="125" r="BC165"/>
      <c s="125" r="BD165"/>
      <c s="125" r="BE165"/>
      <c s="341" r="BF165"/>
      <c s="761" r="BG165"/>
      <c s="125" r="BH165"/>
      <c s="125" r="BI165"/>
      <c s="125" r="BJ165"/>
      <c s="125" r="BK165"/>
      <c s="125" r="BL165"/>
      <c s="125" r="BM165"/>
      <c s="125" r="BN165"/>
      <c s="125" r="BO165"/>
      <c s="125" r="BP165"/>
      <c s="125" r="BQ165"/>
      <c s="125" r="BR165"/>
      <c s="125" r="BS165"/>
      <c s="125" r="BT165"/>
      <c s="125" r="BU165"/>
      <c s="125" r="BV165"/>
      <c s="125" r="BW165"/>
      <c s="125" r="BX165"/>
      <c s="125" r="BY165"/>
      <c s="125" r="BZ165"/>
      <c s="125" r="CA165"/>
      <c s="125" r="CB165"/>
      <c s="125" r="CC165"/>
      <c s="125" r="CD165"/>
      <c s="125" r="CE165"/>
      <c s="125" r="CF165"/>
      <c s="125" r="CG165"/>
      <c s="125" r="CH165"/>
      <c s="125" r="CI165"/>
      <c s="125" r="CJ165"/>
      <c s="125" r="CK165"/>
      <c s="125" r="CL165"/>
    </row>
    <row r="166">
      <c s="125" r="A166"/>
      <c s="125" r="B166"/>
      <c s="125" r="C166"/>
      <c s="125" r="D166"/>
      <c s="125" r="E166"/>
      <c s="125" r="F166"/>
      <c s="125" r="G166"/>
      <c s="125" r="H166"/>
      <c s="125" r="I166"/>
      <c s="125" r="J166"/>
      <c s="125" r="K166"/>
      <c s="125" r="L166"/>
      <c s="125" r="M166"/>
      <c s="125" r="N166"/>
      <c s="125" r="O166"/>
      <c s="125" r="P166"/>
      <c s="125" r="Q166"/>
      <c s="125" r="R166"/>
      <c s="125" r="S166"/>
      <c s="125" r="T166"/>
      <c s="125" r="U166"/>
      <c s="125" r="V166"/>
      <c s="125" r="W166"/>
      <c s="125" r="X166"/>
      <c s="125" r="Y166"/>
      <c s="125" r="Z166"/>
      <c s="125" r="AA166"/>
      <c s="125" r="AB166"/>
      <c s="125" r="AC166"/>
      <c s="822" r="AD166"/>
      <c s="217" r="AE166"/>
      <c t="s" s="294" r="AF166">
        <v>471</v>
      </c>
      <c t="str" s="595" r="AG166">
        <f>6&amp;"  -"</f>
        <v>6  -</v>
      </c>
      <c s="411" r="AH166">
        <v>8</v>
      </c>
      <c s="550" r="AI166"/>
      <c t="str" s="42" r="AJ166">
        <f>(AI166/AI$182)+AJ165</f>
        <v>#DIV/0!:divZero</v>
      </c>
      <c t="str" s="619" r="AK166">
        <f>IF(OR((SUM(AI$158:AI167)=0),(SUM(AI166:AI$181)=0)),NA(),AJ166)</f>
        <v>#N/A:explicit</v>
      </c>
      <c s="72" r="AL166"/>
      <c s="908" r="AM166"/>
      <c s="551" r="AN166"/>
      <c s="551" r="AO166"/>
      <c s="551" r="AP166"/>
      <c s="551" r="AQ166"/>
      <c s="551" r="AR166"/>
      <c s="551" r="AS166"/>
      <c s="551" r="AT166"/>
      <c s="551" r="AU166"/>
      <c s="551" r="AV166"/>
      <c s="671" r="AW166"/>
      <c s="51" r="AX166"/>
      <c s="125" r="AY166"/>
      <c s="125" r="AZ166"/>
      <c s="125" r="BA166"/>
      <c s="125" r="BB166"/>
      <c s="125" r="BC166"/>
      <c s="125" r="BD166"/>
      <c s="125" r="BE166"/>
      <c s="341" r="BF166"/>
      <c s="761" r="BG166"/>
      <c s="125" r="BH166"/>
      <c s="125" r="BI166"/>
      <c s="125" r="BJ166"/>
      <c s="125" r="BK166"/>
      <c s="125" r="BL166"/>
      <c s="125" r="BM166"/>
      <c s="125" r="BN166"/>
      <c s="125" r="BO166"/>
      <c s="125" r="BP166"/>
      <c s="125" r="BQ166"/>
      <c s="125" r="BR166"/>
      <c s="125" r="BS166"/>
      <c s="125" r="BT166"/>
      <c s="125" r="BU166"/>
      <c s="125" r="BV166"/>
      <c s="125" r="BW166"/>
      <c s="125" r="BX166"/>
      <c s="125" r="BY166"/>
      <c s="125" r="BZ166"/>
      <c s="125" r="CA166"/>
      <c s="125" r="CB166"/>
      <c s="125" r="CC166"/>
      <c s="125" r="CD166"/>
      <c s="125" r="CE166"/>
      <c s="125" r="CF166"/>
      <c s="125" r="CG166"/>
      <c s="125" r="CH166"/>
      <c s="125" r="CI166"/>
      <c s="125" r="CJ166"/>
      <c s="125" r="CK166"/>
      <c s="125" r="CL166"/>
    </row>
    <row r="167">
      <c s="125" r="A167"/>
      <c s="125" r="B167"/>
      <c s="125" r="C167"/>
      <c s="125" r="D167"/>
      <c s="125" r="E167"/>
      <c s="125" r="F167"/>
      <c s="125" r="G167"/>
      <c s="125" r="H167"/>
      <c s="125" r="I167"/>
      <c s="125" r="J167"/>
      <c s="125" r="K167"/>
      <c s="125" r="L167"/>
      <c s="125" r="M167"/>
      <c s="125" r="N167"/>
      <c s="125" r="O167"/>
      <c s="125" r="P167"/>
      <c s="125" r="Q167"/>
      <c s="125" r="R167"/>
      <c s="125" r="S167"/>
      <c s="125" r="T167"/>
      <c s="125" r="U167"/>
      <c s="125" r="V167"/>
      <c s="125" r="W167"/>
      <c s="125" r="X167"/>
      <c s="125" r="Y167"/>
      <c s="125" r="Z167"/>
      <c s="125" r="AA167"/>
      <c s="125" r="AB167"/>
      <c s="125" r="AC167"/>
      <c s="822" r="AD167"/>
      <c s="217" r="AE167"/>
      <c t="s" s="294" r="AF167">
        <v>485</v>
      </c>
      <c t="str" s="595" r="AG167">
        <f>8&amp;"  -"</f>
        <v>8  -</v>
      </c>
      <c s="411" r="AH167">
        <v>11</v>
      </c>
      <c s="550" r="AI167"/>
      <c t="str" s="42" r="AJ167">
        <f>(AI167/AI$182)+AJ166</f>
        <v>#DIV/0!:divZero</v>
      </c>
      <c t="str" s="619" r="AK167">
        <f>IF(OR((SUM(AI$158:AI168)=0),(SUM(AI167:AI$181)=0)),NA(),AJ167)</f>
        <v>#N/A:explicit</v>
      </c>
      <c s="72" r="AL167"/>
      <c s="908" r="AM167"/>
      <c s="551" r="AN167"/>
      <c s="551" r="AO167"/>
      <c s="551" r="AP167"/>
      <c s="551" r="AQ167"/>
      <c s="551" r="AR167"/>
      <c s="551" r="AS167"/>
      <c s="551" r="AT167"/>
      <c s="551" r="AU167"/>
      <c s="551" r="AV167"/>
      <c s="671" r="AW167"/>
      <c s="51" r="AX167"/>
      <c s="125" r="AY167"/>
      <c s="125" r="AZ167"/>
      <c s="125" r="BA167"/>
      <c s="125" r="BB167"/>
      <c s="125" r="BC167"/>
      <c s="125" r="BD167"/>
      <c s="125" r="BE167"/>
      <c s="341" r="BF167"/>
      <c s="761" r="BG167"/>
      <c s="125" r="BH167"/>
      <c s="125" r="BI167"/>
      <c s="125" r="BJ167"/>
      <c s="125" r="BK167"/>
      <c s="125" r="BL167"/>
      <c s="125" r="BM167"/>
      <c s="125" r="BN167"/>
      <c s="125" r="BO167"/>
      <c s="125" r="BP167"/>
      <c s="125" r="BQ167"/>
      <c s="125" r="BR167"/>
      <c s="125" r="BS167"/>
      <c s="125" r="BT167"/>
      <c s="125" r="BU167"/>
      <c s="125" r="BV167"/>
      <c s="125" r="BW167"/>
      <c s="125" r="BX167"/>
      <c s="125" r="BY167"/>
      <c s="125" r="BZ167"/>
      <c s="125" r="CA167"/>
      <c s="125" r="CB167"/>
      <c s="125" r="CC167"/>
      <c s="125" r="CD167"/>
      <c s="125" r="CE167"/>
      <c s="125" r="CF167"/>
      <c s="125" r="CG167"/>
      <c s="125" r="CH167"/>
      <c s="125" r="CI167"/>
      <c s="125" r="CJ167"/>
      <c s="125" r="CK167"/>
      <c s="125" r="CL167"/>
    </row>
    <row r="168">
      <c s="125" r="A168"/>
      <c s="125" r="B168"/>
      <c s="125" r="C168"/>
      <c s="125" r="D168"/>
      <c s="125" r="E168"/>
      <c s="125" r="F168"/>
      <c s="125" r="G168"/>
      <c s="125" r="H168"/>
      <c s="125" r="I168"/>
      <c s="125" r="J168"/>
      <c s="125" r="K168"/>
      <c s="125" r="L168"/>
      <c s="125" r="M168"/>
      <c s="125" r="N168"/>
      <c s="125" r="O168"/>
      <c s="125" r="P168"/>
      <c s="125" r="Q168"/>
      <c s="125" r="R168"/>
      <c s="125" r="S168"/>
      <c s="125" r="T168"/>
      <c s="125" r="U168"/>
      <c s="125" r="V168"/>
      <c s="125" r="W168"/>
      <c s="125" r="X168"/>
      <c s="125" r="Y168"/>
      <c s="125" r="Z168"/>
      <c s="125" r="AA168"/>
      <c s="125" r="AB168"/>
      <c s="125" r="AC168"/>
      <c s="822" r="AD168"/>
      <c s="217" r="AE168"/>
      <c t="s" s="294" r="AF168">
        <v>485</v>
      </c>
      <c t="str" s="595" r="AG168">
        <f>11&amp;"  -"</f>
        <v>11  -</v>
      </c>
      <c s="411" r="AH168">
        <v>16</v>
      </c>
      <c s="550" r="AI168"/>
      <c t="str" s="42" r="AJ168">
        <f>(AI168/AI$182)+AJ167</f>
        <v>#DIV/0!:divZero</v>
      </c>
      <c t="str" s="619" r="AK168">
        <f>IF(OR((SUM(AI$158:AI169)=0),(SUM(AI168:AI$181)=0)),NA(),AJ168)</f>
        <v>#N/A:explicit</v>
      </c>
      <c s="140" r="AL168"/>
      <c s="908" r="AM168"/>
      <c s="551" r="AN168"/>
      <c s="551" r="AO168"/>
      <c s="551" r="AP168"/>
      <c s="551" r="AQ168"/>
      <c s="551" r="AR168"/>
      <c s="551" r="AS168"/>
      <c s="551" r="AT168"/>
      <c s="551" r="AU168"/>
      <c s="551" r="AV168"/>
      <c s="671" r="AW168"/>
      <c s="51" r="AX168"/>
      <c s="125" r="AY168"/>
      <c s="125" r="AZ168"/>
      <c s="125" r="BA168"/>
      <c s="125" r="BB168"/>
      <c s="125" r="BC168"/>
      <c s="125" r="BD168"/>
      <c s="125" r="BE168"/>
      <c s="341" r="BF168"/>
      <c s="761" r="BG168"/>
      <c s="125" r="BH168"/>
      <c s="125" r="BI168"/>
      <c s="125" r="BJ168"/>
      <c s="125" r="BK168"/>
      <c s="125" r="BL168"/>
      <c s="125" r="BM168"/>
      <c s="125" r="BN168"/>
      <c s="125" r="BO168"/>
      <c s="125" r="BP168"/>
      <c s="125" r="BQ168"/>
      <c s="125" r="BR168"/>
      <c s="125" r="BS168"/>
      <c s="125" r="BT168"/>
      <c s="125" r="BU168"/>
      <c s="125" r="BV168"/>
      <c s="125" r="BW168"/>
      <c s="125" r="BX168"/>
      <c s="125" r="BY168"/>
      <c s="125" r="BZ168"/>
      <c s="125" r="CA168"/>
      <c s="125" r="CB168"/>
      <c s="125" r="CC168"/>
      <c s="125" r="CD168"/>
      <c s="125" r="CE168"/>
      <c s="125" r="CF168"/>
      <c s="125" r="CG168"/>
      <c s="125" r="CH168"/>
      <c s="125" r="CI168"/>
      <c s="125" r="CJ168"/>
      <c s="125" r="CK168"/>
      <c s="125" r="CL168"/>
    </row>
    <row r="169">
      <c s="125" r="A169"/>
      <c s="125" r="B169"/>
      <c s="125" r="C169"/>
      <c s="125" r="D169"/>
      <c s="125" r="E169"/>
      <c s="125" r="F169"/>
      <c s="125" r="G169"/>
      <c s="125" r="H169"/>
      <c s="125" r="I169"/>
      <c s="125" r="J169"/>
      <c s="125" r="K169"/>
      <c s="125" r="L169"/>
      <c s="125" r="M169"/>
      <c s="125" r="N169"/>
      <c s="125" r="O169"/>
      <c s="125" r="P169"/>
      <c s="125" r="Q169"/>
      <c s="125" r="R169"/>
      <c s="125" r="S169"/>
      <c s="125" r="T169"/>
      <c s="125" r="U169"/>
      <c s="125" r="V169"/>
      <c s="125" r="W169"/>
      <c s="125" r="X169"/>
      <c s="125" r="Y169"/>
      <c s="125" r="Z169"/>
      <c s="125" r="AA169"/>
      <c s="125" r="AB169"/>
      <c s="125" r="AC169"/>
      <c s="822" r="AD169"/>
      <c s="217" r="AE169"/>
      <c t="s" s="294" r="AF169">
        <v>494</v>
      </c>
      <c t="str" s="595" r="AG169">
        <f>16&amp;"  -"</f>
        <v>16  -</v>
      </c>
      <c s="411" r="AH169">
        <v>22</v>
      </c>
      <c s="550" r="AI169"/>
      <c t="str" s="42" r="AJ169">
        <f>(AI169/AI$182)+AJ168</f>
        <v>#DIV/0!:divZero</v>
      </c>
      <c t="str" s="619" r="AK169">
        <f>IF(OR((SUM(AI$158:AI170)=0),(SUM(AI169:AI$181)=0)),NA(),AJ169)</f>
        <v>#N/A:explicit</v>
      </c>
      <c s="140" r="AL169"/>
      <c s="908" r="AM169"/>
      <c s="551" r="AN169"/>
      <c s="551" r="AO169"/>
      <c s="551" r="AP169"/>
      <c s="551" r="AQ169"/>
      <c s="551" r="AR169"/>
      <c s="551" r="AS169"/>
      <c s="551" r="AT169"/>
      <c s="551" r="AU169"/>
      <c s="551" r="AV169"/>
      <c s="671" r="AW169"/>
      <c s="51" r="AX169"/>
      <c s="125" r="AY169"/>
      <c s="125" r="AZ169"/>
      <c s="125" r="BA169"/>
      <c s="125" r="BB169"/>
      <c s="125" r="BC169"/>
      <c s="125" r="BD169"/>
      <c s="125" r="BE169"/>
      <c s="341" r="BF169"/>
      <c s="761" r="BG169"/>
      <c s="125" r="BH169"/>
      <c s="125" r="BI169"/>
      <c s="125" r="BJ169"/>
      <c s="125" r="BK169"/>
      <c s="125" r="BL169"/>
      <c s="125" r="BM169"/>
      <c s="125" r="BN169"/>
      <c s="125" r="BO169"/>
      <c s="125" r="BP169"/>
      <c s="125" r="BQ169"/>
      <c s="125" r="BR169"/>
      <c s="125" r="BS169"/>
      <c s="125" r="BT169"/>
      <c s="125" r="BU169"/>
      <c s="125" r="BV169"/>
      <c s="125" r="BW169"/>
      <c s="125" r="BX169"/>
      <c s="125" r="BY169"/>
      <c s="125" r="BZ169"/>
      <c s="125" r="CA169"/>
      <c s="125" r="CB169"/>
      <c s="125" r="CC169"/>
      <c s="125" r="CD169"/>
      <c s="125" r="CE169"/>
      <c s="125" r="CF169"/>
      <c s="125" r="CG169"/>
      <c s="125" r="CH169"/>
      <c s="125" r="CI169"/>
      <c s="125" r="CJ169"/>
      <c s="125" r="CK169"/>
      <c s="125" r="CL169"/>
    </row>
    <row r="170">
      <c s="125" r="A170"/>
      <c s="125" r="B170"/>
      <c s="125" r="C170"/>
      <c s="125" r="D170"/>
      <c s="125" r="E170"/>
      <c s="125" r="F170"/>
      <c s="125" r="G170"/>
      <c s="125" r="H170"/>
      <c s="125" r="I170"/>
      <c s="125" r="J170"/>
      <c s="125" r="K170"/>
      <c s="125" r="L170"/>
      <c s="125" r="M170"/>
      <c s="125" r="N170"/>
      <c s="125" r="O170"/>
      <c s="125" r="P170"/>
      <c s="125" r="Q170"/>
      <c s="125" r="R170"/>
      <c s="125" r="S170"/>
      <c s="125" r="T170"/>
      <c s="125" r="U170"/>
      <c s="125" r="V170"/>
      <c s="125" r="W170"/>
      <c s="125" r="X170"/>
      <c s="125" r="Y170"/>
      <c s="125" r="Z170"/>
      <c s="125" r="AA170"/>
      <c s="125" r="AB170"/>
      <c s="125" r="AC170"/>
      <c s="822" r="AD170"/>
      <c s="217" r="AE170"/>
      <c t="s" s="294" r="AF170">
        <v>494</v>
      </c>
      <c t="str" s="595" r="AG170">
        <f>22&amp;"  -"</f>
        <v>22  -</v>
      </c>
      <c s="411" r="AH170">
        <v>32</v>
      </c>
      <c s="550" r="AI170"/>
      <c t="str" s="42" r="AJ170">
        <f>(AI170/AI$182)+AJ169</f>
        <v>#DIV/0!:divZero</v>
      </c>
      <c t="str" s="619" r="AK170">
        <f>IF(OR((SUM(AI$158:AI171)=0),(SUM(AI170:AI$181)=0)),NA(),AJ170)</f>
        <v>#N/A:explicit</v>
      </c>
      <c s="140" r="AL170"/>
      <c s="908" r="AM170"/>
      <c s="551" r="AN170"/>
      <c s="551" r="AO170"/>
      <c s="551" r="AP170"/>
      <c s="551" r="AQ170"/>
      <c s="551" r="AR170"/>
      <c s="551" r="AS170"/>
      <c s="551" r="AT170"/>
      <c s="551" r="AU170"/>
      <c s="551" r="AV170"/>
      <c s="671" r="AW170"/>
      <c s="51" r="AX170"/>
      <c s="125" r="AY170"/>
      <c s="125" r="AZ170"/>
      <c s="125" r="BA170"/>
      <c s="125" r="BB170"/>
      <c s="125" r="BC170"/>
      <c s="125" r="BD170"/>
      <c s="125" r="BE170"/>
      <c s="341" r="BF170"/>
      <c s="761" r="BG170"/>
      <c s="125" r="BH170"/>
      <c s="125" r="BI170"/>
      <c s="125" r="BJ170"/>
      <c s="125" r="BK170"/>
      <c s="125" r="BL170"/>
      <c s="125" r="BM170"/>
      <c s="125" r="BN170"/>
      <c s="125" r="BO170"/>
      <c s="125" r="BP170"/>
      <c s="125" r="BQ170"/>
      <c s="125" r="BR170"/>
      <c s="125" r="BS170"/>
      <c s="125" r="BT170"/>
      <c s="125" r="BU170"/>
      <c s="125" r="BV170"/>
      <c s="125" r="BW170"/>
      <c s="125" r="BX170"/>
      <c s="125" r="BY170"/>
      <c s="125" r="BZ170"/>
      <c s="125" r="CA170"/>
      <c s="125" r="CB170"/>
      <c s="125" r="CC170"/>
      <c s="125" r="CD170"/>
      <c s="125" r="CE170"/>
      <c s="125" r="CF170"/>
      <c s="125" r="CG170"/>
      <c s="125" r="CH170"/>
      <c s="125" r="CI170"/>
      <c s="125" r="CJ170"/>
      <c s="125" r="CK170"/>
      <c s="125" r="CL170"/>
    </row>
    <row r="171">
      <c s="125" r="A171"/>
      <c s="125" r="B171"/>
      <c s="125" r="C171"/>
      <c s="125" r="D171"/>
      <c s="125" r="E171"/>
      <c s="125" r="F171"/>
      <c s="125" r="G171"/>
      <c s="125" r="H171"/>
      <c s="125" r="I171"/>
      <c s="125" r="J171"/>
      <c s="125" r="K171"/>
      <c s="125" r="L171"/>
      <c s="125" r="M171"/>
      <c s="125" r="N171"/>
      <c s="125" r="O171"/>
      <c s="125" r="P171"/>
      <c s="125" r="Q171"/>
      <c s="125" r="R171"/>
      <c s="125" r="S171"/>
      <c s="125" r="T171"/>
      <c s="125" r="U171"/>
      <c s="125" r="V171"/>
      <c s="125" r="W171"/>
      <c s="125" r="X171"/>
      <c s="125" r="Y171"/>
      <c s="125" r="Z171"/>
      <c s="125" r="AA171"/>
      <c s="125" r="AB171"/>
      <c s="125" r="AC171"/>
      <c s="822" r="AD171"/>
      <c s="409" r="AE171"/>
      <c t="s" s="8" r="AF171">
        <v>500</v>
      </c>
      <c t="str" s="595" r="AG171">
        <f>32&amp;"  -"</f>
        <v>32  -</v>
      </c>
      <c s="411" r="AH171">
        <v>45</v>
      </c>
      <c s="550" r="AI171"/>
      <c t="str" s="42" r="AJ171">
        <f>(AI171/AI$182)+AJ170</f>
        <v>#DIV/0!:divZero</v>
      </c>
      <c t="str" s="619" r="AK171">
        <f>IF(OR((SUM(AI$158:AI172)=0),(SUM(AI171:AI$181)=0)),NA(),AJ171)</f>
        <v>#N/A:explicit</v>
      </c>
      <c s="140" r="AL171"/>
      <c s="908" r="AM171"/>
      <c s="551" r="AN171"/>
      <c s="551" r="AO171"/>
      <c s="551" r="AP171"/>
      <c s="551" r="AQ171"/>
      <c s="551" r="AR171"/>
      <c s="551" r="AS171"/>
      <c s="551" r="AT171"/>
      <c s="551" r="AU171"/>
      <c s="551" r="AV171"/>
      <c s="671" r="AW171"/>
      <c s="51" r="AX171"/>
      <c s="125" r="AY171"/>
      <c s="125" r="AZ171"/>
      <c s="125" r="BA171"/>
      <c s="125" r="BB171"/>
      <c s="125" r="BC171"/>
      <c s="125" r="BD171"/>
      <c s="125" r="BE171"/>
      <c s="341" r="BF171"/>
      <c s="761" r="BG171"/>
      <c s="125" r="BH171"/>
      <c s="125" r="BI171"/>
      <c s="125" r="BJ171"/>
      <c s="125" r="BK171"/>
      <c s="125" r="BL171"/>
      <c s="125" r="BM171"/>
      <c s="125" r="BN171"/>
      <c s="125" r="BO171"/>
      <c s="125" r="BP171"/>
      <c s="125" r="BQ171"/>
      <c s="125" r="BR171"/>
      <c s="125" r="BS171"/>
      <c s="125" r="BT171"/>
      <c s="125" r="BU171"/>
      <c s="125" r="BV171"/>
      <c s="125" r="BW171"/>
      <c s="125" r="BX171"/>
      <c s="125" r="BY171"/>
      <c s="125" r="BZ171"/>
      <c s="125" r="CA171"/>
      <c s="125" r="CB171"/>
      <c s="125" r="CC171"/>
      <c s="125" r="CD171"/>
      <c s="125" r="CE171"/>
      <c s="125" r="CF171"/>
      <c s="125" r="CG171"/>
      <c s="125" r="CH171"/>
      <c s="125" r="CI171"/>
      <c s="125" r="CJ171"/>
      <c s="125" r="CK171"/>
      <c s="125" r="CL171"/>
    </row>
    <row r="172">
      <c s="125" r="A172"/>
      <c s="125" r="B172"/>
      <c s="125" r="C172"/>
      <c s="125" r="D172"/>
      <c s="125" r="E172"/>
      <c s="125" r="F172"/>
      <c s="125" r="G172"/>
      <c s="125" r="H172"/>
      <c s="125" r="I172"/>
      <c s="125" r="J172"/>
      <c s="125" r="K172"/>
      <c s="125" r="L172"/>
      <c s="125" r="M172"/>
      <c s="125" r="N172"/>
      <c s="125" r="O172"/>
      <c s="125" r="P172"/>
      <c s="125" r="Q172"/>
      <c s="125" r="R172"/>
      <c s="125" r="S172"/>
      <c s="125" r="T172"/>
      <c s="125" r="U172"/>
      <c s="125" r="V172"/>
      <c s="125" r="W172"/>
      <c s="125" r="X172"/>
      <c s="125" r="Y172"/>
      <c s="125" r="Z172"/>
      <c s="125" r="AA172"/>
      <c s="125" r="AB172"/>
      <c s="125" r="AC172"/>
      <c s="822" r="AD172"/>
      <c s="460" r="AE172"/>
      <c t="s" s="18" r="AF172">
        <v>500</v>
      </c>
      <c t="str" s="658" r="AG172">
        <f>45&amp;"  -"</f>
        <v>45  -</v>
      </c>
      <c s="672" r="AH172">
        <v>64</v>
      </c>
      <c s="550" r="AI172"/>
      <c t="str" s="42" r="AJ172">
        <f>(AI172/AI$182)+AJ171</f>
        <v>#DIV/0!:divZero</v>
      </c>
      <c t="str" s="619" r="AK172">
        <f>IF(OR((SUM(AI$158:AI173)=0),(SUM(AI172:AI$181)=0)),NA(),AJ172)</f>
        <v>#N/A:explicit</v>
      </c>
      <c s="140" r="AL172"/>
      <c s="908" r="AM172"/>
      <c s="551" r="AN172"/>
      <c s="551" r="AO172"/>
      <c s="551" r="AP172"/>
      <c s="551" r="AQ172"/>
      <c s="551" r="AR172"/>
      <c s="551" r="AS172"/>
      <c s="551" r="AT172"/>
      <c s="551" r="AU172"/>
      <c s="551" r="AV172"/>
      <c s="671" r="AW172"/>
      <c s="51" r="AX172"/>
      <c s="125" r="AY172"/>
      <c s="125" r="AZ172"/>
      <c s="125" r="BA172"/>
      <c s="125" r="BB172"/>
      <c s="125" r="BC172"/>
      <c s="125" r="BD172"/>
      <c s="125" r="BE172"/>
      <c s="341" r="BF172"/>
      <c s="761" r="BG172"/>
      <c s="125" r="BH172"/>
      <c s="125" r="BI172"/>
      <c s="125" r="BJ172"/>
      <c s="125" r="BK172"/>
      <c s="125" r="BL172"/>
      <c s="125" r="BM172"/>
      <c s="125" r="BN172"/>
      <c s="125" r="BO172"/>
      <c s="125" r="BP172"/>
      <c s="125" r="BQ172"/>
      <c s="125" r="BR172"/>
      <c s="125" r="BS172"/>
      <c s="125" r="BT172"/>
      <c s="125" r="BU172"/>
      <c s="125" r="BV172"/>
      <c s="125" r="BW172"/>
      <c s="125" r="BX172"/>
      <c s="125" r="BY172"/>
      <c s="125" r="BZ172"/>
      <c s="125" r="CA172"/>
      <c s="125" r="CB172"/>
      <c s="125" r="CC172"/>
      <c s="125" r="CD172"/>
      <c s="125" r="CE172"/>
      <c s="125" r="CF172"/>
      <c s="125" r="CG172"/>
      <c s="125" r="CH172"/>
      <c s="125" r="CI172"/>
      <c s="125" r="CJ172"/>
      <c s="125" r="CK172"/>
      <c s="125" r="CL172"/>
    </row>
    <row r="173">
      <c s="125" r="A173"/>
      <c s="125" r="B173"/>
      <c s="125" r="C173"/>
      <c s="125" r="D173"/>
      <c s="125" r="E173"/>
      <c s="125" r="F173"/>
      <c s="125" r="G173"/>
      <c s="125" r="H173"/>
      <c s="125" r="I173"/>
      <c s="125" r="J173"/>
      <c s="125" r="K173"/>
      <c s="125" r="L173"/>
      <c s="125" r="M173"/>
      <c s="125" r="N173"/>
      <c s="125" r="O173"/>
      <c s="125" r="P173"/>
      <c s="125" r="Q173"/>
      <c s="125" r="R173"/>
      <c s="125" r="S173"/>
      <c s="125" r="T173"/>
      <c s="125" r="U173"/>
      <c s="125" r="V173"/>
      <c s="125" r="W173"/>
      <c s="125" r="X173"/>
      <c s="125" r="Y173"/>
      <c s="125" r="Z173"/>
      <c s="125" r="AA173"/>
      <c s="125" r="AB173"/>
      <c s="125" r="AC173"/>
      <c s="822" r="AD173"/>
      <c s="511" r="AE173"/>
      <c t="s" s="416" r="AF173">
        <v>505</v>
      </c>
      <c t="str" s="73" r="AG173">
        <f>64&amp;"  -"</f>
        <v>64  -</v>
      </c>
      <c s="860" r="AH173">
        <v>90</v>
      </c>
      <c s="550" r="AI173"/>
      <c t="str" s="42" r="AJ173">
        <f>(AI173/AI$182)+AJ172</f>
        <v>#DIV/0!:divZero</v>
      </c>
      <c t="str" s="619" r="AK173">
        <f>IF(OR((SUM(AI$158:AI174)=0),(SUM(AI173:AI$181)=0)),NA(),AJ173)</f>
        <v>#N/A:explicit</v>
      </c>
      <c s="140" r="AL173"/>
      <c s="908" r="AM173"/>
      <c s="551" r="AN173"/>
      <c s="551" r="AO173"/>
      <c s="551" r="AP173"/>
      <c s="551" r="AQ173"/>
      <c s="551" r="AR173"/>
      <c s="551" r="AS173"/>
      <c s="551" r="AT173"/>
      <c s="551" r="AU173"/>
      <c s="551" r="AV173"/>
      <c s="671" r="AW173"/>
      <c s="51" r="AX173"/>
      <c s="125" r="AY173"/>
      <c s="125" r="AZ173"/>
      <c s="125" r="BA173"/>
      <c s="125" r="BB173"/>
      <c s="125" r="BC173"/>
      <c s="125" r="BD173"/>
      <c s="125" r="BE173"/>
      <c s="341" r="BF173"/>
      <c s="761" r="BG173"/>
      <c s="125" r="BH173"/>
      <c s="125" r="BI173"/>
      <c s="125" r="BJ173"/>
      <c s="125" r="BK173"/>
      <c s="125" r="BL173"/>
      <c s="125" r="BM173"/>
      <c s="125" r="BN173"/>
      <c s="125" r="BO173"/>
      <c s="125" r="BP173"/>
      <c s="125" r="BQ173"/>
      <c s="125" r="BR173"/>
      <c s="125" r="BS173"/>
      <c s="125" r="BT173"/>
      <c s="125" r="BU173"/>
      <c s="125" r="BV173"/>
      <c s="125" r="BW173"/>
      <c s="125" r="BX173"/>
      <c s="125" r="BY173"/>
      <c s="125" r="BZ173"/>
      <c s="125" r="CA173"/>
      <c s="125" r="CB173"/>
      <c s="125" r="CC173"/>
      <c s="125" r="CD173"/>
      <c s="125" r="CE173"/>
      <c s="125" r="CF173"/>
      <c s="125" r="CG173"/>
      <c s="125" r="CH173"/>
      <c s="125" r="CI173"/>
      <c s="125" r="CJ173"/>
      <c s="125" r="CK173"/>
      <c s="125" r="CL173"/>
    </row>
    <row r="174">
      <c s="125" r="A174"/>
      <c s="125" r="B174"/>
      <c s="125" r="C174"/>
      <c s="125" r="D174"/>
      <c s="125" r="E174"/>
      <c s="125" r="F174"/>
      <c s="125" r="G174"/>
      <c s="125" r="H174"/>
      <c s="125" r="I174"/>
      <c s="125" r="J174"/>
      <c s="125" r="K174"/>
      <c s="125" r="L174"/>
      <c s="125" r="M174"/>
      <c s="125" r="N174"/>
      <c s="125" r="O174"/>
      <c s="125" r="P174"/>
      <c s="125" r="Q174"/>
      <c s="125" r="R174"/>
      <c s="125" r="S174"/>
      <c s="125" r="T174"/>
      <c s="125" r="U174"/>
      <c s="125" r="V174"/>
      <c s="125" r="W174"/>
      <c s="125" r="X174"/>
      <c s="125" r="Y174"/>
      <c s="125" r="Z174"/>
      <c s="125" r="AA174"/>
      <c s="125" r="AB174"/>
      <c s="125" r="AC174"/>
      <c s="822" r="AD174"/>
      <c s="409" r="AE174"/>
      <c t="s" s="8" r="AF174">
        <v>507</v>
      </c>
      <c t="str" s="595" r="AG174">
        <f>90&amp;"  -"</f>
        <v>90  -</v>
      </c>
      <c s="411" r="AH174">
        <v>128</v>
      </c>
      <c s="550" r="AI174"/>
      <c t="str" s="42" r="AJ174">
        <f>(AI174/AI$182)+AJ173</f>
        <v>#DIV/0!:divZero</v>
      </c>
      <c t="str" s="619" r="AK174">
        <f>IF(OR((SUM(AI$158:AI175)=0),(SUM(AI174:AI$181)=0)),NA(),AJ174)</f>
        <v>#N/A:explicit</v>
      </c>
      <c s="140" r="AL174"/>
      <c s="908" r="AM174"/>
      <c s="551" r="AN174"/>
      <c s="551" r="AO174"/>
      <c s="551" r="AP174"/>
      <c s="551" r="AQ174"/>
      <c s="551" r="AR174"/>
      <c s="551" r="AS174"/>
      <c s="551" r="AT174"/>
      <c s="551" r="AU174"/>
      <c s="551" r="AV174"/>
      <c s="671" r="AW174"/>
      <c s="51" r="AX174"/>
      <c s="125" r="AY174"/>
      <c s="125" r="AZ174"/>
      <c s="125" r="BA174"/>
      <c s="125" r="BB174"/>
      <c s="125" r="BC174"/>
      <c s="125" r="BD174"/>
      <c s="125" r="BE174"/>
      <c s="341" r="BF174"/>
      <c s="761" r="BG174"/>
      <c s="125" r="BH174"/>
      <c s="125" r="BI174"/>
      <c s="125" r="BJ174"/>
      <c s="125" r="BK174"/>
      <c s="125" r="BL174"/>
      <c s="125" r="BM174"/>
      <c s="125" r="BN174"/>
      <c s="125" r="BO174"/>
      <c s="125" r="BP174"/>
      <c s="125" r="BQ174"/>
      <c s="125" r="BR174"/>
      <c s="125" r="BS174"/>
      <c s="125" r="BT174"/>
      <c s="125" r="BU174"/>
      <c s="125" r="BV174"/>
      <c s="125" r="BW174"/>
      <c s="125" r="BX174"/>
      <c s="125" r="BY174"/>
      <c s="125" r="BZ174"/>
      <c s="125" r="CA174"/>
      <c s="125" r="CB174"/>
      <c s="125" r="CC174"/>
      <c s="125" r="CD174"/>
      <c s="125" r="CE174"/>
      <c s="125" r="CF174"/>
      <c s="125" r="CG174"/>
      <c s="125" r="CH174"/>
      <c s="125" r="CI174"/>
      <c s="125" r="CJ174"/>
      <c s="125" r="CK174"/>
      <c s="125" r="CL174"/>
    </row>
    <row r="175">
      <c s="125" r="A175"/>
      <c s="125" r="B175"/>
      <c s="125" r="C175"/>
      <c s="125" r="D175"/>
      <c s="125" r="E175"/>
      <c s="125" r="F175"/>
      <c s="125" r="G175"/>
      <c s="125" r="H175"/>
      <c s="125" r="I175"/>
      <c s="125" r="J175"/>
      <c s="125" r="K175"/>
      <c s="125" r="L175"/>
      <c s="125" r="M175"/>
      <c s="125" r="N175"/>
      <c s="125" r="O175"/>
      <c s="125" r="P175"/>
      <c s="125" r="Q175"/>
      <c s="125" r="R175"/>
      <c s="125" r="S175"/>
      <c s="125" r="T175"/>
      <c s="125" r="U175"/>
      <c s="125" r="V175"/>
      <c s="125" r="W175"/>
      <c s="125" r="X175"/>
      <c s="125" r="Y175"/>
      <c s="125" r="Z175"/>
      <c s="125" r="AA175"/>
      <c s="125" r="AB175"/>
      <c s="125" r="AC175"/>
      <c s="822" r="AD175"/>
      <c s="409" r="AE175"/>
      <c t="s" s="8" r="AF175">
        <v>510</v>
      </c>
      <c t="str" s="595" r="AG175">
        <f>128&amp;"  -"</f>
        <v>128  -</v>
      </c>
      <c s="411" r="AH175">
        <v>180</v>
      </c>
      <c s="550" r="AI175"/>
      <c t="str" s="42" r="AJ175">
        <f>(AI175/AI$182)+AJ174</f>
        <v>#DIV/0!:divZero</v>
      </c>
      <c t="str" s="619" r="AK175">
        <f>IF(OR((SUM(AI$158:AI176)=0),(SUM(AI175:AI$181)=0)),NA(),AJ175)</f>
        <v>#N/A:explicit</v>
      </c>
      <c s="140" r="AL175"/>
      <c s="908" r="AM175"/>
      <c s="551" r="AN175"/>
      <c s="551" r="AO175"/>
      <c s="551" r="AP175"/>
      <c s="551" r="AQ175"/>
      <c s="551" r="AR175"/>
      <c s="551" r="AS175"/>
      <c s="551" r="AT175"/>
      <c s="551" r="AU175"/>
      <c s="551" r="AV175"/>
      <c s="671" r="AW175"/>
      <c s="51" r="AX175"/>
      <c s="125" r="AY175"/>
      <c s="125" r="AZ175"/>
      <c s="125" r="BA175"/>
      <c s="125" r="BB175"/>
      <c s="125" r="BC175"/>
      <c s="125" r="BD175"/>
      <c s="125" r="BE175"/>
      <c s="341" r="BF175"/>
      <c s="761" r="BG175"/>
      <c s="125" r="BH175"/>
      <c s="125" r="BI175"/>
      <c s="125" r="BJ175"/>
      <c s="125" r="BK175"/>
      <c s="125" r="BL175"/>
      <c s="125" r="BM175"/>
      <c s="125" r="BN175"/>
      <c s="125" r="BO175"/>
      <c s="125" r="BP175"/>
      <c s="125" r="BQ175"/>
      <c s="125" r="BR175"/>
      <c s="125" r="BS175"/>
      <c s="125" r="BT175"/>
      <c s="125" r="BU175"/>
      <c s="125" r="BV175"/>
      <c s="125" r="BW175"/>
      <c s="125" r="BX175"/>
      <c s="125" r="BY175"/>
      <c s="125" r="BZ175"/>
      <c s="125" r="CA175"/>
      <c s="125" r="CB175"/>
      <c s="125" r="CC175"/>
      <c s="125" r="CD175"/>
      <c s="125" r="CE175"/>
      <c s="125" r="CF175"/>
      <c s="125" r="CG175"/>
      <c s="125" r="CH175"/>
      <c s="125" r="CI175"/>
      <c s="125" r="CJ175"/>
      <c s="125" r="CK175"/>
      <c s="125" r="CL175"/>
    </row>
    <row r="176">
      <c s="125" r="A176"/>
      <c s="125" r="B176"/>
      <c s="125" r="C176"/>
      <c s="125" r="D176"/>
      <c s="125" r="E176"/>
      <c s="125" r="F176"/>
      <c s="125" r="G176"/>
      <c s="125" r="H176"/>
      <c s="125" r="I176"/>
      <c s="125" r="J176"/>
      <c s="125" r="K176"/>
      <c s="125" r="L176"/>
      <c s="125" r="M176"/>
      <c s="125" r="N176"/>
      <c s="125" r="O176"/>
      <c s="125" r="P176"/>
      <c s="125" r="Q176"/>
      <c s="125" r="R176"/>
      <c s="125" r="S176"/>
      <c s="125" r="T176"/>
      <c s="125" r="U176"/>
      <c s="125" r="V176"/>
      <c s="125" r="W176"/>
      <c s="125" r="X176"/>
      <c s="125" r="Y176"/>
      <c s="125" r="Z176"/>
      <c s="125" r="AA176"/>
      <c s="125" r="AB176"/>
      <c s="125" r="AC176"/>
      <c s="822" r="AD176"/>
      <c s="460" r="AE176"/>
      <c t="s" s="18" r="AF176">
        <v>513</v>
      </c>
      <c t="str" s="658" r="AG176">
        <f>180&amp;"  -"</f>
        <v>180  -</v>
      </c>
      <c s="672" r="AH176">
        <v>256</v>
      </c>
      <c s="550" r="AI176"/>
      <c t="str" s="42" r="AJ176">
        <f>(AI176/AI$182)+AJ175</f>
        <v>#DIV/0!:divZero</v>
      </c>
      <c t="str" s="619" r="AK176">
        <f>IF(OR((SUM(AI$158:AI177)=0),(SUM(AI176:AI$181)=0)),NA(),AJ176)</f>
        <v>#N/A:explicit</v>
      </c>
      <c s="140" r="AL176"/>
      <c s="908" r="AM176"/>
      <c s="551" r="AN176"/>
      <c s="551" r="AO176"/>
      <c s="551" r="AP176"/>
      <c s="551" r="AQ176"/>
      <c s="551" r="AR176"/>
      <c s="551" r="AS176"/>
      <c s="551" r="AT176"/>
      <c s="551" r="AU176"/>
      <c s="551" r="AV176"/>
      <c s="671" r="AW176"/>
      <c s="51" r="AX176"/>
      <c s="125" r="AY176"/>
      <c s="125" r="AZ176"/>
      <c s="125" r="BA176"/>
      <c s="125" r="BB176"/>
      <c s="125" r="BC176"/>
      <c s="125" r="BD176"/>
      <c s="125" r="BE176"/>
      <c s="341" r="BF176"/>
      <c s="761" r="BG176"/>
      <c s="125" r="BH176"/>
      <c s="125" r="BI176"/>
      <c s="125" r="BJ176"/>
      <c s="125" r="BK176"/>
      <c s="125" r="BL176"/>
      <c s="125" r="BM176"/>
      <c s="125" r="BN176"/>
      <c s="125" r="BO176"/>
      <c s="125" r="BP176"/>
      <c s="125" r="BQ176"/>
      <c s="125" r="BR176"/>
      <c s="125" r="BS176"/>
      <c s="125" r="BT176"/>
      <c s="125" r="BU176"/>
      <c s="125" r="BV176"/>
      <c s="125" r="BW176"/>
      <c s="125" r="BX176"/>
      <c s="125" r="BY176"/>
      <c s="125" r="BZ176"/>
      <c s="125" r="CA176"/>
      <c s="125" r="CB176"/>
      <c s="125" r="CC176"/>
      <c s="125" r="CD176"/>
      <c s="125" r="CE176"/>
      <c s="125" r="CF176"/>
      <c s="125" r="CG176"/>
      <c s="125" r="CH176"/>
      <c s="125" r="CI176"/>
      <c s="125" r="CJ176"/>
      <c s="125" r="CK176"/>
      <c s="125" r="CL176"/>
    </row>
    <row r="177">
      <c s="125" r="A177"/>
      <c s="125" r="B177"/>
      <c s="125" r="C177"/>
      <c s="125" r="D177"/>
      <c s="125" r="E177"/>
      <c s="125" r="F177"/>
      <c s="125" r="G177"/>
      <c s="125" r="H177"/>
      <c s="125" r="I177"/>
      <c s="125" r="J177"/>
      <c s="125" r="K177"/>
      <c s="125" r="L177"/>
      <c s="125" r="M177"/>
      <c s="125" r="N177"/>
      <c s="125" r="O177"/>
      <c s="125" r="P177"/>
      <c s="125" r="Q177"/>
      <c s="125" r="R177"/>
      <c s="125" r="S177"/>
      <c s="125" r="T177"/>
      <c s="125" r="U177"/>
      <c s="125" r="V177"/>
      <c s="125" r="W177"/>
      <c s="125" r="X177"/>
      <c s="125" r="Y177"/>
      <c s="125" r="Z177"/>
      <c s="125" r="AA177"/>
      <c s="125" r="AB177"/>
      <c s="125" r="AC177"/>
      <c s="822" r="AD177"/>
      <c s="511" r="AE177"/>
      <c t="s" s="416" r="AF177">
        <v>516</v>
      </c>
      <c t="str" s="73" r="AG177">
        <f>256&amp;"  -"</f>
        <v>256  -</v>
      </c>
      <c s="860" r="AH177">
        <v>362</v>
      </c>
      <c s="550" r="AI177"/>
      <c t="str" s="42" r="AJ177">
        <f>(AI177/AI$182)+AJ176</f>
        <v>#DIV/0!:divZero</v>
      </c>
      <c t="str" s="619" r="AK177">
        <f>IF(OR((SUM(AI$158:AI178)=0),(SUM(AI177:AI$181)=0)),NA(),AJ177)</f>
        <v>#N/A:explicit</v>
      </c>
      <c s="140" r="AL177"/>
      <c s="908" r="AM177"/>
      <c s="551" r="AN177"/>
      <c s="551" r="AO177"/>
      <c s="551" r="AP177"/>
      <c s="551" r="AQ177"/>
      <c s="551" r="AR177"/>
      <c s="551" r="AS177"/>
      <c s="551" r="AT177"/>
      <c s="551" r="AU177"/>
      <c s="551" r="AV177"/>
      <c s="671" r="AW177"/>
      <c s="51" r="AX177"/>
      <c s="125" r="AY177"/>
      <c s="125" r="AZ177"/>
      <c s="125" r="BA177"/>
      <c s="125" r="BB177"/>
      <c s="125" r="BC177"/>
      <c s="125" r="BD177"/>
      <c s="125" r="BE177"/>
      <c s="341" r="BF177"/>
      <c s="761" r="BG177"/>
      <c s="125" r="BH177"/>
      <c s="125" r="BI177"/>
      <c s="125" r="BJ177"/>
      <c s="125" r="BK177"/>
      <c s="125" r="BL177"/>
      <c s="125" r="BM177"/>
      <c s="125" r="BN177"/>
      <c s="125" r="BO177"/>
      <c s="125" r="BP177"/>
      <c s="125" r="BQ177"/>
      <c s="125" r="BR177"/>
      <c s="125" r="BS177"/>
      <c s="125" r="BT177"/>
      <c s="125" r="BU177"/>
      <c s="125" r="BV177"/>
      <c s="125" r="BW177"/>
      <c s="125" r="BX177"/>
      <c s="125" r="BY177"/>
      <c s="125" r="BZ177"/>
      <c s="125" r="CA177"/>
      <c s="125" r="CB177"/>
      <c s="125" r="CC177"/>
      <c s="125" r="CD177"/>
      <c s="125" r="CE177"/>
      <c s="125" r="CF177"/>
      <c s="125" r="CG177"/>
      <c s="125" r="CH177"/>
      <c s="125" r="CI177"/>
      <c s="125" r="CJ177"/>
      <c s="125" r="CK177"/>
      <c s="125" r="CL177"/>
    </row>
    <row r="178">
      <c s="125" r="A178"/>
      <c s="125" r="B178"/>
      <c s="125" r="C178"/>
      <c s="125" r="D178"/>
      <c s="125" r="E178"/>
      <c s="125" r="F178"/>
      <c s="125" r="G178"/>
      <c s="125" r="H178"/>
      <c s="125" r="I178"/>
      <c s="125" r="J178"/>
      <c s="125" r="K178"/>
      <c s="125" r="L178"/>
      <c s="125" r="M178"/>
      <c s="125" r="N178"/>
      <c s="125" r="O178"/>
      <c s="125" r="P178"/>
      <c s="125" r="Q178"/>
      <c s="125" r="R178"/>
      <c s="125" r="S178"/>
      <c s="125" r="T178"/>
      <c s="125" r="U178"/>
      <c s="125" r="V178"/>
      <c s="125" r="W178"/>
      <c s="125" r="X178"/>
      <c s="125" r="Y178"/>
      <c s="125" r="Z178"/>
      <c s="125" r="AA178"/>
      <c s="125" r="AB178"/>
      <c s="125" r="AC178"/>
      <c s="822" r="AD178"/>
      <c s="409" r="AE178"/>
      <c t="s" s="8" r="AF178">
        <v>516</v>
      </c>
      <c t="str" s="595" r="AG178">
        <f>362&amp;"  -"</f>
        <v>362  -</v>
      </c>
      <c s="411" r="AH178">
        <v>512</v>
      </c>
      <c s="550" r="AI178"/>
      <c t="str" s="42" r="AJ178">
        <f>(AI178/AI$182)+AJ177</f>
        <v>#DIV/0!:divZero</v>
      </c>
      <c t="str" s="619" r="AK178">
        <f>IF(OR((SUM(AI$158:AI179)=0),(SUM(AI178:AI$181)=0)),NA(),AJ178)</f>
        <v>#N/A:explicit</v>
      </c>
      <c s="140" r="AL178"/>
      <c s="908" r="AM178"/>
      <c s="551" r="AN178"/>
      <c s="551" r="AO178"/>
      <c s="551" r="AP178"/>
      <c s="551" r="AQ178"/>
      <c s="551" r="AR178"/>
      <c s="551" r="AS178"/>
      <c s="551" r="AT178"/>
      <c s="551" r="AU178"/>
      <c s="551" r="AV178"/>
      <c s="671" r="AW178"/>
      <c s="51" r="AX178"/>
      <c s="125" r="AY178"/>
      <c s="125" r="AZ178"/>
      <c s="125" r="BA178"/>
      <c s="125" r="BB178"/>
      <c s="125" r="BC178"/>
      <c s="125" r="BD178"/>
      <c s="125" r="BE178"/>
      <c s="341" r="BF178"/>
      <c s="761" r="BG178"/>
      <c s="125" r="BH178"/>
      <c s="125" r="BI178"/>
      <c s="125" r="BJ178"/>
      <c s="125" r="BK178"/>
      <c s="125" r="BL178"/>
      <c s="125" r="BM178"/>
      <c s="125" r="BN178"/>
      <c s="125" r="BO178"/>
      <c s="125" r="BP178"/>
      <c s="125" r="BQ178"/>
      <c s="125" r="BR178"/>
      <c s="125" r="BS178"/>
      <c s="125" r="BT178"/>
      <c s="125" r="BU178"/>
      <c s="125" r="BV178"/>
      <c s="125" r="BW178"/>
      <c s="125" r="BX178"/>
      <c s="125" r="BY178"/>
      <c s="125" r="BZ178"/>
      <c s="125" r="CA178"/>
      <c s="125" r="CB178"/>
      <c s="125" r="CC178"/>
      <c s="125" r="CD178"/>
      <c s="125" r="CE178"/>
      <c s="125" r="CF178"/>
      <c s="125" r="CG178"/>
      <c s="125" r="CH178"/>
      <c s="125" r="CI178"/>
      <c s="125" r="CJ178"/>
      <c s="125" r="CK178"/>
      <c s="125" r="CL178"/>
    </row>
    <row r="179">
      <c s="125" r="A179"/>
      <c s="125" r="B179"/>
      <c s="125" r="C179"/>
      <c s="125" r="D179"/>
      <c s="125" r="E179"/>
      <c s="125" r="F179"/>
      <c s="125" r="G179"/>
      <c s="125" r="H179"/>
      <c s="125" r="I179"/>
      <c s="125" r="J179"/>
      <c s="125" r="K179"/>
      <c s="125" r="L179"/>
      <c s="125" r="M179"/>
      <c s="125" r="N179"/>
      <c s="125" r="O179"/>
      <c s="125" r="P179"/>
      <c s="125" r="Q179"/>
      <c s="125" r="R179"/>
      <c s="125" r="S179"/>
      <c s="125" r="T179"/>
      <c s="125" r="U179"/>
      <c s="125" r="V179"/>
      <c s="125" r="W179"/>
      <c s="125" r="X179"/>
      <c s="125" r="Y179"/>
      <c s="125" r="Z179"/>
      <c s="125" r="AA179"/>
      <c s="125" r="AB179"/>
      <c s="125" r="AC179"/>
      <c s="822" r="AD179"/>
      <c s="409" r="AE179"/>
      <c t="s" s="8" r="AF179">
        <v>518</v>
      </c>
      <c t="str" s="595" r="AG179">
        <f>512&amp;"  -"</f>
        <v>512  -</v>
      </c>
      <c s="411" r="AH179">
        <v>1024</v>
      </c>
      <c s="550" r="AI179"/>
      <c t="str" s="42" r="AJ179">
        <f>(AI179/AI$182)+AJ178</f>
        <v>#DIV/0!:divZero</v>
      </c>
      <c t="str" s="732" r="AK179">
        <f>IF(OR((SUM(AI$158:AI180)=0),(SUM(AI179:AI$181)=0)),NA(),AJ179)</f>
        <v>#N/A:explicit</v>
      </c>
      <c s="140" r="AL179">
        <v>0.01</v>
      </c>
      <c s="908" r="AM179"/>
      <c s="551" r="AN179"/>
      <c s="551" r="AO179"/>
      <c s="551" r="AP179"/>
      <c s="551" r="AQ179"/>
      <c s="551" r="AR179"/>
      <c s="551" r="AS179"/>
      <c s="551" r="AT179"/>
      <c s="551" r="AU179"/>
      <c s="551" r="AV179"/>
      <c s="671" r="AW179"/>
      <c s="51" r="AX179"/>
      <c s="125" r="AY179"/>
      <c s="125" r="AZ179"/>
      <c s="125" r="BA179"/>
      <c s="125" r="BB179"/>
      <c s="125" r="BC179"/>
      <c s="125" r="BD179"/>
      <c s="125" r="BE179"/>
      <c s="341" r="BF179"/>
      <c s="761" r="BG179"/>
      <c s="125" r="BH179"/>
      <c s="125" r="BI179"/>
      <c s="125" r="BJ179"/>
      <c s="125" r="BK179"/>
      <c s="125" r="BL179"/>
      <c s="125" r="BM179"/>
      <c s="125" r="BN179"/>
      <c s="125" r="BO179"/>
      <c s="125" r="BP179"/>
      <c s="125" r="BQ179"/>
      <c s="125" r="BR179"/>
      <c s="125" r="BS179"/>
      <c s="125" r="BT179"/>
      <c s="125" r="BU179"/>
      <c s="125" r="BV179"/>
      <c s="125" r="BW179"/>
      <c s="125" r="BX179"/>
      <c s="125" r="BY179"/>
      <c s="125" r="BZ179"/>
      <c s="125" r="CA179"/>
      <c s="125" r="CB179"/>
      <c s="125" r="CC179"/>
      <c s="125" r="CD179"/>
      <c s="125" r="CE179"/>
      <c s="125" r="CF179"/>
      <c s="125" r="CG179"/>
      <c s="125" r="CH179"/>
      <c s="125" r="CI179"/>
      <c s="125" r="CJ179"/>
      <c s="125" r="CK179"/>
      <c s="125" r="CL179"/>
    </row>
    <row r="180">
      <c s="125" r="A180"/>
      <c s="125" r="B180"/>
      <c s="125" r="C180"/>
      <c s="125" r="D180"/>
      <c s="125" r="E180"/>
      <c s="125" r="F180"/>
      <c s="125" r="G180"/>
      <c s="125" r="H180"/>
      <c s="125" r="I180"/>
      <c s="125" r="J180"/>
      <c s="125" r="K180"/>
      <c s="125" r="L180"/>
      <c s="125" r="M180"/>
      <c s="125" r="N180"/>
      <c s="125" r="O180"/>
      <c s="125" r="P180"/>
      <c s="125" r="Q180"/>
      <c s="125" r="R180"/>
      <c s="125" r="S180"/>
      <c s="125" r="T180"/>
      <c s="125" r="U180"/>
      <c s="125" r="V180"/>
      <c s="125" r="W180"/>
      <c s="125" r="X180"/>
      <c s="125" r="Y180"/>
      <c s="125" r="Z180"/>
      <c s="125" r="AA180"/>
      <c s="125" r="AB180"/>
      <c s="125" r="AC180"/>
      <c s="822" r="AD180"/>
      <c s="409" r="AE180"/>
      <c t="s" s="8" r="AF180">
        <v>520</v>
      </c>
      <c t="str" s="595" r="AG180">
        <f>1024&amp;"  -"</f>
        <v>1024  -</v>
      </c>
      <c s="411" r="AH180">
        <v>2048</v>
      </c>
      <c s="550" r="AI180"/>
      <c t="str" s="42" r="AJ180">
        <f>(AI180/AI$182)+AJ179</f>
        <v>#DIV/0!:divZero</v>
      </c>
      <c t="str" s="732" r="AK180">
        <f>IF(OR((SUM(AI$158:AI181)=0),(SUM(AI180:AI$181)=0)),NA(),AJ180)</f>
        <v>#N/A:explicit</v>
      </c>
      <c t="str" s="140" r="AL180">
        <f>AO186</f>
        <v>---</v>
      </c>
      <c s="908" r="AM180"/>
      <c s="551" r="AN180"/>
      <c s="551" r="AO180"/>
      <c s="551" r="AP180"/>
      <c s="551" r="AQ180"/>
      <c s="551" r="AR180"/>
      <c s="551" r="AS180"/>
      <c s="551" r="AT180"/>
      <c s="551" r="AU180"/>
      <c s="551" r="AV180"/>
      <c s="671" r="AW180"/>
      <c s="51" r="AX180"/>
      <c s="125" r="AY180"/>
      <c s="125" r="AZ180"/>
      <c s="125" r="BA180"/>
      <c s="125" r="BB180"/>
      <c s="125" r="BC180"/>
      <c s="125" r="BD180"/>
      <c s="125" r="BE180"/>
      <c s="341" r="BF180"/>
      <c s="761" r="BG180"/>
      <c s="125" r="BH180"/>
      <c s="125" r="BI180"/>
      <c s="125" r="BJ180"/>
      <c s="125" r="BK180"/>
      <c s="125" r="BL180"/>
      <c s="125" r="BM180"/>
      <c s="125" r="BN180"/>
      <c s="125" r="BO180"/>
      <c s="125" r="BP180"/>
      <c s="125" r="BQ180"/>
      <c s="125" r="BR180"/>
      <c s="125" r="BS180"/>
      <c s="125" r="BT180"/>
      <c s="125" r="BU180"/>
      <c s="125" r="BV180"/>
      <c s="125" r="BW180"/>
      <c s="125" r="BX180"/>
      <c s="125" r="BY180"/>
      <c s="125" r="BZ180"/>
      <c s="125" r="CA180"/>
      <c s="125" r="CB180"/>
      <c s="125" r="CC180"/>
      <c s="125" r="CD180"/>
      <c s="125" r="CE180"/>
      <c s="125" r="CF180"/>
      <c s="125" r="CG180"/>
      <c s="125" r="CH180"/>
      <c s="125" r="CI180"/>
      <c s="125" r="CJ180"/>
      <c s="125" r="CK180"/>
      <c s="125" r="CL180"/>
    </row>
    <row customHeight="1" r="181" ht="13.5">
      <c s="125" r="A181"/>
      <c s="125" r="B181"/>
      <c s="125" r="C181"/>
      <c s="125" r="D181"/>
      <c s="125" r="E181"/>
      <c s="125" r="F181"/>
      <c s="125" r="G181"/>
      <c s="125" r="H181"/>
      <c s="125" r="I181"/>
      <c s="125" r="J181"/>
      <c s="125" r="K181"/>
      <c s="125" r="L181"/>
      <c s="125" r="M181"/>
      <c s="125" r="N181"/>
      <c s="125" r="O181"/>
      <c s="125" r="P181"/>
      <c s="125" r="Q181"/>
      <c s="125" r="R181"/>
      <c s="125" r="S181"/>
      <c s="125" r="T181"/>
      <c s="125" r="U181"/>
      <c s="125" r="V181"/>
      <c s="125" r="W181"/>
      <c s="125" r="X181"/>
      <c s="125" r="Y181"/>
      <c s="125" r="Z181"/>
      <c s="125" r="AA181"/>
      <c s="125" r="AB181"/>
      <c s="125" r="AC181"/>
      <c s="822" r="AD181"/>
      <c s="759" r="AE181"/>
      <c t="s" s="538" r="AF181">
        <v>522</v>
      </c>
      <c t="str" s="820" r="AG181">
        <f>2048&amp;"  -"</f>
        <v>2048  -</v>
      </c>
      <c s="565" r="AH181">
        <v>4096</v>
      </c>
      <c s="550" r="AI181"/>
      <c t="str" s="42" r="AJ181">
        <f>(AI181/AI$182)+AJ180</f>
        <v>#DIV/0!:divZero</v>
      </c>
      <c t="str" s="732" r="AK181">
        <f>IF(OR((SUM(AI$158:AI182)=0),(SUM(AI181:AI$181)=0)),NA(),AJ181)</f>
        <v>#N/A:explicit</v>
      </c>
      <c t="str" s="140" r="AL181">
        <f>AO186</f>
        <v>---</v>
      </c>
      <c s="582" r="AM181"/>
      <c s="8" r="AN181"/>
      <c s="52" r="AO181"/>
      <c s="8" r="AP181"/>
      <c s="551" r="AQ181"/>
      <c s="472" r="AR181"/>
      <c s="551" r="AS181"/>
      <c s="52" r="AT181"/>
      <c s="551" r="AU181"/>
      <c s="551" r="AV181"/>
      <c s="671" r="AW181"/>
      <c s="51" r="AX181"/>
      <c s="125" r="AY181"/>
      <c s="125" r="AZ181"/>
      <c s="125" r="BA181"/>
      <c s="125" r="BB181"/>
      <c s="125" r="BC181"/>
      <c s="125" r="BD181"/>
      <c s="125" r="BE181"/>
      <c s="341" r="BF181"/>
      <c s="761" r="BG181"/>
      <c s="125" r="BH181"/>
      <c s="125" r="BI181"/>
      <c s="125" r="BJ181"/>
      <c s="125" r="BK181"/>
      <c s="125" r="BL181"/>
      <c s="125" r="BM181"/>
      <c s="125" r="BN181"/>
      <c s="125" r="BO181"/>
      <c s="125" r="BP181"/>
      <c s="125" r="BQ181"/>
      <c s="125" r="BR181"/>
      <c s="125" r="BS181"/>
      <c s="125" r="BT181"/>
      <c s="125" r="BU181"/>
      <c s="125" r="BV181"/>
      <c s="125" r="BW181"/>
      <c s="125" r="BX181"/>
      <c s="125" r="BY181"/>
      <c s="125" r="BZ181"/>
      <c s="125" r="CA181"/>
      <c s="125" r="CB181"/>
      <c s="125" r="CC181"/>
      <c s="125" r="CD181"/>
      <c s="125" r="CE181"/>
      <c s="125" r="CF181"/>
      <c s="125" r="CG181"/>
      <c s="125" r="CH181"/>
      <c s="125" r="CI181"/>
      <c s="125" r="CJ181"/>
      <c s="125" r="CK181"/>
      <c s="125" r="CL181"/>
    </row>
    <row customHeight="1" r="182" ht="15.0">
      <c s="125" r="A182"/>
      <c s="125" r="B182"/>
      <c s="125" r="C182"/>
      <c s="125" r="D182"/>
      <c s="125" r="E182"/>
      <c s="125" r="F182"/>
      <c s="125" r="G182"/>
      <c s="125" r="H182"/>
      <c s="125" r="I182"/>
      <c s="125" r="J182"/>
      <c s="125" r="K182"/>
      <c s="125" r="L182"/>
      <c s="125" r="M182"/>
      <c s="125" r="N182"/>
      <c s="125" r="O182"/>
      <c s="125" r="P182"/>
      <c s="125" r="Q182"/>
      <c s="125" r="R182"/>
      <c s="125" r="S182"/>
      <c s="125" r="T182"/>
      <c s="125" r="U182"/>
      <c s="125" r="V182"/>
      <c s="125" r="W182"/>
      <c s="125" r="X182"/>
      <c s="125" r="Y182"/>
      <c s="125" r="Z182"/>
      <c s="125" r="AA182"/>
      <c s="125" r="AB182"/>
      <c s="125" r="AC182"/>
      <c s="822" r="AD182"/>
      <c s="178" r="AE182"/>
      <c s="640" r="AF182"/>
      <c s="213" r="AG182"/>
      <c t="s" s="65" r="AH182">
        <v>532</v>
      </c>
      <c s="897" r="AI182">
        <f>SUM(AI158:AI181)</f>
        <v>0</v>
      </c>
      <c t="s" s="42" r="AJ182">
        <v>503</v>
      </c>
      <c s="732" r="AK182"/>
      <c t="str" s="140" r="AL182">
        <f>IF((AI182&gt;0),0.5,NA())</f>
        <v>#N/A:explicit</v>
      </c>
      <c s="585" r="AM182"/>
      <c s="271" r="AN182"/>
      <c s="271" r="AO182"/>
      <c s="271" r="AP182"/>
      <c s="271" r="AQ182"/>
      <c s="271" r="AR182"/>
      <c s="271" r="AS182"/>
      <c s="271" r="AT182"/>
      <c s="271" r="AU182"/>
      <c s="271" r="AV182"/>
      <c s="354" r="AW182"/>
      <c s="51" r="AX182"/>
      <c s="125" r="AY182"/>
      <c s="125" r="AZ182"/>
      <c s="125" r="BA182"/>
      <c s="125" r="BB182"/>
      <c s="125" r="BC182"/>
      <c s="125" r="BD182"/>
      <c s="125" r="BE182"/>
      <c s="341" r="BF182"/>
      <c s="761" r="BG182"/>
      <c s="125" r="BH182"/>
      <c s="125" r="BI182"/>
      <c s="125" r="BJ182"/>
      <c s="125" r="BK182"/>
      <c s="125" r="BL182"/>
      <c s="125" r="BM182"/>
      <c s="125" r="BN182"/>
      <c s="125" r="BO182"/>
      <c s="125" r="BP182"/>
      <c s="125" r="BQ182"/>
      <c s="125" r="BR182"/>
      <c s="125" r="BS182"/>
      <c s="125" r="BT182"/>
      <c s="125" r="BU182"/>
      <c s="125" r="BV182"/>
      <c s="125" r="BW182"/>
      <c s="125" r="BX182"/>
      <c s="125" r="BY182"/>
      <c s="125" r="BZ182"/>
      <c s="125" r="CA182"/>
      <c s="125" r="CB182"/>
      <c s="125" r="CC182"/>
      <c s="125" r="CD182"/>
      <c s="125" r="CE182"/>
      <c s="125" r="CF182"/>
      <c s="125" r="CG182"/>
      <c s="125" r="CH182"/>
      <c s="125" r="CI182"/>
      <c s="125" r="CJ182"/>
      <c s="125" r="CK182"/>
      <c s="125" r="CL182"/>
    </row>
    <row r="183">
      <c s="125" r="A183"/>
      <c s="125" r="B183"/>
      <c s="125" r="C183"/>
      <c s="125" r="D183"/>
      <c s="125" r="E183"/>
      <c s="125" r="F183"/>
      <c s="125" r="G183"/>
      <c s="125" r="H183"/>
      <c s="125" r="I183"/>
      <c s="125" r="J183"/>
      <c s="125" r="K183"/>
      <c s="125" r="L183"/>
      <c s="125" r="M183"/>
      <c s="125" r="N183"/>
      <c s="125" r="O183"/>
      <c s="125" r="P183"/>
      <c s="125" r="Q183"/>
      <c s="125" r="R183"/>
      <c s="125" r="S183"/>
      <c s="125" r="T183"/>
      <c s="125" r="U183"/>
      <c s="125" r="V183"/>
      <c s="125" r="W183"/>
      <c s="125" r="X183"/>
      <c s="125" r="Y183"/>
      <c s="125" r="Z183"/>
      <c s="125" r="AA183"/>
      <c s="125" r="AB183"/>
      <c s="125" r="AC183"/>
      <c s="822" r="AD183"/>
      <c s="908" r="AE183"/>
      <c s="551" r="AF183"/>
      <c s="551" r="AG183"/>
      <c s="551" r="AH183"/>
      <c s="397" r="AI183"/>
      <c s="259" r="AJ183">
        <f>IF((AI182=0),0,IF((AJ158&gt;=0.16),0.062,IF((SUMIF(AJ158:AJ181,"=.16")&gt;=1),INDEX(AH158:AH181,MATCH(0.16,AJ158:AJ181,0)),(2^(LOG((INDEX(AH158:AH181,MATCH(0.16,AJ158:AJ181,1))),2)+(((LOG((INDEX(AH158:AH181,(MATCH(0.16,AJ158:AJ181,1)+1))),2)-LOG((INDEX(AH158:AH181,MATCH(0.16,AJ158:AJ181,1))),2))*(0.16-INDEX(AJ158:AJ181,MATCH(0.16,AJ158:AJ181,1))))/(INDEX(AJ158:AJ181,(MATCH(0.16,AJ158:AJ181,1)+1))-INDEX(AJ158:AJ181,MATCH(0.16,AJ158:AJ181,1)))))))))</f>
        <v>0</v>
      </c>
      <c s="617" r="AK183"/>
      <c t="str" s="140" r="AL183">
        <f>AL182</f>
        <v>#N/A:explicit</v>
      </c>
      <c s="908" r="AM183"/>
      <c t="s" s="680" r="AN183">
        <v>525</v>
      </c>
      <c s="680" r="AO183"/>
      <c s="551" r="AP183"/>
      <c t="s" s="680" r="AQ183">
        <v>535</v>
      </c>
      <c s="680" r="AR183"/>
      <c s="551" r="AS183"/>
      <c s="414" r="AT183"/>
      <c t="s" s="414" r="AU183">
        <v>536</v>
      </c>
      <c s="414" r="AV183"/>
      <c s="671" r="AW183"/>
      <c s="51" r="AX183"/>
      <c s="125" r="AY183"/>
      <c s="125" r="AZ183"/>
      <c s="125" r="BA183"/>
      <c s="125" r="BB183"/>
      <c s="125" r="BC183"/>
      <c s="125" r="BD183"/>
      <c s="125" r="BE183"/>
      <c s="341" r="BF183"/>
      <c s="761" r="BG183"/>
      <c s="125" r="BH183"/>
      <c s="125" r="BI183"/>
      <c s="125" r="BJ183"/>
      <c s="125" r="BK183"/>
      <c s="125" r="BL183"/>
      <c s="125" r="BM183"/>
      <c s="125" r="BN183"/>
      <c s="125" r="BO183"/>
      <c s="125" r="BP183"/>
      <c s="125" r="BQ183"/>
      <c s="125" r="BR183"/>
      <c s="125" r="BS183"/>
      <c s="125" r="BT183"/>
      <c s="125" r="BU183"/>
      <c s="125" r="BV183"/>
      <c s="125" r="BW183"/>
      <c s="125" r="BX183"/>
      <c s="125" r="BY183"/>
      <c s="125" r="BZ183"/>
      <c s="125" r="CA183"/>
      <c s="125" r="CB183"/>
      <c s="125" r="CC183"/>
      <c s="125" r="CD183"/>
      <c s="125" r="CE183"/>
      <c s="125" r="CF183"/>
      <c s="125" r="CG183"/>
      <c s="125" r="CH183"/>
      <c s="125" r="CI183"/>
      <c s="125" r="CJ183"/>
      <c s="125" r="CK183"/>
      <c s="125" r="CL183"/>
    </row>
    <row r="184">
      <c s="125" r="A184"/>
      <c s="125" r="B184"/>
      <c s="125" r="C184"/>
      <c s="125" r="D184"/>
      <c s="125" r="E184"/>
      <c s="125" r="F184"/>
      <c s="125" r="G184"/>
      <c s="125" r="H184"/>
      <c s="125" r="I184"/>
      <c s="125" r="J184"/>
      <c s="125" r="K184"/>
      <c s="125" r="L184"/>
      <c s="125" r="M184"/>
      <c s="125" r="N184"/>
      <c s="125" r="O184"/>
      <c s="125" r="P184"/>
      <c s="125" r="Q184"/>
      <c s="125" r="R184"/>
      <c s="125" r="S184"/>
      <c s="125" r="T184"/>
      <c s="125" r="U184"/>
      <c s="125" r="V184"/>
      <c s="125" r="W184"/>
      <c s="125" r="X184"/>
      <c s="125" r="Y184"/>
      <c s="125" r="Z184"/>
      <c s="125" r="AA184"/>
      <c s="125" r="AB184"/>
      <c s="125" r="AC184"/>
      <c s="822" r="AD184"/>
      <c s="424" r="AE184"/>
      <c t="s" s="37" r="AF184">
        <v>537</v>
      </c>
      <c t="str" s="67" r="AG184">
        <f>"---------------------"</f>
        <v>---------------------</v>
      </c>
      <c s="390" r="AH184"/>
      <c s="598" r="AI184"/>
      <c s="259" r="AJ184">
        <f>IF((AI182=0),0,IF((AJ158&gt;=0.35),0.062,IF((SUMIF(AJ158:AJ181,"=.35")&gt;=1),INDEX(AH158:AH181,MATCH(0.35,AJ158:AJ181,0)),(2^(LOG((INDEX(AH158:AH181,MATCH(0.35,AJ158:AJ181,1))),2)+(((LOG((INDEX(AH158:AH181,(MATCH(0.35,AJ158:AJ181,1)+1))),2)-LOG((INDEX(AH158:AH181,MATCH(0.35,AJ158:AJ181,1))),2))*(0.35-INDEX(AJ158:AJ181,MATCH(0.35,AJ158:AJ181,1))))/(INDEX(AJ158:AJ181,(MATCH(0.35,AJ158:AJ181,1)+1))-INDEX(AJ158:AJ181,MATCH(0.35,AJ158:AJ181,1)))))))))</f>
        <v>0</v>
      </c>
      <c s="592" r="AK184"/>
      <c s="140" r="AL184">
        <v>0</v>
      </c>
      <c s="116" r="AM184"/>
      <c t="s" s="155" r="AN184">
        <v>526</v>
      </c>
      <c t="str" s="736" r="AO184">
        <f>IF((AI182=0),"---",(ROUND((AJ183/(10^TRUNC(LOG(AJ183)))),(2-IF((AJ183&gt;1),1,0)))*(10^TRUNC(LOG(AJ183)))))</f>
        <v>---</v>
      </c>
      <c s="551" r="AP184"/>
      <c t="s" s="155" r="AQ184">
        <v>538</v>
      </c>
      <c t="str" s="13" r="AR184">
        <f>IF(ISNUMBER((AO184*AO188)),((AO184*AO188)^0.5),"---")</f>
        <v>---</v>
      </c>
      <c s="518" r="AS184"/>
      <c t="s" s="403" r="AT184">
        <v>469</v>
      </c>
      <c t="str" s="200" r="AU184">
        <f>IF(AI188,((AI158)/AI188),"---")</f>
        <v>---</v>
      </c>
      <c t="str" s="403" r="AV184">
        <f>IF((AI184&gt;0),"bedrock","")</f>
        <v/>
      </c>
      <c t="str" s="26" r="AW184">
        <f>IF((AI184&gt;0),(AI184/AI188),"")</f>
        <v/>
      </c>
      <c s="51" r="AX184"/>
      <c s="125" r="AY184"/>
      <c s="125" r="AZ184"/>
      <c s="125" r="BA184"/>
      <c s="125" r="BB184"/>
      <c s="125" r="BC184"/>
      <c s="125" r="BD184"/>
      <c s="125" r="BE184"/>
      <c s="341" r="BF184"/>
      <c s="761" r="BG184"/>
      <c s="125" r="BH184"/>
      <c s="125" r="BI184"/>
      <c s="125" r="BJ184"/>
      <c s="125" r="BK184"/>
      <c s="125" r="BL184"/>
      <c s="125" r="BM184"/>
      <c s="125" r="BN184"/>
      <c s="125" r="BO184"/>
      <c s="125" r="BP184"/>
      <c s="125" r="BQ184"/>
      <c s="125" r="BR184"/>
      <c s="125" r="BS184"/>
      <c s="125" r="BT184"/>
      <c s="125" r="BU184"/>
      <c s="125" r="BV184"/>
      <c s="125" r="BW184"/>
      <c s="125" r="BX184"/>
      <c s="125" r="BY184"/>
      <c s="125" r="BZ184"/>
      <c s="125" r="CA184"/>
      <c s="125" r="CB184"/>
      <c s="125" r="CC184"/>
      <c s="125" r="CD184"/>
      <c s="125" r="CE184"/>
      <c s="125" r="CF184"/>
      <c s="125" r="CG184"/>
      <c s="125" r="CH184"/>
      <c s="125" r="CI184"/>
      <c s="125" r="CJ184"/>
      <c s="125" r="CK184"/>
      <c s="125" r="CL184"/>
    </row>
    <row r="185">
      <c s="125" r="A185"/>
      <c s="125" r="B185"/>
      <c s="125" r="C185"/>
      <c s="125" r="D185"/>
      <c s="125" r="E185"/>
      <c s="125" r="F185"/>
      <c s="125" r="G185"/>
      <c s="125" r="H185"/>
      <c s="125" r="I185"/>
      <c s="125" r="J185"/>
      <c s="125" r="K185"/>
      <c s="125" r="L185"/>
      <c s="125" r="M185"/>
      <c s="125" r="N185"/>
      <c s="125" r="O185"/>
      <c s="125" r="P185"/>
      <c s="125" r="Q185"/>
      <c s="125" r="R185"/>
      <c s="125" r="S185"/>
      <c s="125" r="T185"/>
      <c s="125" r="U185"/>
      <c s="125" r="V185"/>
      <c s="125" r="W185"/>
      <c s="125" r="X185"/>
      <c s="125" r="Y185"/>
      <c s="125" r="Z185"/>
      <c s="125" r="AA185"/>
      <c s="125" r="AB185"/>
      <c s="125" r="AC185"/>
      <c s="822" r="AD185"/>
      <c s="424" r="AE185"/>
      <c t="s" s="37" r="AF185">
        <v>539</v>
      </c>
      <c t="str" s="67" r="AG185">
        <f>"---------------------"</f>
        <v>---------------------</v>
      </c>
      <c s="390" r="AH185"/>
      <c s="598" r="AI185"/>
      <c s="259" r="AJ185">
        <f>IF((AI182=0),0,IF((AJ158&gt;=0.5),0.062,IF((SUMIF(AJ158:AJ181,"=.5")&gt;=1),INDEX(AH158:AH181,MATCH(0.5,AJ158:AJ181,0)),(2^(LOG((INDEX(AH158:AH181,MATCH(0.5,AJ158:AJ181,1))),2)+(((LOG((INDEX(AH158:AH181,(MATCH(0.5,AJ158:AJ181,1)+1))),2)-LOG((INDEX(AH158:AH181,MATCH(0.5,AJ158:AJ181,1))),2))*(0.5-INDEX(AJ158:AJ181,MATCH(0.5,AJ158:AJ181,1))))/(INDEX(AJ158:AJ181,(MATCH(0.5,AJ158:AJ181,1)+1))-INDEX(AJ158:AJ181,MATCH(0.5,AJ158:AJ181,1)))))))))</f>
        <v>0</v>
      </c>
      <c s="450" r="AK185"/>
      <c s="140" r="AL185">
        <v>0.01</v>
      </c>
      <c s="116" r="AM185"/>
      <c t="s" s="766" r="AN185">
        <v>530</v>
      </c>
      <c t="str" s="52" r="AO185">
        <f>IF((AI182=0),"---",(ROUND((AJ184/(10^TRUNC(LOG(AJ184)))),(2-IF((AJ184&gt;1),1,0)))*(10^TRUNC(LOG(AJ184)))))</f>
        <v>---</v>
      </c>
      <c s="551" r="AP185"/>
      <c t="s" s="766" r="AQ185">
        <v>183</v>
      </c>
      <c t="str" s="258" r="AR185">
        <f>IF(ISNUMBER(((AO188/AO186)+(AO186/AO184))),(((AO188/AO186)+(AO186/AO184))/2),"---")</f>
        <v>---</v>
      </c>
      <c s="518" r="AS185"/>
      <c t="s" s="294" r="AT185">
        <v>528</v>
      </c>
      <c t="str" s="479" r="AU185">
        <f>IF(AI188,(SUM(AI159:AI163)/AI188),"---")</f>
        <v>---</v>
      </c>
      <c t="str" s="37" r="AV185">
        <f>IF((AI185&gt;0),"hardpan","")</f>
        <v/>
      </c>
      <c t="str" s="26" r="AW185">
        <f>IF((AI185&gt;0),(AI185/AI188),"")</f>
        <v/>
      </c>
      <c s="51" r="AX185"/>
      <c s="125" r="AY185"/>
      <c s="125" r="AZ185"/>
      <c s="125" r="BA185"/>
      <c s="125" r="BB185"/>
      <c s="125" r="BC185"/>
      <c s="125" r="BD185"/>
      <c s="125" r="BE185"/>
      <c s="341" r="BF185"/>
      <c s="761" r="BG185"/>
      <c s="125" r="BH185"/>
      <c s="125" r="BI185"/>
      <c s="125" r="BJ185"/>
      <c s="125" r="BK185"/>
      <c s="125" r="BL185"/>
      <c s="125" r="BM185"/>
      <c s="125" r="BN185"/>
      <c s="125" r="BO185"/>
      <c s="125" r="BP185"/>
      <c s="125" r="BQ185"/>
      <c s="125" r="BR185"/>
      <c s="125" r="BS185"/>
      <c s="125" r="BT185"/>
      <c s="125" r="BU185"/>
      <c s="125" r="BV185"/>
      <c s="125" r="BW185"/>
      <c s="125" r="BX185"/>
      <c s="125" r="BY185"/>
      <c s="125" r="BZ185"/>
      <c s="125" r="CA185"/>
      <c s="125" r="CB185"/>
      <c s="125" r="CC185"/>
      <c s="125" r="CD185"/>
      <c s="125" r="CE185"/>
      <c s="125" r="CF185"/>
      <c s="125" r="CG185"/>
      <c s="125" r="CH185"/>
      <c s="125" r="CI185"/>
      <c s="125" r="CJ185"/>
      <c s="125" r="CK185"/>
      <c s="125" r="CL185"/>
    </row>
    <row r="186">
      <c s="125" r="A186"/>
      <c s="125" r="B186"/>
      <c s="125" r="C186"/>
      <c s="125" r="D186"/>
      <c s="125" r="E186"/>
      <c s="125" r="F186"/>
      <c s="125" r="G186"/>
      <c s="125" r="H186"/>
      <c s="125" r="I186"/>
      <c s="125" r="J186"/>
      <c s="125" r="K186"/>
      <c s="125" r="L186"/>
      <c s="125" r="M186"/>
      <c s="125" r="N186"/>
      <c s="125" r="O186"/>
      <c s="125" r="P186"/>
      <c s="125" r="Q186"/>
      <c s="125" r="R186"/>
      <c s="125" r="S186"/>
      <c s="125" r="T186"/>
      <c s="125" r="U186"/>
      <c s="125" r="V186"/>
      <c s="125" r="W186"/>
      <c s="125" r="X186"/>
      <c s="125" r="Y186"/>
      <c s="125" r="Z186"/>
      <c s="125" r="AA186"/>
      <c s="125" r="AB186"/>
      <c s="125" r="AC186"/>
      <c s="822" r="AD186"/>
      <c s="424" r="AE186"/>
      <c t="s" s="37" r="AF186">
        <v>541</v>
      </c>
      <c t="str" s="67" r="AG186">
        <f>"---------------------"</f>
        <v>---------------------</v>
      </c>
      <c s="390" r="AH186"/>
      <c s="598" r="AI186"/>
      <c s="259" r="AJ186">
        <f>IF((AI182=0),0,IF((AJ158&gt;=0.65),0.062,IF((SUMIF(AJ158:AJ181,"=.65")&gt;=1),INDEX(AH158:AH181,MATCH(0.65,AJ158:AJ181,0)),(2^(LOG((INDEX(AH158:AH181,MATCH(0.65,AJ158:AJ181,1))),2)+(((LOG((INDEX(AH158:AH181,(MATCH(0.65,AJ158:AJ181,1)+1))),2)-LOG((INDEX(AH158:AH181,MATCH(0.65,AJ158:AJ181,1))),2))*(0.65-INDEX(AJ158:AJ181,MATCH(0.65,AJ158:AJ181,1))))/(INDEX(AJ158:AJ181,(MATCH(0.65,AJ158:AJ181,1)+1))-INDEX(AJ158:AJ181,MATCH(0.65,AJ158:AJ181,1)))))))))</f>
        <v>0</v>
      </c>
      <c s="617" r="AK186"/>
      <c t="str" s="140" r="AL186">
        <f>AO188</f>
        <v>---</v>
      </c>
      <c s="116" r="AM186"/>
      <c t="s" s="766" r="AN186">
        <v>533</v>
      </c>
      <c t="str" s="52" r="AO186">
        <f>IF((AI182=0),"---",(ROUND((AJ185/(10^TRUNC(LOG(AJ185)))),(2-IF((AJ185&gt;1),1,0)))*(10^TRUNC(LOG(AJ185)))))</f>
        <v>---</v>
      </c>
      <c s="551" r="AP186"/>
      <c t="s" s="766" r="AQ186">
        <v>185</v>
      </c>
      <c t="str" s="4" r="AR186">
        <f>IF(ISNUMBER((AO188*AO184)),IF((AO188=AO184),"---",(LOG((((AO188*AO184)^0.5)/AO186))/(LOG((AO188/AO184))^0.5))),"---")</f>
        <v>---</v>
      </c>
      <c s="518" r="AS186"/>
      <c t="s" s="294" r="AT186">
        <v>542</v>
      </c>
      <c t="str" s="479" r="AU186">
        <f>IF(AI188,(SUM(AI164:AI172)/AI188),"---")</f>
        <v>---</v>
      </c>
      <c t="str" s="37" r="AV186">
        <f>IF((AI186&gt;0),"wood/det","")</f>
        <v/>
      </c>
      <c t="str" s="26" r="AW186">
        <f>IF((AI186&gt;0),(AI186/AI188),"")</f>
        <v/>
      </c>
      <c s="51" r="AX186"/>
      <c s="125" r="AY186"/>
      <c s="125" r="AZ186"/>
      <c s="125" r="BA186"/>
      <c s="125" r="BB186"/>
      <c s="125" r="BC186"/>
      <c s="125" r="BD186"/>
      <c s="125" r="BE186"/>
      <c s="341" r="BF186"/>
      <c s="761" r="BG186"/>
      <c s="125" r="BH186"/>
      <c s="125" r="BI186"/>
      <c s="125" r="BJ186"/>
      <c s="125" r="BK186"/>
      <c s="125" r="BL186"/>
      <c s="125" r="BM186"/>
      <c s="125" r="BN186"/>
      <c s="125" r="BO186"/>
      <c s="125" r="BP186"/>
      <c s="125" r="BQ186"/>
      <c s="125" r="BR186"/>
      <c s="125" r="BS186"/>
      <c s="125" r="BT186"/>
      <c s="125" r="BU186"/>
      <c s="125" r="BV186"/>
      <c s="125" r="BW186"/>
      <c s="125" r="BX186"/>
      <c s="125" r="BY186"/>
      <c s="125" r="BZ186"/>
      <c s="125" r="CA186"/>
      <c s="125" r="CB186"/>
      <c s="125" r="CC186"/>
      <c s="125" r="CD186"/>
      <c s="125" r="CE186"/>
      <c s="125" r="CF186"/>
      <c s="125" r="CG186"/>
      <c s="125" r="CH186"/>
      <c s="125" r="CI186"/>
      <c s="125" r="CJ186"/>
      <c s="125" r="CK186"/>
      <c s="125" r="CL186"/>
    </row>
    <row customHeight="1" r="187" ht="13.5">
      <c s="125" r="A187"/>
      <c s="125" r="B187"/>
      <c s="125" r="C187"/>
      <c s="125" r="D187"/>
      <c s="125" r="E187"/>
      <c s="125" r="F187"/>
      <c s="125" r="G187"/>
      <c s="125" r="H187"/>
      <c s="125" r="I187"/>
      <c s="125" r="J187"/>
      <c s="125" r="K187"/>
      <c s="125" r="L187"/>
      <c s="125" r="M187"/>
      <c s="125" r="N187"/>
      <c s="125" r="O187"/>
      <c s="125" r="P187"/>
      <c s="125" r="Q187"/>
      <c s="125" r="R187"/>
      <c s="125" r="S187"/>
      <c s="125" r="T187"/>
      <c s="125" r="U187"/>
      <c s="125" r="V187"/>
      <c s="125" r="W187"/>
      <c s="125" r="X187"/>
      <c s="125" r="Y187"/>
      <c s="125" r="Z187"/>
      <c s="125" r="AA187"/>
      <c s="125" r="AB187"/>
      <c s="125" r="AC187"/>
      <c s="822" r="AD187"/>
      <c s="63" r="AE187"/>
      <c t="s" s="298" r="AF187">
        <v>543</v>
      </c>
      <c t="str" s="23" r="AG187">
        <f>"---------------------"</f>
        <v>---------------------</v>
      </c>
      <c s="218" r="AH187"/>
      <c s="598" r="AI187"/>
      <c s="259" r="AJ187">
        <f>IF((AI182=0),0,IF((AJ158&gt;=0.84),0.062,IF((SUMIF(AJ158:AJ181,"=.84")&gt;=1),INDEX(AH158:AH181,MATCH(0.84,AJ158:AJ181,0)),(2^(LOG((INDEX(AH158:AH181,MATCH(0.84,AJ158:AJ181,1))),2)+(((LOG((INDEX(AH158:AH181,(MATCH(0.84,AJ158:AJ181,1)+1))),2)-LOG((INDEX(AH158:AH181,MATCH(0.84,AJ158:AJ181,1))),2))*(0.84-INDEX(AJ158:AJ181,MATCH(0.84,AJ158:AJ181,1))))/(INDEX(AJ158:AJ181,(MATCH(0.84,AJ158:AJ181,1)+1))-INDEX(AJ158:AJ181,MATCH(0.84,AJ158:AJ181,1)))))))))</f>
        <v>0</v>
      </c>
      <c s="637" r="AK187"/>
      <c t="str" s="140" r="AL187">
        <f>AO188</f>
        <v>---</v>
      </c>
      <c s="116" r="AM187"/>
      <c t="s" s="766" r="AN187">
        <v>527</v>
      </c>
      <c t="str" s="52" r="AO187">
        <f>IF((AI182=0),"---",(ROUND((AJ186/(10^TRUNC(LOG(AJ186)))),(2-IF((AJ186&gt;1),1,0)))*(10^TRUNC(LOG(AJ186)))))</f>
        <v>---</v>
      </c>
      <c s="551" r="AP187"/>
      <c s="551" r="AQ187"/>
      <c s="551" r="AR187"/>
      <c s="518" r="AS187"/>
      <c t="s" s="294" r="AT187">
        <v>544</v>
      </c>
      <c t="str" s="479" r="AU187">
        <f>IF(AI188,(SUM(AI173:AI176)/AI188),"---")</f>
        <v>---</v>
      </c>
      <c t="str" s="37" r="AV187">
        <f>IF((AI187&gt;0),"artificial","")</f>
        <v/>
      </c>
      <c t="str" s="26" r="AW187">
        <f>IF((AI187&gt;0),(AI187/AI188),"")</f>
        <v/>
      </c>
      <c s="51" r="AX187"/>
      <c s="125" r="AY187"/>
      <c s="125" r="AZ187"/>
      <c s="125" r="BA187"/>
      <c s="125" r="BB187"/>
      <c s="125" r="BC187"/>
      <c s="125" r="BD187"/>
      <c s="125" r="BE187"/>
      <c s="341" r="BF187"/>
      <c s="761" r="BG187"/>
      <c s="125" r="BH187"/>
      <c s="125" r="BI187"/>
      <c s="125" r="BJ187"/>
      <c s="125" r="BK187"/>
      <c s="125" r="BL187"/>
      <c s="125" r="BM187"/>
      <c s="125" r="BN187"/>
      <c s="125" r="BO187"/>
      <c s="125" r="BP187"/>
      <c s="125" r="BQ187"/>
      <c s="125" r="BR187"/>
      <c s="125" r="BS187"/>
      <c s="125" r="BT187"/>
      <c s="125" r="BU187"/>
      <c s="125" r="BV187"/>
      <c s="125" r="BW187"/>
      <c s="125" r="BX187"/>
      <c s="125" r="BY187"/>
      <c s="125" r="BZ187"/>
      <c s="125" r="CA187"/>
      <c s="125" r="CB187"/>
      <c s="125" r="CC187"/>
      <c s="125" r="CD187"/>
      <c s="125" r="CE187"/>
      <c s="125" r="CF187"/>
      <c s="125" r="CG187"/>
      <c s="125" r="CH187"/>
      <c s="125" r="CI187"/>
      <c s="125" r="CJ187"/>
      <c s="125" r="CK187"/>
      <c s="125" r="CL187"/>
    </row>
    <row customHeight="1" r="188" ht="15.0">
      <c s="125" r="A188"/>
      <c s="125" r="B188"/>
      <c s="125" r="C188"/>
      <c s="125" r="D188"/>
      <c s="125" r="E188"/>
      <c s="125" r="F188"/>
      <c s="125" r="G188"/>
      <c s="125" r="H188"/>
      <c s="125" r="I188"/>
      <c s="125" r="J188"/>
      <c s="125" r="K188"/>
      <c s="125" r="L188"/>
      <c s="125" r="M188"/>
      <c s="125" r="N188"/>
      <c s="125" r="O188"/>
      <c s="125" r="P188"/>
      <c s="125" r="Q188"/>
      <c s="125" r="R188"/>
      <c s="125" r="S188"/>
      <c s="125" r="T188"/>
      <c s="125" r="U188"/>
      <c s="125" r="V188"/>
      <c s="125" r="W188"/>
      <c s="125" r="X188"/>
      <c s="125" r="Y188"/>
      <c s="125" r="Z188"/>
      <c s="125" r="AA188"/>
      <c s="125" r="AB188"/>
      <c s="125" r="AC188"/>
      <c s="822" r="AD188"/>
      <c s="178" r="AE188"/>
      <c s="640" r="AF188"/>
      <c s="640" r="AG188"/>
      <c t="s" s="232" r="AH188">
        <v>545</v>
      </c>
      <c s="897" r="AI188">
        <f>SUM(AI158:AI181)+SUM(AI184:AI187)</f>
        <v>0</v>
      </c>
      <c s="259" r="AJ188">
        <f>IF((AI182=0),0,IF((AJ158&gt;=0.95),0.062,IF((SUMIF(AJ158:AJ181,"=.95")&gt;=1),INDEX(AH158:AH181,MATCH(0.95,AJ158:AJ181,0)),(2^(LOG((INDEX(AH158:AH181,MATCH(0.95,AJ158:AJ181,1))),2)+(((LOG((INDEX(AH158:AH181,(MATCH(0.95,AJ158:AJ181,1)+1))),2)-LOG((INDEX(AH158:AH181,MATCH(0.95,AJ158:AJ181,1))),2))*(0.95-INDEX(AJ158:AJ181,MATCH(0.95,AJ158:AJ181,1))))/(INDEX(AJ158:AJ181,(MATCH(0.95,AJ158:AJ181,1)+1))-INDEX(AJ158:AJ181,MATCH(0.95,AJ158:AJ181,1)))))))))</f>
        <v>0</v>
      </c>
      <c s="637" r="AK188"/>
      <c t="str" s="140" r="AL188">
        <f>IF((AI182&gt;0),0.84,NA())</f>
        <v>#N/A:explicit</v>
      </c>
      <c s="116" r="AM188"/>
      <c t="s" s="766" r="AN188">
        <v>531</v>
      </c>
      <c t="str" s="52" r="AO188">
        <f>IF((AI182=0),"---",(ROUND((AJ187/(10^TRUNC(LOG(AJ187)))),(2-IF((AJ187&gt;1),1,0)))*(10^TRUNC(LOG(AJ187)))))</f>
        <v>---</v>
      </c>
      <c s="551" r="AP188"/>
      <c s="551" r="AQ188"/>
      <c s="551" r="AR188"/>
      <c s="518" r="AS188"/>
      <c t="s" s="294" r="AT188">
        <v>546</v>
      </c>
      <c t="str" s="479" r="AU188">
        <f>IF(AI188,(SUM(AI177:AI181)/AI188),"---")</f>
        <v>---</v>
      </c>
      <c s="518" r="AV188"/>
      <c s="452" r="AW188"/>
      <c s="51" r="AX188"/>
      <c s="125" r="AY188"/>
      <c s="125" r="AZ188"/>
      <c s="125" r="BA188"/>
      <c s="125" r="BB188"/>
      <c s="125" r="BC188"/>
      <c s="125" r="BD188"/>
      <c s="125" r="BE188"/>
      <c s="341" r="BF188"/>
      <c s="761" r="BG188"/>
      <c s="125" r="BH188"/>
      <c s="125" r="BI188"/>
      <c s="125" r="BJ188"/>
      <c s="125" r="BK188"/>
      <c s="125" r="BL188"/>
      <c s="125" r="BM188"/>
      <c s="125" r="BN188"/>
      <c s="125" r="BO188"/>
      <c s="125" r="BP188"/>
      <c s="125" r="BQ188"/>
      <c s="125" r="BR188"/>
      <c s="125" r="BS188"/>
      <c s="125" r="BT188"/>
      <c s="125" r="BU188"/>
      <c s="125" r="BV188"/>
      <c s="125" r="BW188"/>
      <c s="125" r="BX188"/>
      <c s="125" r="BY188"/>
      <c s="125" r="BZ188"/>
      <c s="125" r="CA188"/>
      <c s="125" r="CB188"/>
      <c s="125" r="CC188"/>
      <c s="125" r="CD188"/>
      <c s="125" r="CE188"/>
      <c s="125" r="CF188"/>
      <c s="125" r="CG188"/>
      <c s="125" r="CH188"/>
      <c s="125" r="CI188"/>
      <c s="125" r="CJ188"/>
      <c s="125" r="CK188"/>
      <c s="125" r="CL188"/>
    </row>
    <row r="189">
      <c s="125" r="A189"/>
      <c s="125" r="B189"/>
      <c s="125" r="C189"/>
      <c s="125" r="D189"/>
      <c s="125" r="E189"/>
      <c s="125" r="F189"/>
      <c s="125" r="G189"/>
      <c s="125" r="H189"/>
      <c s="125" r="I189"/>
      <c s="125" r="J189"/>
      <c s="125" r="K189"/>
      <c s="125" r="L189"/>
      <c s="125" r="M189"/>
      <c s="125" r="N189"/>
      <c s="125" r="O189"/>
      <c s="125" r="P189"/>
      <c s="125" r="Q189"/>
      <c s="125" r="R189"/>
      <c s="125" r="S189"/>
      <c s="125" r="T189"/>
      <c s="125" r="U189"/>
      <c s="125" r="V189"/>
      <c s="125" r="W189"/>
      <c s="125" r="X189"/>
      <c s="125" r="Y189"/>
      <c s="125" r="Z189"/>
      <c s="125" r="AA189"/>
      <c s="125" r="AB189"/>
      <c s="125" r="AC189"/>
      <c s="822" r="AD189"/>
      <c s="908" r="AE189"/>
      <c s="414" r="AF189"/>
      <c s="414" r="AG189"/>
      <c s="414" r="AH189"/>
      <c s="397" r="AI189"/>
      <c s="901" r="AJ189"/>
      <c s="291" r="AK189"/>
      <c t="str" s="140" r="AL189">
        <f>AL188</f>
        <v>#N/A:explicit</v>
      </c>
      <c s="116" r="AM189"/>
      <c t="s" s="766" r="AN189">
        <v>534</v>
      </c>
      <c t="str" s="52" r="AO189">
        <f>IF((AI182=0),"---",(ROUND((AJ188/(10^TRUNC(LOG(AJ188)))),(2-IF((AJ188&gt;1),1,0)))*(10^TRUNC(LOG(AJ188)))))</f>
        <v>---</v>
      </c>
      <c s="518" r="AP189"/>
      <c s="518" r="AQ189"/>
      <c s="518" r="AR189"/>
      <c s="518" r="AS189"/>
      <c s="518" r="AT189"/>
      <c s="518" r="AU189"/>
      <c s="518" r="AV189"/>
      <c s="452" r="AW189"/>
      <c s="51" r="AX189"/>
      <c s="125" r="AY189"/>
      <c s="125" r="AZ189"/>
      <c s="125" r="BA189"/>
      <c s="125" r="BB189"/>
      <c s="125" r="BC189"/>
      <c s="125" r="BD189"/>
      <c s="125" r="BE189"/>
      <c s="341" r="BF189"/>
      <c s="761" r="BG189"/>
      <c s="125" r="BH189"/>
      <c s="125" r="BI189"/>
      <c s="125" r="BJ189"/>
      <c s="125" r="BK189"/>
      <c s="125" r="BL189"/>
      <c s="125" r="BM189"/>
      <c s="125" r="BN189"/>
      <c s="125" r="BO189"/>
      <c s="125" r="BP189"/>
      <c s="125" r="BQ189"/>
      <c s="125" r="BR189"/>
      <c s="125" r="BS189"/>
      <c s="125" r="BT189"/>
      <c s="125" r="BU189"/>
      <c s="125" r="BV189"/>
      <c s="125" r="BW189"/>
      <c s="125" r="BX189"/>
      <c s="125" r="BY189"/>
      <c s="125" r="BZ189"/>
      <c s="125" r="CA189"/>
      <c s="125" r="CB189"/>
      <c s="125" r="CC189"/>
      <c s="125" r="CD189"/>
      <c s="125" r="CE189"/>
      <c s="125" r="CF189"/>
      <c s="125" r="CG189"/>
      <c s="125" r="CH189"/>
      <c s="125" r="CI189"/>
      <c s="125" r="CJ189"/>
      <c s="125" r="CK189"/>
      <c s="125" r="CL189"/>
    </row>
    <row customHeight="1" r="190" ht="13.5">
      <c s="125" r="A190"/>
      <c s="125" r="B190"/>
      <c s="125" r="C190"/>
      <c s="125" r="D190"/>
      <c s="125" r="E190"/>
      <c s="125" r="F190"/>
      <c s="125" r="G190"/>
      <c s="125" r="H190"/>
      <c s="125" r="I190"/>
      <c s="125" r="J190"/>
      <c s="125" r="K190"/>
      <c s="125" r="L190"/>
      <c s="125" r="M190"/>
      <c s="125" r="N190"/>
      <c s="125" r="O190"/>
      <c s="125" r="P190"/>
      <c s="125" r="Q190"/>
      <c s="125" r="R190"/>
      <c s="125" r="S190"/>
      <c s="125" r="T190"/>
      <c s="125" r="U190"/>
      <c s="125" r="V190"/>
      <c s="125" r="W190"/>
      <c s="125" r="X190"/>
      <c s="125" r="Y190"/>
      <c s="125" r="Z190"/>
      <c s="125" r="AA190"/>
      <c s="125" r="AB190"/>
      <c s="125" r="AC190"/>
      <c s="822" r="AD190"/>
      <c t="s" s="340" r="AE190">
        <v>529</v>
      </c>
      <c s="256" r="AF190"/>
      <c s="650" r="AG190"/>
      <c s="650" r="AH190"/>
      <c s="500" r="AI190"/>
      <c s="901" r="AJ190"/>
      <c s="291" r="AK190"/>
      <c s="140" r="AL190">
        <v>0</v>
      </c>
      <c s="533" r="AM190"/>
      <c s="685" r="AN190"/>
      <c s="685" r="AO190"/>
      <c s="685" r="AP190"/>
      <c s="685" r="AQ190"/>
      <c s="685" r="AR190"/>
      <c s="685" r="AS190"/>
      <c s="685" r="AT190"/>
      <c s="685" r="AU190"/>
      <c s="685" r="AV190"/>
      <c s="877" r="AW190"/>
      <c s="51" r="AX190"/>
      <c s="125" r="AY190"/>
      <c s="125" r="AZ190"/>
      <c s="125" r="BA190"/>
      <c s="125" r="BB190"/>
      <c s="125" r="BC190"/>
      <c s="125" r="BD190"/>
      <c s="125" r="BE190"/>
      <c s="341" r="BF190"/>
      <c s="761" r="BG190"/>
      <c s="125" r="BH190"/>
      <c s="125" r="BI190"/>
      <c s="125" r="BJ190"/>
      <c s="125" r="BK190"/>
      <c s="125" r="BL190"/>
      <c s="125" r="BM190"/>
      <c s="125" r="BN190"/>
      <c s="125" r="BO190"/>
      <c s="125" r="BP190"/>
      <c s="125" r="BQ190"/>
      <c s="125" r="BR190"/>
      <c s="125" r="BS190"/>
      <c s="125" r="BT190"/>
      <c s="125" r="BU190"/>
      <c s="125" r="BV190"/>
      <c s="125" r="BW190"/>
      <c s="125" r="BX190"/>
      <c s="125" r="BY190"/>
      <c s="125" r="BZ190"/>
      <c s="125" r="CA190"/>
      <c s="125" r="CB190"/>
      <c s="125" r="CC190"/>
      <c s="125" r="CD190"/>
      <c s="125" r="CE190"/>
      <c s="125" r="CF190"/>
      <c s="125" r="CG190"/>
      <c s="125" r="CH190"/>
      <c s="125" r="CI190"/>
      <c s="125" r="CJ190"/>
      <c s="125" r="CK190"/>
      <c s="125" r="CL190"/>
    </row>
    <row customHeight="1" r="191" ht="13.5">
      <c s="125" r="A191"/>
      <c s="125" r="B191"/>
      <c s="125" r="C191"/>
      <c s="125" r="D191"/>
      <c s="125" r="E191"/>
      <c s="125" r="F191"/>
      <c s="125" r="G191"/>
      <c s="125" r="H191"/>
      <c s="125" r="I191"/>
      <c s="125" r="J191"/>
      <c s="125" r="K191"/>
      <c s="125" r="L191"/>
      <c s="125" r="M191"/>
      <c s="125" r="N191"/>
      <c s="125" r="O191"/>
      <c s="125" r="P191"/>
      <c s="125" r="Q191"/>
      <c s="125" r="R191"/>
      <c s="125" r="S191"/>
      <c s="125" r="T191"/>
      <c s="125" r="U191"/>
      <c s="125" r="V191"/>
      <c s="125" r="W191"/>
      <c s="125" r="X191"/>
      <c s="125" r="Y191"/>
      <c s="125" r="Z191"/>
      <c s="125" r="AA191"/>
      <c s="125" r="AB191"/>
      <c s="125" r="AC191"/>
      <c s="125" r="AD191"/>
      <c s="442" r="AE191"/>
      <c s="442" r="AF191"/>
      <c s="442" r="AG191"/>
      <c s="442" r="AH191"/>
      <c s="442" r="AI191"/>
      <c s="642" r="AJ191"/>
      <c s="642" r="AK191"/>
      <c s="125" r="AL191"/>
      <c s="442" r="AM191"/>
      <c s="442" r="AN191"/>
      <c s="442" r="AO191"/>
      <c s="442" r="AP191"/>
      <c s="442" r="AQ191"/>
      <c s="442" r="AR191"/>
      <c s="442" r="AS191"/>
      <c s="442" r="AT191"/>
      <c s="442" r="AU191"/>
      <c s="442" r="AV191"/>
      <c s="442" r="AW191"/>
      <c s="125" r="AX191"/>
      <c s="125" r="AY191"/>
      <c s="125" r="AZ191"/>
      <c s="125" r="BA191"/>
      <c s="125" r="BB191"/>
      <c s="125" r="BC191"/>
      <c s="125" r="BD191"/>
      <c s="125" r="BE191"/>
      <c s="341" r="BF191"/>
      <c s="761" r="BG191"/>
      <c s="125" r="BH191"/>
      <c s="125" r="BI191"/>
      <c s="125" r="BJ191"/>
      <c s="125" r="BK191"/>
      <c s="125" r="BL191"/>
      <c s="125" r="BM191"/>
      <c s="125" r="BN191"/>
      <c s="125" r="BO191"/>
      <c s="125" r="BP191"/>
      <c s="125" r="BQ191"/>
      <c s="125" r="BR191"/>
      <c s="125" r="BS191"/>
      <c s="125" r="BT191"/>
      <c s="125" r="BU191"/>
      <c s="125" r="BV191"/>
      <c s="125" r="BW191"/>
      <c s="125" r="BX191"/>
      <c s="125" r="BY191"/>
      <c s="125" r="BZ191"/>
      <c s="125" r="CA191"/>
      <c s="125" r="CB191"/>
      <c s="125" r="CC191"/>
      <c s="125" r="CD191"/>
      <c s="125" r="CE191"/>
      <c s="125" r="CF191"/>
      <c s="125" r="CG191"/>
      <c s="125" r="CH191"/>
      <c s="125" r="CI191"/>
      <c s="125" r="CJ191"/>
      <c s="125" r="CK191"/>
      <c s="125" r="CL191"/>
    </row>
    <row r="192">
      <c s="125" r="A192"/>
      <c s="125" r="B192"/>
      <c s="125" r="C192"/>
      <c s="125" r="D192"/>
      <c s="125" r="E192"/>
      <c s="125" r="F192"/>
      <c s="125" r="G192"/>
      <c s="125" r="H192"/>
      <c s="125" r="I192"/>
      <c s="125" r="J192"/>
      <c s="125" r="K192"/>
      <c s="125" r="L192"/>
      <c s="125" r="M192"/>
      <c s="125" r="N192"/>
      <c s="125" r="O192"/>
      <c s="125" r="P192"/>
      <c s="125" r="Q192"/>
      <c s="125" r="R192"/>
      <c s="125" r="S192"/>
      <c s="125" r="T192"/>
      <c s="125" r="U192"/>
      <c s="125" r="V192"/>
      <c s="125" r="W192"/>
      <c s="125" r="X192"/>
      <c s="125" r="Y192"/>
      <c s="125" r="Z192"/>
      <c s="125" r="AA192"/>
      <c s="125" r="AB192"/>
      <c s="125" r="AC192"/>
      <c s="125" r="AD192"/>
      <c s="125" r="AE192"/>
      <c s="125" r="AF192"/>
      <c s="125" r="AG192"/>
      <c s="125" r="AH192"/>
      <c s="125" r="AI192"/>
      <c s="642" r="AJ192"/>
      <c s="642" r="AK192"/>
      <c s="125" r="AL192"/>
      <c s="125" r="AM192"/>
      <c s="125" r="AN192"/>
      <c s="125" r="AO192"/>
      <c s="125" r="AP192"/>
      <c s="125" r="AQ192"/>
      <c s="125" r="AR192"/>
      <c s="125" r="AS192"/>
      <c s="125" r="AT192"/>
      <c s="125" r="AU192"/>
      <c s="125" r="AV192"/>
      <c s="125" r="AW192"/>
      <c s="125" r="AX192"/>
      <c s="125" r="AY192"/>
      <c s="125" r="AZ192"/>
      <c s="125" r="BA192"/>
      <c s="125" r="BB192"/>
      <c s="125" r="BC192"/>
      <c s="125" r="BD192"/>
      <c s="125" r="BE192"/>
      <c s="341" r="BF192"/>
      <c s="761" r="BG192"/>
      <c s="125" r="BH192"/>
      <c s="125" r="BI192"/>
      <c s="125" r="BJ192"/>
      <c s="125" r="BK192"/>
      <c s="125" r="BL192"/>
      <c s="125" r="BM192"/>
      <c s="125" r="BN192"/>
      <c s="125" r="BO192"/>
      <c s="125" r="BP192"/>
      <c s="125" r="BQ192"/>
      <c s="125" r="BR192"/>
      <c s="125" r="BS192"/>
      <c s="125" r="BT192"/>
      <c s="125" r="BU192"/>
      <c s="125" r="BV192"/>
      <c s="125" r="BW192"/>
      <c s="125" r="BX192"/>
      <c s="125" r="BY192"/>
      <c s="125" r="BZ192"/>
      <c s="125" r="CA192"/>
      <c s="125" r="CB192"/>
      <c s="125" r="CC192"/>
      <c s="125" r="CD192"/>
      <c s="125" r="CE192"/>
      <c s="125" r="CF192"/>
      <c s="125" r="CG192"/>
      <c s="125" r="CH192"/>
      <c s="125" r="CI192"/>
      <c s="125" r="CJ192"/>
      <c s="125" r="CK192"/>
      <c s="125" r="CL192"/>
    </row>
    <row r="193">
      <c s="125" r="A193"/>
      <c s="125" r="B193"/>
      <c s="125" r="C193"/>
      <c s="125" r="D193"/>
      <c s="125" r="E193"/>
      <c s="125" r="F193"/>
      <c s="125" r="G193"/>
      <c s="125" r="H193"/>
      <c s="125" r="I193"/>
      <c s="125" r="J193"/>
      <c s="125" r="K193"/>
      <c s="125" r="L193"/>
      <c s="125" r="M193"/>
      <c s="125" r="N193"/>
      <c s="125" r="O193"/>
      <c s="125" r="P193"/>
      <c s="125" r="Q193"/>
      <c s="125" r="R193"/>
      <c s="125" r="S193"/>
      <c s="125" r="T193"/>
      <c s="125" r="U193"/>
      <c s="125" r="V193"/>
      <c s="125" r="W193"/>
      <c s="125" r="X193"/>
      <c s="125" r="Y193"/>
      <c s="125" r="Z193"/>
      <c s="125" r="AA193"/>
      <c s="125" r="AB193"/>
      <c s="125" r="AC193"/>
      <c s="125" r="AD193"/>
      <c s="125" r="AE193"/>
      <c s="125" r="AF193"/>
      <c s="125" r="AG193"/>
      <c s="125" r="AH193"/>
      <c s="125" r="AI193"/>
      <c s="642" r="AJ193"/>
      <c s="642" r="AK193"/>
      <c s="125" r="AL193"/>
      <c s="125" r="AM193"/>
      <c s="125" r="AN193"/>
      <c s="125" r="AO193"/>
      <c s="125" r="AP193"/>
      <c s="125" r="AQ193"/>
      <c s="125" r="AR193"/>
      <c s="125" r="AS193"/>
      <c s="125" r="AT193"/>
      <c s="125" r="AU193"/>
      <c s="125" r="AV193"/>
      <c s="125" r="AW193"/>
      <c s="125" r="AX193"/>
      <c s="125" r="AY193"/>
      <c s="125" r="AZ193"/>
      <c s="125" r="BA193"/>
      <c s="125" r="BB193"/>
      <c s="125" r="BC193"/>
      <c s="125" r="BD193"/>
      <c s="125" r="BE193"/>
      <c s="341" r="BF193"/>
      <c s="761" r="BG193"/>
      <c s="125" r="BH193"/>
      <c s="125" r="BI193"/>
      <c s="125" r="BJ193"/>
      <c s="125" r="BK193"/>
      <c s="125" r="BL193"/>
      <c s="125" r="BM193"/>
      <c s="125" r="BN193"/>
      <c s="125" r="BO193"/>
      <c s="125" r="BP193"/>
      <c s="125" r="BQ193"/>
      <c s="125" r="BR193"/>
      <c s="125" r="BS193"/>
      <c s="125" r="BT193"/>
      <c s="125" r="BU193"/>
      <c s="125" r="BV193"/>
      <c s="125" r="BW193"/>
      <c s="125" r="BX193"/>
      <c s="125" r="BY193"/>
      <c s="125" r="BZ193"/>
      <c s="125" r="CA193"/>
      <c s="125" r="CB193"/>
      <c s="125" r="CC193"/>
      <c s="125" r="CD193"/>
      <c s="125" r="CE193"/>
      <c s="125" r="CF193"/>
      <c s="125" r="CG193"/>
      <c s="125" r="CH193"/>
      <c s="125" r="CI193"/>
      <c s="125" r="CJ193"/>
      <c s="125" r="CK193"/>
      <c s="125" r="CL193"/>
    </row>
  </sheetData>
  <mergeCells count="39">
    <mergeCell ref="AE12:AI12"/>
    <mergeCell ref="BB12:BC12"/>
    <mergeCell ref="BD12:BE12"/>
    <mergeCell ref="BB13:BC13"/>
    <mergeCell ref="BD13:BE13"/>
    <mergeCell ref="BN31:BO31"/>
    <mergeCell ref="BH32:BI32"/>
    <mergeCell ref="BK32:BL32"/>
    <mergeCell ref="AZ34:BE34"/>
    <mergeCell ref="D35:I37"/>
    <mergeCell ref="T36:U36"/>
    <mergeCell ref="W36:X36"/>
    <mergeCell ref="AN39:AO39"/>
    <mergeCell ref="AQ39:AR39"/>
    <mergeCell ref="D41:I41"/>
    <mergeCell ref="D42:I43"/>
    <mergeCell ref="BB43:BC43"/>
    <mergeCell ref="BD43:BE43"/>
    <mergeCell ref="BB44:BC44"/>
    <mergeCell ref="BD44:BE44"/>
    <mergeCell ref="AF46:AI46"/>
    <mergeCell ref="BK62:BL62"/>
    <mergeCell ref="BN62:BO62"/>
    <mergeCell ref="BH63:BI63"/>
    <mergeCell ref="AZ65:BE65"/>
    <mergeCell ref="T73:U73"/>
    <mergeCell ref="W73:X73"/>
    <mergeCell ref="AN75:AO75"/>
    <mergeCell ref="AQ75:AR75"/>
    <mergeCell ref="AF82:AI82"/>
    <mergeCell ref="AN111:AO111"/>
    <mergeCell ref="AQ111:AR111"/>
    <mergeCell ref="AF118:AI118"/>
    <mergeCell ref="AN147:AO147"/>
    <mergeCell ref="AQ147:AR147"/>
    <mergeCell ref="AF154:AI154"/>
    <mergeCell ref="AN183:AO183"/>
    <mergeCell ref="AQ183:AR183"/>
    <mergeCell ref="AF190:AI190"/>
  </mergeCells>
  <conditionalFormatting sqref="BW7 BW8 BW9 BW10 BW11 BW12 BW13 BW14 BW15 BW16">
    <cfRule priority="1" type="cellIs" operator="greaterThan" stopIfTrue="1" dxfId="1">
      <formula>$BV1</formula>
    </cfRule>
    <cfRule priority="2" type="cellIs" operator="greaterThan" stopIfTrue="1" dxfId="1">
      <formula>$BU1</formula>
    </cfRule>
  </conditionalFormatting>
  <conditionalFormatting sqref="BV7 BV8 BV9 BV10 BV11 BV12 BV13 BV14 BV15 BV16">
    <cfRule priority="1" type="cellIs" operator="greaterThan" stopIfTrue="1" dxfId="1">
      <formula>$BU1</formula>
    </cfRule>
  </conditionalFormatting>
  <dataValidations>
    <dataValidation showErrorMessage="1" sqref="AN7 AR7 AN9 AR9 O11:O34 AL12:AL15 AI14:AI37 O37 AI40:AI43 O48:O71 AI50:AI73 O74 AI76 AI86:AI109 AI112 AI122:AI145 AI148 AI158:AI181 AI184" allowBlank="1" prompt=": " type="whole" operator="notEqual" showInputMessage="1">
      <formula1>-431.2126</formula1>
    </dataValidation>
  </dataValidations>
  <legacy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10" style="125" width="9.57"/>
    <col min="11" customWidth="1" max="11" style="125" width="10.71"/>
    <col min="12" customWidth="1" max="17" style="125" width="9.14"/>
    <col min="18" customWidth="1" max="18" style="125" width="8.14"/>
    <col min="19" customWidth="1" max="21" style="125" width="9.14"/>
    <col min="22" customWidth="1" max="22" style="125" width="5.14"/>
    <col min="23" customWidth="1" max="23" style="125" width="10.71"/>
    <col min="24" customWidth="1" max="32" style="125" width="0.29"/>
    <col min="33" customWidth="1" max="33" style="642" width="0.29"/>
    <col min="34" customWidth="1" max="34" style="642" width="5.71"/>
    <col min="35" customWidth="1" max="35" style="125" width="10.71"/>
    <col min="36" customWidth="1" max="41" style="125" width="9.14"/>
    <col min="42" customWidth="1" max="42" style="125" width="8.14"/>
    <col min="43" customWidth="1" max="45" style="125" width="9.14"/>
    <col min="46" customWidth="1" max="46" style="125" width="5.14"/>
    <col min="47" customWidth="1" max="47" style="125" width="10.71"/>
    <col min="48" customWidth="1" max="56" style="125" width="0.29"/>
    <col min="57" customWidth="1" max="57" style="642" width="0.29"/>
    <col min="58" customWidth="1" max="58" style="642" width="5.71"/>
    <col min="59" customWidth="1" max="59" style="125" width="10.71"/>
    <col min="60" customWidth="1" max="65" style="125" width="9.14"/>
    <col min="66" customWidth="1" max="66" style="125" width="8.14"/>
    <col min="67" customWidth="1" max="69" style="125" width="9.14"/>
    <col min="70" customWidth="1" max="70" style="125" width="5.14"/>
    <col min="71" customWidth="1" max="71" style="125" width="10.71"/>
    <col min="72" customWidth="1" max="80" style="125" width="0.29"/>
    <col min="81" customWidth="1" max="81" style="642" width="0.29"/>
    <col min="82" customWidth="1" max="82" style="642" width="5.71"/>
    <col min="83" customWidth="1" max="83" style="125" width="10.71"/>
    <col min="84" customWidth="1" max="89" style="125" width="9.14"/>
    <col min="90" customWidth="1" max="90" style="125" width="8.14"/>
    <col min="91" customWidth="1" max="93" style="125" width="9.14"/>
    <col min="94" customWidth="1" max="94" style="125" width="5.14"/>
    <col min="95" customWidth="1" max="95" style="125" width="10.71"/>
    <col min="96" customWidth="1" max="104" style="125" width="0.29"/>
    <col min="105" customWidth="1" max="105" style="642" width="0.29"/>
    <col min="106" customWidth="1" max="106" style="642" width="5.71"/>
    <col min="107" customWidth="1" max="107" style="125" width="10.71"/>
    <col min="108" customWidth="1" max="113" style="125" width="9.14"/>
    <col min="114" customWidth="1" max="114" style="125" width="8.14"/>
    <col min="115" customWidth="1" max="117" style="125" width="9.14"/>
    <col min="118" customWidth="1" max="118" style="125" width="5.14"/>
    <col min="119" customWidth="1" max="119" style="125" width="10.71"/>
    <col min="120" customWidth="1" max="128" style="125" width="0.29"/>
    <col min="129" customWidth="1" max="129" style="642" width="0.29"/>
    <col min="130" customWidth="1" max="130" style="642" width="5.71"/>
    <col min="131" customWidth="1" max="131" style="125" width="10.71"/>
    <col min="132" customWidth="1" max="137" style="125" width="9.14"/>
    <col min="138" customWidth="1" max="138" style="125" width="8.14"/>
    <col min="139" customWidth="1" max="141" style="125" width="9.14"/>
    <col min="142" customWidth="1" max="142" style="125" width="5.14"/>
    <col min="143" customWidth="1" max="143" style="125" width="10.71"/>
    <col min="144" customWidth="1" max="152" style="125" width="0.29"/>
    <col min="153" customWidth="1" max="153" style="642" width="0.29"/>
    <col min="154" customWidth="1" max="154" style="642" width="5.71"/>
    <col min="155" customWidth="1" max="155" style="125" width="10.71"/>
    <col min="156" customWidth="1" max="161" style="125" width="9.14"/>
    <col min="162" customWidth="1" max="162" style="125" width="8.14"/>
    <col min="163" customWidth="1" max="165" style="125" width="9.14"/>
    <col min="166" customWidth="1" max="166" style="125" width="5.14"/>
    <col min="167" customWidth="1" max="167" style="125" width="10.71"/>
    <col min="168" customWidth="1" max="176" style="125" width="0.29"/>
    <col min="177" customWidth="1" max="177" style="642" width="0.29"/>
    <col min="178" customWidth="1" max="178" style="642" width="5.71"/>
    <col min="179" customWidth="1" max="210" style="125" width="9.14"/>
  </cols>
  <sheetData>
    <row r="1">
      <c t="s" s="642" r="A1">
        <v>2</v>
      </c>
      <c s="642" r="B1"/>
      <c s="642" r="C1"/>
      <c s="125" r="D1"/>
      <c s="125" r="E1"/>
      <c s="125" r="F1"/>
      <c s="125" r="G1"/>
      <c s="125" r="H1"/>
      <c s="642" r="I1"/>
      <c s="642" r="J1"/>
      <c s="125" r="K1"/>
      <c s="125" r="L1"/>
      <c s="125" r="M1"/>
      <c s="125" r="N1"/>
      <c s="125" r="O1"/>
      <c s="125" r="P1"/>
      <c s="125" r="Q1"/>
      <c s="125" r="R1"/>
      <c s="125" r="S1"/>
      <c s="125" r="T1"/>
      <c s="125" r="U1"/>
      <c s="125" r="V1"/>
      <c s="125" r="W1"/>
      <c s="125" r="X1"/>
      <c s="125" r="Y1"/>
      <c s="125" r="Z1"/>
      <c s="125" r="AA1"/>
      <c s="125" r="AB1"/>
      <c s="125" r="AC1"/>
      <c s="125" r="AD1"/>
      <c s="125" r="AE1"/>
      <c s="125" r="AF1"/>
      <c s="642" r="AG1"/>
      <c s="642" r="AH1"/>
      <c s="125" r="AI1"/>
      <c s="125" r="AJ1"/>
      <c s="125" r="AK1"/>
      <c s="125" r="AL1"/>
      <c s="125" r="AM1"/>
      <c s="125" r="AN1"/>
      <c s="125" r="AO1"/>
      <c s="125" r="AP1"/>
      <c s="125" r="AQ1"/>
      <c s="125" r="AR1"/>
      <c s="125" r="AS1"/>
      <c s="125" r="AT1"/>
      <c s="125" r="AU1"/>
      <c s="125" r="AV1"/>
      <c s="125" r="AW1"/>
      <c s="125" r="AX1"/>
      <c s="125" r="AY1"/>
      <c s="125" r="AZ1"/>
      <c s="125" r="BA1"/>
      <c s="125" r="BB1"/>
      <c s="125" r="BC1"/>
      <c s="125" r="BD1"/>
      <c s="642" r="BE1"/>
      <c s="642" r="BF1"/>
      <c s="125" r="BG1"/>
      <c s="125" r="BH1"/>
      <c s="125" r="BI1"/>
      <c s="125" r="BJ1"/>
      <c s="125" r="BK1"/>
      <c s="125" r="BL1"/>
      <c s="125" r="BM1"/>
      <c s="125" r="BN1"/>
      <c s="125" r="BO1"/>
      <c s="125" r="BP1"/>
      <c s="125" r="BQ1"/>
      <c s="125" r="BR1"/>
      <c s="125" r="BS1"/>
      <c s="125" r="BT1"/>
      <c s="125" r="BU1"/>
      <c s="125" r="BV1"/>
      <c s="125" r="BW1"/>
      <c s="125" r="BX1"/>
      <c s="125" r="BY1"/>
      <c s="125" r="BZ1"/>
      <c s="125" r="CA1"/>
      <c s="125" r="CB1"/>
      <c s="642" r="CC1"/>
      <c s="642" r="CD1"/>
      <c s="125" r="CE1"/>
      <c s="125" r="CF1"/>
      <c s="125" r="CG1"/>
      <c s="125" r="CH1"/>
      <c s="125" r="CI1"/>
      <c s="125" r="CJ1"/>
      <c s="125" r="CK1"/>
      <c s="125" r="CL1"/>
      <c s="125" r="CM1"/>
      <c s="125" r="CN1"/>
      <c s="125" r="CO1"/>
      <c s="125" r="CP1"/>
      <c s="125" r="CQ1"/>
      <c s="125" r="CR1"/>
      <c s="125" r="CS1"/>
      <c s="125" r="CT1"/>
      <c s="125" r="CU1"/>
      <c s="125" r="CV1"/>
      <c s="125" r="CW1"/>
      <c s="125" r="CX1"/>
      <c s="125" r="CY1"/>
      <c s="125" r="CZ1"/>
      <c s="642" r="DA1"/>
      <c s="642" r="DB1"/>
      <c s="125" r="DC1"/>
      <c s="125" r="DD1"/>
      <c s="125" r="DE1"/>
      <c s="125" r="DF1"/>
      <c s="125" r="DG1"/>
      <c s="125" r="DH1"/>
      <c s="125" r="DI1"/>
      <c s="125" r="DJ1"/>
      <c s="125" r="DK1"/>
      <c s="125" r="DL1"/>
      <c s="125" r="DM1"/>
      <c s="125" r="DN1"/>
      <c s="125" r="DO1"/>
      <c s="125" r="DP1"/>
      <c s="125" r="DQ1"/>
      <c s="125" r="DR1"/>
      <c s="125" r="DS1"/>
      <c s="125" r="DT1"/>
      <c s="125" r="DU1"/>
      <c s="125" r="DV1"/>
      <c s="125" r="DW1"/>
      <c s="125" r="DX1"/>
      <c s="642" r="DY1"/>
      <c s="642" r="DZ1"/>
      <c s="125" r="EA1"/>
      <c s="125" r="EB1"/>
      <c s="125" r="EC1"/>
      <c s="125" r="ED1"/>
      <c s="125" r="EE1"/>
      <c s="125" r="EF1"/>
      <c s="125" r="EG1"/>
      <c s="125" r="EH1"/>
      <c s="125" r="EI1"/>
      <c s="125" r="EJ1"/>
      <c s="125" r="EK1"/>
      <c s="125" r="EL1"/>
      <c s="125" r="EM1"/>
      <c s="125" r="EN1"/>
      <c s="125" r="EO1"/>
      <c s="125" r="EP1"/>
      <c s="125" r="EQ1"/>
      <c s="125" r="ER1"/>
      <c s="125" r="ES1"/>
      <c s="125" r="ET1"/>
      <c s="125" r="EU1"/>
      <c s="125" r="EV1"/>
      <c s="642" r="EW1"/>
      <c s="642" r="EX1"/>
      <c s="125" r="EY1"/>
      <c s="125" r="EZ1"/>
      <c s="125" r="FA1"/>
      <c s="125" r="FB1"/>
      <c s="125" r="FC1"/>
      <c s="125" r="FD1"/>
      <c s="125" r="FE1"/>
      <c s="125" r="FF1"/>
      <c s="125" r="FG1"/>
      <c s="125" r="FH1"/>
      <c s="125" r="FI1"/>
      <c s="125" r="FJ1"/>
      <c s="125" r="FK1"/>
      <c s="125" r="FL1"/>
      <c s="125" r="FM1"/>
      <c s="125" r="FN1"/>
      <c s="125" r="FO1"/>
      <c s="125" r="FP1"/>
      <c s="125" r="FQ1"/>
      <c s="125" r="FR1"/>
      <c s="125" r="FS1"/>
      <c s="125" r="FT1"/>
      <c s="642" r="FU1"/>
      <c s="642" r="FV1"/>
      <c s="125" r="FW1"/>
      <c s="125" r="FX1"/>
      <c s="125" r="FY1"/>
      <c s="125" r="FZ1"/>
      <c s="125" r="GA1"/>
      <c s="125" r="GB1"/>
      <c s="125" r="GC1"/>
      <c s="125" r="GD1"/>
      <c s="125" r="GE1"/>
      <c s="125" r="GF1"/>
      <c s="125" r="GG1"/>
      <c s="125" r="GH1"/>
      <c s="125" r="GI1"/>
      <c s="125" r="GJ1"/>
      <c s="125" r="GK1"/>
      <c s="125" r="GL1"/>
      <c s="125" r="GM1"/>
      <c s="125" r="GN1"/>
      <c s="125" r="GO1"/>
      <c s="125" r="GP1"/>
      <c s="125" r="GQ1"/>
      <c s="125" r="GR1"/>
      <c s="125" r="GS1"/>
      <c s="125" r="GT1"/>
      <c s="125" r="GU1"/>
      <c s="125" r="GV1"/>
      <c s="125" r="GW1"/>
      <c s="125" r="GX1"/>
      <c s="125" r="GY1"/>
      <c s="125" r="GZ1"/>
      <c s="125" r="HA1"/>
      <c s="125" r="HB1"/>
    </row>
    <row r="2">
      <c s="642" r="A2"/>
      <c s="642" r="B2"/>
      <c s="642" r="C2"/>
      <c s="125" r="D2"/>
      <c s="125" r="E2"/>
      <c s="125" r="F2"/>
      <c s="125" r="G2"/>
      <c s="125" r="H2"/>
      <c s="642" r="I2"/>
      <c s="642" r="J2"/>
      <c s="125" r="K2"/>
      <c s="125" r="L2"/>
      <c s="125" r="M2"/>
      <c s="125" r="N2"/>
      <c s="125" r="O2"/>
      <c s="125" r="P2"/>
      <c s="125" r="Q2"/>
      <c s="125" r="R2"/>
      <c s="125" r="S2"/>
      <c s="125" r="T2"/>
      <c s="125" r="U2"/>
      <c s="125" r="V2"/>
      <c s="125" r="W2"/>
      <c s="125" r="X2"/>
      <c s="125" r="Y2"/>
      <c s="125" r="Z2"/>
      <c s="125" r="AA2"/>
      <c s="125" r="AB2"/>
      <c s="125" r="AC2"/>
      <c s="125" r="AD2"/>
      <c s="125" r="AE2"/>
      <c s="125" r="AF2"/>
      <c s="642" r="AG2"/>
      <c s="642" r="AH2"/>
      <c s="125" r="AI2"/>
      <c s="125" r="AJ2"/>
      <c s="125" r="AK2"/>
      <c s="125" r="AL2"/>
      <c s="125" r="AM2"/>
      <c s="125" r="AN2"/>
      <c s="125" r="AO2"/>
      <c s="125" r="AP2"/>
      <c s="125" r="AQ2"/>
      <c s="125" r="AR2"/>
      <c s="125" r="AS2"/>
      <c s="125" r="AT2"/>
      <c s="125" r="AU2"/>
      <c s="125" r="AV2"/>
      <c s="125" r="AW2"/>
      <c s="125" r="AX2"/>
      <c s="125" r="AY2"/>
      <c s="125" r="AZ2"/>
      <c s="125" r="BA2"/>
      <c s="125" r="BB2"/>
      <c s="125" r="BC2"/>
      <c s="125" r="BD2"/>
      <c s="642" r="BE2"/>
      <c s="642" r="BF2"/>
      <c s="125" r="BG2"/>
      <c s="125" r="BH2"/>
      <c s="125" r="BI2"/>
      <c s="125" r="BJ2"/>
      <c s="125" r="BK2"/>
      <c s="125" r="BL2"/>
      <c s="125" r="BM2"/>
      <c s="125" r="BN2"/>
      <c s="125" r="BO2"/>
      <c s="125" r="BP2"/>
      <c s="125" r="BQ2"/>
      <c s="125" r="BR2"/>
      <c s="125" r="BS2"/>
      <c s="125" r="BT2"/>
      <c s="125" r="BU2"/>
      <c s="125" r="BV2"/>
      <c s="125" r="BW2"/>
      <c s="125" r="BX2"/>
      <c s="125" r="BY2"/>
      <c s="125" r="BZ2"/>
      <c s="125" r="CA2"/>
      <c s="125" r="CB2"/>
      <c s="642" r="CC2"/>
      <c s="642" r="CD2"/>
      <c s="125" r="CE2"/>
      <c s="125" r="CF2"/>
      <c s="125" r="CG2"/>
      <c s="125" r="CH2"/>
      <c s="125" r="CI2"/>
      <c s="125" r="CJ2"/>
      <c s="125" r="CK2"/>
      <c s="125" r="CL2"/>
      <c s="125" r="CM2"/>
      <c s="125" r="CN2"/>
      <c s="125" r="CO2"/>
      <c s="125" r="CP2"/>
      <c s="125" r="CQ2"/>
      <c s="125" r="CR2"/>
      <c s="125" r="CS2"/>
      <c s="125" r="CT2"/>
      <c s="125" r="CU2"/>
      <c s="125" r="CV2"/>
      <c s="125" r="CW2"/>
      <c s="125" r="CX2"/>
      <c s="125" r="CY2"/>
      <c s="125" r="CZ2"/>
      <c s="642" r="DA2"/>
      <c s="642" r="DB2"/>
      <c s="125" r="DC2"/>
      <c s="125" r="DD2"/>
      <c s="125" r="DE2"/>
      <c s="125" r="DF2"/>
      <c s="125" r="DG2"/>
      <c s="125" r="DH2"/>
      <c s="125" r="DI2"/>
      <c s="125" r="DJ2"/>
      <c s="125" r="DK2"/>
      <c s="125" r="DL2"/>
      <c s="125" r="DM2"/>
      <c s="125" r="DN2"/>
      <c s="125" r="DO2"/>
      <c s="125" r="DP2"/>
      <c s="125" r="DQ2"/>
      <c s="125" r="DR2"/>
      <c s="125" r="DS2"/>
      <c s="125" r="DT2"/>
      <c s="125" r="DU2"/>
      <c s="125" r="DV2"/>
      <c s="125" r="DW2"/>
      <c s="125" r="DX2"/>
      <c s="642" r="DY2"/>
      <c s="642" r="DZ2"/>
      <c s="125" r="EA2"/>
      <c s="125" r="EB2"/>
      <c s="125" r="EC2"/>
      <c s="125" r="ED2"/>
      <c s="125" r="EE2"/>
      <c s="125" r="EF2"/>
      <c s="125" r="EG2"/>
      <c s="125" r="EH2"/>
      <c s="125" r="EI2"/>
      <c s="125" r="EJ2"/>
      <c s="125" r="EK2"/>
      <c s="125" r="EL2"/>
      <c s="125" r="EM2"/>
      <c s="125" r="EN2"/>
      <c s="125" r="EO2"/>
      <c s="125" r="EP2"/>
      <c s="125" r="EQ2"/>
      <c s="125" r="ER2"/>
      <c s="125" r="ES2"/>
      <c s="125" r="ET2"/>
      <c s="125" r="EU2"/>
      <c s="125" r="EV2"/>
      <c s="642" r="EW2"/>
      <c s="642" r="EX2"/>
      <c s="125" r="EY2"/>
      <c s="125" r="EZ2"/>
      <c s="125" r="FA2"/>
      <c s="125" r="FB2"/>
      <c s="125" r="FC2"/>
      <c s="125" r="FD2"/>
      <c s="125" r="FE2"/>
      <c s="125" r="FF2"/>
      <c s="125" r="FG2"/>
      <c s="125" r="FH2"/>
      <c s="125" r="FI2"/>
      <c s="125" r="FJ2"/>
      <c s="125" r="FK2"/>
      <c s="125" r="FL2"/>
      <c s="125" r="FM2"/>
      <c s="125" r="FN2"/>
      <c s="125" r="FO2"/>
      <c s="125" r="FP2"/>
      <c s="125" r="FQ2"/>
      <c s="125" r="FR2"/>
      <c s="125" r="FS2"/>
      <c s="125" r="FT2"/>
      <c s="642" r="FU2"/>
      <c s="642" r="FV2"/>
      <c t="s" s="125" r="FW2">
        <v>2</v>
      </c>
      <c s="125" r="FX2"/>
      <c s="125" r="FY2"/>
      <c s="125" r="FZ2"/>
      <c s="125" r="GA2"/>
      <c s="125" r="GB2"/>
      <c s="125" r="GC2"/>
      <c s="125" r="GD2"/>
      <c s="125" r="GE2"/>
      <c s="125" r="GF2"/>
      <c s="125" r="GG2"/>
      <c s="125" r="GH2"/>
      <c s="125" r="GI2"/>
      <c s="125" r="GJ2"/>
      <c s="125" r="GK2"/>
      <c s="125" r="GL2"/>
      <c s="125" r="GM2"/>
      <c s="125" r="GN2"/>
      <c s="125" r="GO2"/>
      <c s="125" r="GP2"/>
      <c t="s" s="125" r="GQ2">
        <v>2</v>
      </c>
      <c s="125" r="GR2"/>
      <c s="125" r="GS2"/>
      <c s="125" r="GT2"/>
      <c s="125" r="GU2"/>
      <c s="125" r="GV2"/>
      <c s="125" r="GW2"/>
      <c s="125" r="GX2"/>
      <c s="125" r="GY2"/>
      <c s="125" r="GZ2"/>
      <c s="125" r="HA2"/>
      <c s="125" r="HB2"/>
    </row>
    <row customHeight="1" r="3" ht="13.5">
      <c s="642" r="A3"/>
      <c s="361" r="B3"/>
      <c s="361" r="C3"/>
      <c s="361" r="D3"/>
      <c s="361" r="E3"/>
      <c s="361" r="F3"/>
      <c s="361" r="G3"/>
      <c s="361" r="H3"/>
      <c s="361" r="I3"/>
      <c s="125" r="J3"/>
      <c s="361" r="K3"/>
      <c s="361" r="L3"/>
      <c s="361" r="M3"/>
      <c s="361" r="N3"/>
      <c s="361" r="O3"/>
      <c s="361" r="P3"/>
      <c s="361" r="Q3"/>
      <c s="361" r="R3"/>
      <c s="361" r="S3"/>
      <c s="361" r="T3"/>
      <c s="361" r="U3"/>
      <c s="361" r="V3"/>
      <c s="361" r="W3"/>
      <c s="361" r="X3"/>
      <c s="361" r="Y3"/>
      <c s="361" r="Z3"/>
      <c s="361" r="AA3"/>
      <c s="361" r="AB3"/>
      <c s="361" r="AC3"/>
      <c s="361" r="AD3"/>
      <c s="361" r="AE3"/>
      <c s="361" r="AF3"/>
      <c s="854" r="AG3"/>
      <c s="642" r="AH3"/>
      <c s="361" r="AI3"/>
      <c s="361" r="AJ3"/>
      <c s="361" r="AK3"/>
      <c s="361" r="AL3"/>
      <c s="361" r="AM3"/>
      <c s="361" r="AN3"/>
      <c s="361" r="AO3"/>
      <c s="361" r="AP3"/>
      <c s="361" r="AQ3"/>
      <c s="361" r="AR3"/>
      <c s="361" r="AS3"/>
      <c s="361" r="AT3"/>
      <c s="361" r="AU3"/>
      <c s="361" r="AV3"/>
      <c s="361" r="AW3"/>
      <c s="361" r="AX3"/>
      <c s="361" r="AY3"/>
      <c s="361" r="AZ3"/>
      <c s="361" r="BA3"/>
      <c s="361" r="BB3"/>
      <c s="361" r="BC3"/>
      <c s="361" r="BD3"/>
      <c s="854" r="BE3"/>
      <c s="642" r="BF3"/>
      <c s="361" r="BG3"/>
      <c s="361" r="BH3"/>
      <c s="361" r="BI3"/>
      <c s="361" r="BJ3"/>
      <c s="361" r="BK3"/>
      <c s="361" r="BL3"/>
      <c s="361" r="BM3"/>
      <c s="361" r="BN3"/>
      <c s="361" r="BO3"/>
      <c s="361" r="BP3"/>
      <c s="361" r="BQ3"/>
      <c s="361" r="BR3"/>
      <c s="361" r="BS3"/>
      <c s="361" r="BT3"/>
      <c s="361" r="BU3"/>
      <c s="361" r="BV3"/>
      <c s="361" r="BW3"/>
      <c s="361" r="BX3"/>
      <c s="361" r="BY3"/>
      <c s="361" r="BZ3"/>
      <c s="361" r="CA3"/>
      <c s="361" r="CB3"/>
      <c s="854" r="CC3"/>
      <c s="642" r="CD3"/>
      <c s="361" r="CE3"/>
      <c s="361" r="CF3"/>
      <c s="361" r="CG3"/>
      <c s="361" r="CH3"/>
      <c s="361" r="CI3"/>
      <c s="361" r="CJ3"/>
      <c s="361" r="CK3"/>
      <c s="361" r="CL3"/>
      <c s="361" r="CM3"/>
      <c s="361" r="CN3"/>
      <c s="361" r="CO3"/>
      <c s="361" r="CP3"/>
      <c s="361" r="CQ3"/>
      <c s="361" r="CR3"/>
      <c s="361" r="CS3"/>
      <c s="361" r="CT3"/>
      <c s="361" r="CU3"/>
      <c s="361" r="CV3"/>
      <c s="361" r="CW3"/>
      <c s="361" r="CX3"/>
      <c s="361" r="CY3"/>
      <c s="361" r="CZ3"/>
      <c s="854" r="DA3"/>
      <c s="642" r="DB3"/>
      <c s="361" r="DC3"/>
      <c s="361" r="DD3"/>
      <c s="361" r="DE3"/>
      <c s="361" r="DF3"/>
      <c s="361" r="DG3"/>
      <c s="361" r="DH3"/>
      <c s="361" r="DI3"/>
      <c s="361" r="DJ3"/>
      <c s="361" r="DK3"/>
      <c s="361" r="DL3"/>
      <c s="361" r="DM3"/>
      <c s="361" r="DN3"/>
      <c s="361" r="DO3"/>
      <c s="361" r="DP3"/>
      <c s="361" r="DQ3"/>
      <c s="361" r="DR3"/>
      <c s="361" r="DS3"/>
      <c s="361" r="DT3"/>
      <c s="361" r="DU3"/>
      <c s="361" r="DV3"/>
      <c s="361" r="DW3"/>
      <c s="361" r="DX3"/>
      <c s="854" r="DY3"/>
      <c s="642" r="DZ3"/>
      <c s="361" r="EA3"/>
      <c s="361" r="EB3"/>
      <c s="361" r="EC3"/>
      <c s="361" r="ED3"/>
      <c s="361" r="EE3"/>
      <c s="361" r="EF3"/>
      <c s="361" r="EG3"/>
      <c s="361" r="EH3"/>
      <c s="361" r="EI3"/>
      <c s="361" r="EJ3"/>
      <c s="361" r="EK3"/>
      <c s="361" r="EL3"/>
      <c s="361" r="EM3"/>
      <c s="361" r="EN3"/>
      <c s="361" r="EO3"/>
      <c s="361" r="EP3"/>
      <c s="361" r="EQ3"/>
      <c s="361" r="ER3"/>
      <c s="361" r="ES3"/>
      <c s="361" r="ET3"/>
      <c s="361" r="EU3"/>
      <c s="361" r="EV3"/>
      <c s="854" r="EW3"/>
      <c s="642" r="EX3"/>
      <c s="361" r="EY3"/>
      <c s="361" r="EZ3"/>
      <c s="361" r="FA3"/>
      <c s="361" r="FB3"/>
      <c s="361" r="FC3"/>
      <c s="361" r="FD3"/>
      <c s="361" r="FE3"/>
      <c s="361" r="FF3"/>
      <c s="361" r="FG3"/>
      <c s="361" r="FH3"/>
      <c s="361" r="FI3"/>
      <c s="361" r="FJ3"/>
      <c s="361" r="FK3"/>
      <c s="361" r="FL3"/>
      <c s="361" r="FM3"/>
      <c s="361" r="FN3"/>
      <c s="361" r="FO3"/>
      <c s="361" r="FP3"/>
      <c s="361" r="FQ3"/>
      <c s="361" r="FR3"/>
      <c s="361" r="FS3"/>
      <c s="361" r="FT3"/>
      <c s="854" r="FU3"/>
      <c s="642" r="FV3"/>
      <c s="361" r="FW3"/>
      <c s="361" r="FX3"/>
      <c s="361" r="FY3"/>
      <c s="361" r="FZ3"/>
      <c s="361" r="GA3"/>
      <c s="361" r="GB3"/>
      <c s="361" r="GC3"/>
      <c s="361" r="GD3"/>
      <c s="125" r="GE3"/>
      <c s="125" r="GF3"/>
      <c s="125" r="GG3"/>
      <c s="125" r="GH3"/>
      <c s="125" r="GI3"/>
      <c s="125" r="GJ3"/>
      <c t="s" s="125" r="GK3">
        <v>2</v>
      </c>
      <c s="125" r="GL3"/>
      <c s="125" r="GM3"/>
      <c s="125" r="GN3"/>
      <c s="125" r="GO3"/>
      <c s="125" r="GP3"/>
      <c s="125" r="GQ3"/>
      <c s="125" r="GR3"/>
      <c s="125" r="GS3"/>
      <c s="125" r="GT3"/>
      <c s="125" r="GU3"/>
      <c s="125" r="GV3"/>
      <c s="125" r="GW3"/>
      <c s="125" r="GX3"/>
      <c s="125" r="GY3"/>
      <c s="125" r="GZ3"/>
      <c s="125" r="HA3"/>
      <c s="125" r="HB3"/>
    </row>
    <row customHeight="1" r="4" ht="14.25">
      <c s="765" r="A4"/>
      <c t="s" s="632" r="B4">
        <v>549</v>
      </c>
      <c s="313" r="C4"/>
      <c s="313" r="D4"/>
      <c s="313" r="E4"/>
      <c s="313" r="F4"/>
      <c s="313" r="G4"/>
      <c s="359" r="H4">
        <f>Summary!J4</f>
        <v>1</v>
      </c>
      <c s="188" r="I4"/>
      <c s="702" r="J4"/>
      <c t="str" s="659" r="K4">
        <f>"Cross Section  "&amp;N47</f>
        <v>Cross Section  </v>
      </c>
      <c s="516" r="L4"/>
      <c s="507" r="M4"/>
      <c s="507" r="N4"/>
      <c s="797" r="O4"/>
      <c s="507" r="P4"/>
      <c s="507" r="Q4"/>
      <c s="507" r="R4"/>
      <c s="507" r="S4"/>
      <c s="507" r="T4"/>
      <c s="507" r="U4"/>
      <c s="507" r="V4"/>
      <c s="507" r="W4"/>
      <c s="507" r="X4"/>
      <c s="507" r="Y4"/>
      <c s="507" r="Z4"/>
      <c s="561" r="AA4"/>
      <c s="561" r="AB4"/>
      <c s="561" r="AC4"/>
      <c s="561" r="AD4"/>
      <c s="561" r="AE4"/>
      <c s="561" r="AF4"/>
      <c s="98" r="AG4"/>
      <c s="388" r="AH4"/>
      <c t="str" s="659" r="AI4">
        <f>"Cross Section  "&amp;AL47</f>
        <v>Cross Section  2</v>
      </c>
      <c s="516" r="AJ4"/>
      <c s="507" r="AK4"/>
      <c s="507" r="AL4"/>
      <c s="797" r="AM4"/>
      <c s="507" r="AN4"/>
      <c s="507" r="AO4"/>
      <c s="507" r="AP4"/>
      <c s="507" r="AQ4"/>
      <c s="507" r="AR4"/>
      <c s="507" r="AS4"/>
      <c s="507" r="AT4"/>
      <c s="507" r="AU4"/>
      <c s="507" r="AV4"/>
      <c s="507" r="AW4"/>
      <c s="507" r="AX4"/>
      <c s="561" r="AY4"/>
      <c s="561" r="AZ4"/>
      <c s="561" r="BA4"/>
      <c s="561" r="BB4"/>
      <c s="561" r="BC4"/>
      <c s="561" r="BD4"/>
      <c s="98" r="BE4"/>
      <c s="388" r="BF4"/>
      <c t="str" s="659" r="BG4">
        <f>"Cross Section  "&amp;BJ47</f>
        <v>Cross Section  3</v>
      </c>
      <c s="516" r="BH4"/>
      <c s="507" r="BI4"/>
      <c s="507" r="BJ4"/>
      <c s="797" r="BK4"/>
      <c s="507" r="BL4"/>
      <c s="507" r="BM4"/>
      <c s="507" r="BN4"/>
      <c s="507" r="BO4"/>
      <c s="507" r="BP4"/>
      <c s="507" r="BQ4"/>
      <c s="507" r="BR4"/>
      <c s="507" r="BS4"/>
      <c s="507" r="BT4"/>
      <c s="507" r="BU4"/>
      <c s="507" r="BV4"/>
      <c s="561" r="BW4"/>
      <c s="561" r="BX4"/>
      <c s="561" r="BY4"/>
      <c s="561" r="BZ4"/>
      <c s="561" r="CA4"/>
      <c s="561" r="CB4"/>
      <c s="98" r="CC4"/>
      <c s="388" r="CD4"/>
      <c t="str" s="659" r="CE4">
        <f>"Cross Section  "&amp;CH47</f>
        <v>Cross Section  4</v>
      </c>
      <c s="516" r="CF4"/>
      <c s="507" r="CG4"/>
      <c s="507" r="CH4"/>
      <c s="797" r="CI4"/>
      <c s="507" r="CJ4"/>
      <c s="507" r="CK4"/>
      <c s="507" r="CL4"/>
      <c s="507" r="CM4"/>
      <c s="507" r="CN4"/>
      <c s="507" r="CO4"/>
      <c s="507" r="CP4"/>
      <c s="507" r="CQ4"/>
      <c s="507" r="CR4"/>
      <c s="507" r="CS4"/>
      <c s="507" r="CT4"/>
      <c s="561" r="CU4"/>
      <c s="561" r="CV4"/>
      <c s="561" r="CW4"/>
      <c s="561" r="CX4"/>
      <c s="561" r="CY4"/>
      <c s="561" r="CZ4"/>
      <c s="98" r="DA4"/>
      <c s="388" r="DB4"/>
      <c t="str" s="659" r="DC4">
        <f>"Cross Section  "&amp;DF47</f>
        <v>Cross Section  5</v>
      </c>
      <c s="516" r="DD4"/>
      <c s="507" r="DE4"/>
      <c s="507" r="DF4"/>
      <c s="797" r="DG4"/>
      <c s="507" r="DH4"/>
      <c s="507" r="DI4"/>
      <c s="507" r="DJ4"/>
      <c s="507" r="DK4"/>
      <c s="507" r="DL4"/>
      <c s="507" r="DM4"/>
      <c s="507" r="DN4"/>
      <c s="507" r="DO4"/>
      <c s="507" r="DP4"/>
      <c s="507" r="DQ4"/>
      <c s="507" r="DR4"/>
      <c s="561" r="DS4"/>
      <c s="561" r="DT4"/>
      <c s="561" r="DU4"/>
      <c s="561" r="DV4"/>
      <c s="561" r="DW4"/>
      <c s="561" r="DX4"/>
      <c s="98" r="DY4"/>
      <c s="388" r="DZ4"/>
      <c t="str" s="659" r="EA4">
        <f>"Cross Section  "&amp;ED47</f>
        <v>Cross Section  6</v>
      </c>
      <c s="516" r="EB4"/>
      <c s="507" r="EC4"/>
      <c s="507" r="ED4"/>
      <c s="797" r="EE4"/>
      <c s="507" r="EF4"/>
      <c s="507" r="EG4"/>
      <c s="507" r="EH4"/>
      <c s="507" r="EI4"/>
      <c s="507" r="EJ4"/>
      <c s="507" r="EK4"/>
      <c s="507" r="EL4"/>
      <c s="507" r="EM4"/>
      <c s="507" r="EN4"/>
      <c s="507" r="EO4"/>
      <c s="507" r="EP4"/>
      <c s="561" r="EQ4"/>
      <c s="561" r="ER4"/>
      <c s="561" r="ES4"/>
      <c s="561" r="ET4"/>
      <c s="561" r="EU4"/>
      <c s="561" r="EV4"/>
      <c s="98" r="EW4"/>
      <c s="388" r="EX4"/>
      <c t="str" s="659" r="EY4">
        <f>"Cross Section  "&amp;FB47</f>
        <v>Cross Section  7</v>
      </c>
      <c s="516" r="EZ4"/>
      <c s="507" r="FA4"/>
      <c s="507" r="FB4"/>
      <c s="797" r="FC4"/>
      <c s="507" r="FD4"/>
      <c s="507" r="FE4"/>
      <c s="507" r="FF4"/>
      <c s="507" r="FG4"/>
      <c s="507" r="FH4"/>
      <c s="507" r="FI4"/>
      <c s="507" r="FJ4"/>
      <c s="507" r="FK4"/>
      <c s="507" r="FL4"/>
      <c s="507" r="FM4"/>
      <c s="507" r="FN4"/>
      <c s="561" r="FO4"/>
      <c s="561" r="FP4"/>
      <c s="561" r="FQ4"/>
      <c s="561" r="FR4"/>
      <c s="561" r="FS4"/>
      <c s="561" r="FT4"/>
      <c s="98" r="FU4"/>
      <c s="388" r="FV4"/>
      <c t="s" s="632" r="FW4">
        <v>550</v>
      </c>
      <c s="623" r="FX4"/>
      <c s="313" r="FY4"/>
      <c s="313" r="FZ4"/>
      <c s="638" r="GA4"/>
      <c s="638" r="GB4"/>
      <c s="638" r="GC4"/>
      <c s="188" r="GD4"/>
      <c s="51" r="GE4"/>
      <c s="125" r="GF4"/>
      <c s="125" r="GG4"/>
      <c s="125" r="GH4"/>
      <c s="125" r="GI4"/>
      <c s="125" r="GJ4"/>
      <c s="125" r="GK4"/>
      <c s="125" r="GL4"/>
      <c s="125" r="GM4"/>
      <c s="125" r="GN4"/>
      <c s="125" r="GO4"/>
      <c s="125" r="GP4"/>
      <c s="125" r="GQ4"/>
      <c s="125" r="GR4"/>
      <c s="125" r="GS4"/>
      <c s="125" r="GT4"/>
      <c s="125" r="GU4"/>
      <c s="125" r="GV4"/>
      <c s="125" r="GW4"/>
      <c s="125" r="GX4"/>
      <c s="125" r="GY4"/>
      <c s="125" r="GZ4"/>
      <c s="125" r="HA4"/>
      <c s="125" r="HB4"/>
    </row>
    <row r="5">
      <c s="765" r="A5"/>
      <c s="332" r="B5"/>
      <c s="149" r="C5"/>
      <c s="149" r="D5"/>
      <c s="149" r="E5"/>
      <c s="149" r="F5"/>
      <c s="149" r="G5"/>
      <c s="149" r="H5"/>
      <c s="602" r="I5"/>
      <c s="702" r="J5"/>
      <c s="410" r="K5"/>
      <c s="172" r="L5"/>
      <c s="664" r="M5"/>
      <c s="664" r="N5"/>
      <c s="664" r="O5"/>
      <c s="664" r="P5"/>
      <c s="664" r="Q5"/>
      <c s="664" r="R5"/>
      <c s="664" r="S5"/>
      <c s="664" r="T5"/>
      <c s="664" r="U5"/>
      <c s="664" r="V5"/>
      <c s="664" r="W5"/>
      <c s="664" r="X5"/>
      <c s="664" r="Y5"/>
      <c s="664" r="Z5"/>
      <c s="664" r="AA5"/>
      <c s="664" r="AB5"/>
      <c s="664" r="AC5"/>
      <c s="664" r="AD5"/>
      <c s="664" r="AE5"/>
      <c s="664" r="AF5"/>
      <c s="726" r="AG5"/>
      <c s="388" r="AH5"/>
      <c s="410" r="AI5"/>
      <c s="172" r="AJ5"/>
      <c s="664" r="AK5"/>
      <c s="664" r="AL5"/>
      <c s="664" r="AM5"/>
      <c s="664" r="AN5"/>
      <c s="664" r="AO5"/>
      <c s="664" r="AP5"/>
      <c s="664" r="AQ5"/>
      <c s="664" r="AR5"/>
      <c s="664" r="AS5"/>
      <c s="664" r="AT5"/>
      <c s="664" r="AU5"/>
      <c s="664" r="AV5"/>
      <c s="664" r="AW5"/>
      <c s="664" r="AX5"/>
      <c s="664" r="AY5"/>
      <c s="664" r="AZ5"/>
      <c s="664" r="BA5"/>
      <c s="664" r="BB5"/>
      <c s="664" r="BC5"/>
      <c s="664" r="BD5"/>
      <c s="726" r="BE5"/>
      <c s="388" r="BF5"/>
      <c s="410" r="BG5"/>
      <c s="172" r="BH5"/>
      <c s="664" r="BI5"/>
      <c s="664" r="BJ5"/>
      <c s="664" r="BK5"/>
      <c s="664" r="BL5"/>
      <c s="664" r="BM5"/>
      <c s="664" r="BN5"/>
      <c s="664" r="BO5"/>
      <c s="664" r="BP5"/>
      <c s="664" r="BQ5"/>
      <c s="664" r="BR5"/>
      <c s="664" r="BS5"/>
      <c s="664" r="BT5"/>
      <c s="664" r="BU5"/>
      <c s="664" r="BV5"/>
      <c s="664" r="BW5"/>
      <c s="664" r="BX5"/>
      <c s="664" r="BY5"/>
      <c s="664" r="BZ5"/>
      <c s="664" r="CA5"/>
      <c s="664" r="CB5"/>
      <c s="726" r="CC5"/>
      <c s="388" r="CD5"/>
      <c s="410" r="CE5"/>
      <c s="172" r="CF5"/>
      <c s="664" r="CG5"/>
      <c s="664" r="CH5"/>
      <c s="664" r="CI5"/>
      <c s="664" r="CJ5"/>
      <c s="664" r="CK5"/>
      <c s="664" r="CL5"/>
      <c s="664" r="CM5"/>
      <c s="664" r="CN5"/>
      <c s="664" r="CO5"/>
      <c s="664" r="CP5"/>
      <c s="664" r="CQ5"/>
      <c s="664" r="CR5"/>
      <c s="664" r="CS5"/>
      <c s="664" r="CT5"/>
      <c s="664" r="CU5"/>
      <c s="664" r="CV5"/>
      <c s="664" r="CW5"/>
      <c s="664" r="CX5"/>
      <c s="664" r="CY5"/>
      <c s="664" r="CZ5"/>
      <c s="726" r="DA5"/>
      <c s="388" r="DB5"/>
      <c s="410" r="DC5"/>
      <c s="172" r="DD5"/>
      <c s="664" r="DE5"/>
      <c s="664" r="DF5"/>
      <c s="664" r="DG5"/>
      <c s="664" r="DH5"/>
      <c s="664" r="DI5"/>
      <c s="664" r="DJ5"/>
      <c s="664" r="DK5"/>
      <c s="664" r="DL5"/>
      <c s="664" r="DM5"/>
      <c s="664" r="DN5"/>
      <c s="664" r="DO5"/>
      <c s="664" r="DP5"/>
      <c s="664" r="DQ5"/>
      <c s="664" r="DR5"/>
      <c s="664" r="DS5"/>
      <c s="664" r="DT5"/>
      <c s="664" r="DU5"/>
      <c s="664" r="DV5"/>
      <c s="664" r="DW5"/>
      <c s="664" r="DX5"/>
      <c s="726" r="DY5"/>
      <c s="388" r="DZ5"/>
      <c s="410" r="EA5"/>
      <c s="172" r="EB5"/>
      <c s="664" r="EC5"/>
      <c s="664" r="ED5"/>
      <c s="664" r="EE5"/>
      <c s="664" r="EF5"/>
      <c s="664" r="EG5"/>
      <c s="664" r="EH5"/>
      <c s="664" r="EI5"/>
      <c s="664" r="EJ5"/>
      <c s="664" r="EK5"/>
      <c s="664" r="EL5"/>
      <c s="664" r="EM5"/>
      <c s="664" r="EN5"/>
      <c s="664" r="EO5"/>
      <c s="664" r="EP5"/>
      <c s="664" r="EQ5"/>
      <c s="664" r="ER5"/>
      <c s="664" r="ES5"/>
      <c s="664" r="ET5"/>
      <c s="664" r="EU5"/>
      <c s="664" r="EV5"/>
      <c s="726" r="EW5"/>
      <c s="388" r="EX5"/>
      <c s="410" r="EY5"/>
      <c s="172" r="EZ5"/>
      <c s="664" r="FA5"/>
      <c s="664" r="FB5"/>
      <c s="664" r="FC5"/>
      <c s="664" r="FD5"/>
      <c s="664" r="FE5"/>
      <c s="664" r="FF5"/>
      <c s="664" r="FG5"/>
      <c s="664" r="FH5"/>
      <c s="664" r="FI5"/>
      <c s="664" r="FJ5"/>
      <c s="664" r="FK5"/>
      <c s="664" r="FL5"/>
      <c s="664" r="FM5"/>
      <c s="664" r="FN5"/>
      <c s="664" r="FO5"/>
      <c s="664" r="FP5"/>
      <c s="664" r="FQ5"/>
      <c s="664" r="FR5"/>
      <c s="664" r="FS5"/>
      <c s="664" r="FT5"/>
      <c s="726" r="FU5"/>
      <c s="388" r="FV5"/>
      <c s="738" r="FW5"/>
      <c s="664" r="FX5"/>
      <c s="664" r="FY5"/>
      <c s="664" r="FZ5"/>
      <c s="664" r="GA5"/>
      <c s="664" r="GB5"/>
      <c s="664" r="GC5"/>
      <c s="726" r="GD5"/>
      <c s="51" r="GE5"/>
      <c s="125" r="GF5"/>
      <c s="125" r="GG5"/>
      <c s="125" r="GH5"/>
      <c s="125" r="GI5"/>
      <c s="125" r="GJ5"/>
      <c s="125" r="GK5"/>
      <c s="125" r="GL5"/>
      <c s="125" r="GM5"/>
      <c s="125" r="GN5"/>
      <c s="125" r="GO5"/>
      <c s="125" r="GP5"/>
      <c s="125" r="GQ5"/>
      <c s="125" r="GR5"/>
      <c s="125" r="GS5"/>
      <c s="125" r="GT5"/>
      <c s="125" r="GU5"/>
      <c s="125" r="GV5"/>
      <c s="125" r="GW5"/>
      <c s="125" r="GX5"/>
      <c s="125" r="GY5"/>
      <c s="125" r="GZ5"/>
      <c s="125" r="HA5"/>
      <c s="125" r="HB5"/>
    </row>
    <row r="6">
      <c s="765" r="A6"/>
      <c s="406" r="B6"/>
      <c t="s" s="729" r="C6">
        <v>551</v>
      </c>
      <c s="566" r="D6"/>
      <c s="566" r="E6"/>
      <c s="566" r="F6"/>
      <c s="529" r="G6"/>
      <c s="529" r="H6"/>
      <c s="418" r="I6"/>
      <c s="702" r="J6"/>
      <c s="36" r="K6"/>
      <c s="391" r="L6"/>
      <c s="551" r="M6"/>
      <c s="551" r="N6"/>
      <c s="551" r="O6"/>
      <c s="551" r="P6"/>
      <c s="551" r="Q6"/>
      <c s="551" r="R6"/>
      <c s="551" r="S6"/>
      <c s="551" r="T6"/>
      <c s="551" r="U6"/>
      <c s="551" r="V6"/>
      <c s="551" r="W6"/>
      <c s="551" r="X6"/>
      <c s="551" r="Y6"/>
      <c s="551" r="Z6"/>
      <c s="551" r="AA6"/>
      <c s="551" r="AB6"/>
      <c s="551" r="AC6"/>
      <c s="551" r="AD6"/>
      <c s="551" r="AE6"/>
      <c s="551" r="AF6"/>
      <c s="671" r="AG6"/>
      <c s="388" r="AH6"/>
      <c s="36" r="AI6"/>
      <c s="391" r="AJ6"/>
      <c s="551" r="AK6"/>
      <c s="551" r="AL6"/>
      <c s="551" r="AM6"/>
      <c s="551" r="AN6"/>
      <c s="551" r="AO6"/>
      <c s="551" r="AP6"/>
      <c s="551" r="AQ6"/>
      <c s="551" r="AR6"/>
      <c s="551" r="AS6"/>
      <c s="551" r="AT6"/>
      <c s="551" r="AU6"/>
      <c s="551" r="AV6"/>
      <c s="551" r="AW6"/>
      <c s="551" r="AX6"/>
      <c s="551" r="AY6"/>
      <c s="551" r="AZ6"/>
      <c s="551" r="BA6"/>
      <c s="551" r="BB6"/>
      <c s="551" r="BC6"/>
      <c s="551" r="BD6"/>
      <c s="671" r="BE6"/>
      <c s="388" r="BF6"/>
      <c s="36" r="BG6"/>
      <c s="391" r="BH6"/>
      <c s="551" r="BI6"/>
      <c s="551" r="BJ6"/>
      <c s="551" r="BK6"/>
      <c s="551" r="BL6"/>
      <c s="551" r="BM6"/>
      <c s="551" r="BN6"/>
      <c s="551" r="BO6"/>
      <c s="551" r="BP6"/>
      <c s="551" r="BQ6"/>
      <c s="551" r="BR6"/>
      <c s="551" r="BS6"/>
      <c s="551" r="BT6"/>
      <c s="551" r="BU6"/>
      <c s="551" r="BV6"/>
      <c s="551" r="BW6"/>
      <c s="551" r="BX6"/>
      <c s="551" r="BY6"/>
      <c s="551" r="BZ6"/>
      <c s="551" r="CA6"/>
      <c s="551" r="CB6"/>
      <c s="671" r="CC6"/>
      <c s="388" r="CD6"/>
      <c s="36" r="CE6"/>
      <c s="391" r="CF6"/>
      <c s="551" r="CG6"/>
      <c s="551" r="CH6"/>
      <c s="551" r="CI6"/>
      <c s="551" r="CJ6"/>
      <c s="551" r="CK6"/>
      <c s="551" r="CL6"/>
      <c s="551" r="CM6"/>
      <c s="551" r="CN6"/>
      <c s="551" r="CO6"/>
      <c s="551" r="CP6"/>
      <c s="551" r="CQ6"/>
      <c s="551" r="CR6"/>
      <c s="551" r="CS6"/>
      <c s="551" r="CT6"/>
      <c s="551" r="CU6"/>
      <c s="551" r="CV6"/>
      <c s="551" r="CW6"/>
      <c s="551" r="CX6"/>
      <c s="551" r="CY6"/>
      <c s="551" r="CZ6"/>
      <c s="671" r="DA6"/>
      <c s="388" r="DB6"/>
      <c s="36" r="DC6"/>
      <c s="391" r="DD6"/>
      <c s="551" r="DE6"/>
      <c s="551" r="DF6"/>
      <c s="551" r="DG6"/>
      <c s="551" r="DH6"/>
      <c s="551" r="DI6"/>
      <c s="551" r="DJ6"/>
      <c s="551" r="DK6"/>
      <c s="551" r="DL6"/>
      <c s="551" r="DM6"/>
      <c s="551" r="DN6"/>
      <c s="551" r="DO6"/>
      <c s="551" r="DP6"/>
      <c s="551" r="DQ6"/>
      <c s="551" r="DR6"/>
      <c s="551" r="DS6"/>
      <c s="551" r="DT6"/>
      <c s="551" r="DU6"/>
      <c s="551" r="DV6"/>
      <c s="551" r="DW6"/>
      <c s="551" r="DX6"/>
      <c s="671" r="DY6"/>
      <c s="388" r="DZ6"/>
      <c s="36" r="EA6"/>
      <c s="391" r="EB6"/>
      <c s="551" r="EC6"/>
      <c s="551" r="ED6"/>
      <c s="551" r="EE6"/>
      <c s="551" r="EF6"/>
      <c s="551" r="EG6"/>
      <c s="551" r="EH6"/>
      <c s="551" r="EI6"/>
      <c s="551" r="EJ6"/>
      <c s="551" r="EK6"/>
      <c s="551" r="EL6"/>
      <c s="551" r="EM6"/>
      <c s="551" r="EN6"/>
      <c s="551" r="EO6"/>
      <c s="551" r="EP6"/>
      <c s="551" r="EQ6"/>
      <c s="551" r="ER6"/>
      <c s="551" r="ES6"/>
      <c s="551" r="ET6"/>
      <c s="551" r="EU6"/>
      <c s="551" r="EV6"/>
      <c s="671" r="EW6"/>
      <c s="388" r="EX6"/>
      <c s="36" r="EY6"/>
      <c s="391" r="EZ6"/>
      <c s="551" r="FA6"/>
      <c s="551" r="FB6"/>
      <c s="551" r="FC6"/>
      <c s="551" r="FD6"/>
      <c s="551" r="FE6"/>
      <c s="551" r="FF6"/>
      <c s="551" r="FG6"/>
      <c s="551" r="FH6"/>
      <c s="551" r="FI6"/>
      <c s="551" r="FJ6"/>
      <c s="551" r="FK6"/>
      <c s="551" r="FL6"/>
      <c s="551" r="FM6"/>
      <c s="551" r="FN6"/>
      <c s="551" r="FO6"/>
      <c s="551" r="FP6"/>
      <c s="551" r="FQ6"/>
      <c s="551" r="FR6"/>
      <c s="551" r="FS6"/>
      <c s="551" r="FT6"/>
      <c s="671" r="FU6"/>
      <c s="388" r="FV6"/>
      <c s="908" r="FW6"/>
      <c t="s" s="551" r="FX6">
        <v>552</v>
      </c>
      <c s="551" r="FY6"/>
      <c s="551" r="FZ6"/>
      <c s="551" r="GA6"/>
      <c s="551" r="GB6"/>
      <c s="551" r="GC6"/>
      <c s="671" r="GD6"/>
      <c s="51" r="GE6"/>
      <c s="125" r="GF6"/>
      <c s="125" r="GG6"/>
      <c s="125" r="GH6"/>
      <c s="125" r="GI6"/>
      <c s="125" r="GJ6"/>
      <c s="125" r="GK6"/>
      <c s="125" r="GL6"/>
      <c s="125" r="GM6"/>
      <c s="125" r="GN6"/>
      <c s="125" r="GO6"/>
      <c s="125" r="GP6"/>
      <c s="125" r="GQ6"/>
      <c s="125" r="GR6"/>
      <c s="125" r="GS6"/>
      <c s="125" r="GT6"/>
      <c s="125" r="GU6"/>
      <c s="125" r="GV6"/>
      <c s="125" r="GW6"/>
      <c s="125" r="GX6"/>
      <c s="125" r="GY6"/>
      <c s="125" r="GZ6"/>
      <c s="125" r="HA6"/>
      <c s="125" r="HB6"/>
    </row>
    <row r="7">
      <c s="822" r="A7"/>
      <c s="406" r="B7"/>
      <c s="756" r="C7"/>
      <c t="s" s="831" r="D7">
        <v>553</v>
      </c>
      <c s="831" r="E7"/>
      <c s="831" r="F7"/>
      <c s="831" r="G7"/>
      <c s="831" r="H7"/>
      <c s="418" r="I7"/>
      <c s="702" r="J7"/>
      <c s="36" r="K7"/>
      <c s="391" r="L7"/>
      <c s="551" r="M7"/>
      <c s="551" r="N7"/>
      <c s="551" r="O7"/>
      <c s="551" r="P7"/>
      <c s="551" r="Q7"/>
      <c s="551" r="R7"/>
      <c s="551" r="S7"/>
      <c s="551" r="T7"/>
      <c s="551" r="U7"/>
      <c s="551" r="V7"/>
      <c s="551" r="W7"/>
      <c s="551" r="X7"/>
      <c s="551" r="Y7"/>
      <c s="551" r="Z7"/>
      <c s="551" r="AA7"/>
      <c s="551" r="AB7"/>
      <c s="551" r="AC7"/>
      <c s="551" r="AD7"/>
      <c s="551" r="AE7"/>
      <c s="551" r="AF7"/>
      <c s="671" r="AG7"/>
      <c s="388" r="AH7"/>
      <c s="36" r="AI7"/>
      <c s="391" r="AJ7"/>
      <c s="551" r="AK7"/>
      <c s="551" r="AL7"/>
      <c s="551" r="AM7"/>
      <c s="551" r="AN7"/>
      <c s="551" r="AO7"/>
      <c s="551" r="AP7"/>
      <c s="551" r="AQ7"/>
      <c s="551" r="AR7"/>
      <c s="551" r="AS7"/>
      <c s="551" r="AT7"/>
      <c s="551" r="AU7"/>
      <c s="551" r="AV7"/>
      <c s="551" r="AW7"/>
      <c s="551" r="AX7"/>
      <c s="551" r="AY7"/>
      <c s="551" r="AZ7"/>
      <c s="551" r="BA7"/>
      <c s="551" r="BB7"/>
      <c s="551" r="BC7"/>
      <c s="551" r="BD7"/>
      <c s="671" r="BE7"/>
      <c s="388" r="BF7"/>
      <c s="36" r="BG7"/>
      <c s="391" r="BH7"/>
      <c s="551" r="BI7"/>
      <c s="551" r="BJ7"/>
      <c s="551" r="BK7"/>
      <c s="551" r="BL7"/>
      <c s="551" r="BM7"/>
      <c s="551" r="BN7"/>
      <c s="551" r="BO7"/>
      <c s="551" r="BP7"/>
      <c s="551" r="BQ7"/>
      <c s="551" r="BR7"/>
      <c s="551" r="BS7"/>
      <c s="551" r="BT7"/>
      <c s="551" r="BU7"/>
      <c s="551" r="BV7"/>
      <c s="551" r="BW7"/>
      <c s="551" r="BX7"/>
      <c s="551" r="BY7"/>
      <c s="551" r="BZ7"/>
      <c s="551" r="CA7"/>
      <c s="551" r="CB7"/>
      <c s="671" r="CC7"/>
      <c s="388" r="CD7"/>
      <c s="36" r="CE7"/>
      <c s="391" r="CF7"/>
      <c s="551" r="CG7"/>
      <c s="551" r="CH7"/>
      <c s="551" r="CI7"/>
      <c s="551" r="CJ7"/>
      <c s="551" r="CK7"/>
      <c s="551" r="CL7"/>
      <c s="551" r="CM7"/>
      <c s="551" r="CN7"/>
      <c s="551" r="CO7"/>
      <c s="551" r="CP7"/>
      <c s="551" r="CQ7"/>
      <c s="551" r="CR7"/>
      <c s="551" r="CS7"/>
      <c s="551" r="CT7"/>
      <c s="551" r="CU7"/>
      <c s="551" r="CV7"/>
      <c s="551" r="CW7"/>
      <c s="551" r="CX7"/>
      <c s="551" r="CY7"/>
      <c s="551" r="CZ7"/>
      <c s="671" r="DA7"/>
      <c s="388" r="DB7"/>
      <c s="36" r="DC7"/>
      <c s="391" r="DD7"/>
      <c s="551" r="DE7"/>
      <c s="551" r="DF7"/>
      <c s="551" r="DG7"/>
      <c s="551" r="DH7"/>
      <c s="551" r="DI7"/>
      <c s="551" r="DJ7"/>
      <c s="551" r="DK7"/>
      <c s="551" r="DL7"/>
      <c s="551" r="DM7"/>
      <c s="551" r="DN7"/>
      <c s="551" r="DO7"/>
      <c s="551" r="DP7"/>
      <c s="551" r="DQ7"/>
      <c s="551" r="DR7"/>
      <c s="551" r="DS7"/>
      <c s="551" r="DT7"/>
      <c s="551" r="DU7"/>
      <c s="551" r="DV7"/>
      <c s="551" r="DW7"/>
      <c s="551" r="DX7"/>
      <c s="671" r="DY7"/>
      <c s="388" r="DZ7"/>
      <c s="36" r="EA7"/>
      <c s="391" r="EB7"/>
      <c s="551" r="EC7"/>
      <c s="551" r="ED7"/>
      <c s="551" r="EE7"/>
      <c s="551" r="EF7"/>
      <c s="551" r="EG7"/>
      <c s="551" r="EH7"/>
      <c s="551" r="EI7"/>
      <c s="551" r="EJ7"/>
      <c s="551" r="EK7"/>
      <c s="551" r="EL7"/>
      <c s="551" r="EM7"/>
      <c s="551" r="EN7"/>
      <c s="551" r="EO7"/>
      <c s="551" r="EP7"/>
      <c s="551" r="EQ7"/>
      <c s="551" r="ER7"/>
      <c s="551" r="ES7"/>
      <c s="551" r="ET7"/>
      <c s="551" r="EU7"/>
      <c s="551" r="EV7"/>
      <c s="671" r="EW7"/>
      <c s="388" r="EX7"/>
      <c s="36" r="EY7"/>
      <c s="391" r="EZ7"/>
      <c s="551" r="FA7"/>
      <c s="551" r="FB7"/>
      <c s="551" r="FC7"/>
      <c s="551" r="FD7"/>
      <c s="551" r="FE7"/>
      <c s="551" r="FF7"/>
      <c s="551" r="FG7"/>
      <c s="551" r="FH7"/>
      <c s="551" r="FI7"/>
      <c s="551" r="FJ7"/>
      <c s="551" r="FK7"/>
      <c s="551" r="FL7"/>
      <c s="551" r="FM7"/>
      <c s="551" r="FN7"/>
      <c s="551" r="FO7"/>
      <c s="551" r="FP7"/>
      <c s="551" r="FQ7"/>
      <c s="551" r="FR7"/>
      <c s="551" r="FS7"/>
      <c s="551" r="FT7"/>
      <c s="671" r="FU7"/>
      <c s="388" r="FV7"/>
      <c s="908" r="FW7"/>
      <c t="s" s="551" r="FX7">
        <v>554</v>
      </c>
      <c s="551" r="FY7"/>
      <c s="551" r="FZ7"/>
      <c s="551" r="GA7"/>
      <c s="551" r="GB7"/>
      <c s="551" r="GC7"/>
      <c s="671" r="GD7"/>
      <c s="51" r="GE7"/>
      <c s="125" r="GF7"/>
      <c s="125" r="GG7"/>
      <c s="125" r="GH7"/>
      <c s="125" r="GI7"/>
      <c s="125" r="GJ7"/>
      <c s="125" r="GK7"/>
      <c s="125" r="GL7"/>
      <c s="125" r="GM7"/>
      <c s="125" r="GN7"/>
      <c s="125" r="GO7"/>
      <c s="125" r="GP7"/>
      <c s="125" r="GQ7"/>
      <c s="125" r="GR7"/>
      <c s="125" r="GS7"/>
      <c s="125" r="GT7"/>
      <c s="125" r="GU7"/>
      <c s="125" r="GV7"/>
      <c s="125" r="GW7"/>
      <c s="125" r="GX7"/>
      <c s="125" r="GY7"/>
      <c s="125" r="GZ7"/>
      <c s="125" r="HA7"/>
      <c s="125" r="HB7"/>
    </row>
    <row r="8">
      <c s="822" r="A8"/>
      <c s="406" r="B8"/>
      <c s="886" r="C8"/>
      <c s="831" r="D8"/>
      <c s="831" r="E8"/>
      <c s="831" r="F8"/>
      <c s="831" r="G8"/>
      <c s="831" r="H8"/>
      <c s="418" r="I8"/>
      <c s="702" r="J8"/>
      <c s="36" r="K8"/>
      <c s="391" r="L8"/>
      <c s="551" r="M8"/>
      <c s="551" r="N8"/>
      <c s="551" r="O8"/>
      <c s="551" r="P8"/>
      <c s="551" r="Q8"/>
      <c s="551" r="R8"/>
      <c s="551" r="S8"/>
      <c s="551" r="T8"/>
      <c s="551" r="U8"/>
      <c s="551" r="V8"/>
      <c s="551" r="W8"/>
      <c s="551" r="X8"/>
      <c s="551" r="Y8"/>
      <c s="551" r="Z8"/>
      <c s="551" r="AA8"/>
      <c s="551" r="AB8"/>
      <c s="551" r="AC8"/>
      <c s="551" r="AD8"/>
      <c s="551" r="AE8"/>
      <c s="551" r="AF8"/>
      <c s="671" r="AG8"/>
      <c s="388" r="AH8"/>
      <c s="36" r="AI8"/>
      <c s="391" r="AJ8"/>
      <c s="551" r="AK8"/>
      <c s="551" r="AL8"/>
      <c s="551" r="AM8"/>
      <c s="551" r="AN8"/>
      <c s="551" r="AO8"/>
      <c s="551" r="AP8"/>
      <c s="551" r="AQ8"/>
      <c s="551" r="AR8"/>
      <c s="551" r="AS8"/>
      <c s="551" r="AT8"/>
      <c s="551" r="AU8"/>
      <c s="551" r="AV8"/>
      <c s="551" r="AW8"/>
      <c s="551" r="AX8"/>
      <c s="551" r="AY8"/>
      <c s="551" r="AZ8"/>
      <c s="551" r="BA8"/>
      <c s="551" r="BB8"/>
      <c s="551" r="BC8"/>
      <c s="551" r="BD8"/>
      <c s="671" r="BE8"/>
      <c s="388" r="BF8"/>
      <c s="36" r="BG8"/>
      <c s="391" r="BH8"/>
      <c s="551" r="BI8"/>
      <c s="551" r="BJ8"/>
      <c s="551" r="BK8"/>
      <c s="551" r="BL8"/>
      <c s="551" r="BM8"/>
      <c s="551" r="BN8"/>
      <c s="551" r="BO8"/>
      <c s="551" r="BP8"/>
      <c s="551" r="BQ8"/>
      <c s="551" r="BR8"/>
      <c s="551" r="BS8"/>
      <c s="551" r="BT8"/>
      <c s="551" r="BU8"/>
      <c s="551" r="BV8"/>
      <c s="551" r="BW8"/>
      <c s="551" r="BX8"/>
      <c s="551" r="BY8"/>
      <c s="551" r="BZ8"/>
      <c s="551" r="CA8"/>
      <c s="551" r="CB8"/>
      <c s="671" r="CC8"/>
      <c s="388" r="CD8"/>
      <c s="36" r="CE8"/>
      <c s="391" r="CF8"/>
      <c s="551" r="CG8"/>
      <c s="551" r="CH8"/>
      <c s="551" r="CI8"/>
      <c s="551" r="CJ8"/>
      <c s="551" r="CK8"/>
      <c s="551" r="CL8"/>
      <c s="551" r="CM8"/>
      <c s="551" r="CN8"/>
      <c s="551" r="CO8"/>
      <c s="551" r="CP8"/>
      <c s="551" r="CQ8"/>
      <c s="551" r="CR8"/>
      <c s="551" r="CS8"/>
      <c s="551" r="CT8"/>
      <c s="551" r="CU8"/>
      <c s="551" r="CV8"/>
      <c s="551" r="CW8"/>
      <c s="551" r="CX8"/>
      <c s="551" r="CY8"/>
      <c s="551" r="CZ8"/>
      <c s="671" r="DA8"/>
      <c s="388" r="DB8"/>
      <c s="36" r="DC8"/>
      <c s="391" r="DD8"/>
      <c s="551" r="DE8"/>
      <c s="551" r="DF8"/>
      <c s="551" r="DG8"/>
      <c s="551" r="DH8"/>
      <c s="551" r="DI8"/>
      <c s="551" r="DJ8"/>
      <c s="551" r="DK8"/>
      <c s="551" r="DL8"/>
      <c s="551" r="DM8"/>
      <c s="551" r="DN8"/>
      <c s="551" r="DO8"/>
      <c s="551" r="DP8"/>
      <c s="551" r="DQ8"/>
      <c s="551" r="DR8"/>
      <c s="551" r="DS8"/>
      <c s="551" r="DT8"/>
      <c s="551" r="DU8"/>
      <c s="551" r="DV8"/>
      <c s="551" r="DW8"/>
      <c s="551" r="DX8"/>
      <c s="671" r="DY8"/>
      <c s="388" r="DZ8"/>
      <c s="36" r="EA8"/>
      <c s="391" r="EB8"/>
      <c s="551" r="EC8"/>
      <c s="551" r="ED8"/>
      <c s="551" r="EE8"/>
      <c s="551" r="EF8"/>
      <c s="551" r="EG8"/>
      <c s="551" r="EH8"/>
      <c s="551" r="EI8"/>
      <c s="551" r="EJ8"/>
      <c s="551" r="EK8"/>
      <c s="551" r="EL8"/>
      <c s="551" r="EM8"/>
      <c s="551" r="EN8"/>
      <c s="551" r="EO8"/>
      <c s="551" r="EP8"/>
      <c s="551" r="EQ8"/>
      <c s="551" r="ER8"/>
      <c s="551" r="ES8"/>
      <c s="551" r="ET8"/>
      <c s="551" r="EU8"/>
      <c s="551" r="EV8"/>
      <c s="671" r="EW8"/>
      <c s="388" r="EX8"/>
      <c s="36" r="EY8"/>
      <c s="391" r="EZ8"/>
      <c s="551" r="FA8"/>
      <c s="551" r="FB8"/>
      <c s="551" r="FC8"/>
      <c s="551" r="FD8"/>
      <c s="551" r="FE8"/>
      <c s="551" r="FF8"/>
      <c s="551" r="FG8"/>
      <c s="551" r="FH8"/>
      <c s="551" r="FI8"/>
      <c s="551" r="FJ8"/>
      <c s="551" r="FK8"/>
      <c s="551" r="FL8"/>
      <c s="551" r="FM8"/>
      <c s="551" r="FN8"/>
      <c s="551" r="FO8"/>
      <c s="551" r="FP8"/>
      <c s="551" r="FQ8"/>
      <c s="551" r="FR8"/>
      <c s="551" r="FS8"/>
      <c s="551" r="FT8"/>
      <c s="671" r="FU8"/>
      <c s="388" r="FV8"/>
      <c s="908" r="FW8"/>
      <c t="s" s="551" r="FX8">
        <v>555</v>
      </c>
      <c s="551" r="FY8"/>
      <c s="551" r="FZ8"/>
      <c s="551" r="GA8"/>
      <c s="551" r="GB8"/>
      <c s="551" r="GC8"/>
      <c s="671" r="GD8"/>
      <c s="51" r="GE8"/>
      <c s="125" r="GF8"/>
      <c s="125" r="GG8"/>
      <c s="125" r="GH8"/>
      <c s="125" r="GI8"/>
      <c s="125" r="GJ8"/>
      <c s="125" r="GK8"/>
      <c s="125" r="GL8"/>
      <c s="125" r="GM8"/>
      <c s="125" r="GN8"/>
      <c s="125" r="GO8"/>
      <c s="125" r="GP8"/>
      <c s="125" r="GQ8"/>
      <c s="125" r="GR8"/>
      <c s="125" r="GS8"/>
      <c s="125" r="GT8"/>
      <c s="125" r="GU8"/>
      <c s="125" r="GV8"/>
      <c s="125" r="GW8"/>
      <c s="125" r="GX8"/>
      <c s="125" r="GY8"/>
      <c s="125" r="GZ8"/>
      <c s="125" r="HA8"/>
      <c s="125" r="HB8"/>
    </row>
    <row r="9">
      <c s="822" r="A9"/>
      <c s="406" r="B9"/>
      <c s="886" r="C9"/>
      <c s="756" r="D9"/>
      <c s="756" r="E9"/>
      <c s="756" r="F9"/>
      <c s="756" r="G9"/>
      <c s="756" r="H9"/>
      <c s="418" r="I9"/>
      <c s="702" r="J9"/>
      <c s="36" r="K9"/>
      <c s="391" r="L9"/>
      <c s="551" r="M9"/>
      <c s="551" r="N9"/>
      <c s="551" r="O9"/>
      <c s="551" r="P9"/>
      <c s="551" r="Q9"/>
      <c s="551" r="R9"/>
      <c s="551" r="S9"/>
      <c s="551" r="T9"/>
      <c s="551" r="U9"/>
      <c s="551" r="V9"/>
      <c s="551" r="W9"/>
      <c s="551" r="X9"/>
      <c s="551" r="Y9"/>
      <c s="551" r="Z9"/>
      <c s="551" r="AA9"/>
      <c s="551" r="AB9"/>
      <c s="551" r="AC9"/>
      <c s="551" r="AD9"/>
      <c s="551" r="AE9"/>
      <c s="551" r="AF9"/>
      <c s="671" r="AG9"/>
      <c s="388" r="AH9"/>
      <c s="36" r="AI9"/>
      <c s="391" r="AJ9"/>
      <c s="551" r="AK9"/>
      <c s="551" r="AL9"/>
      <c s="551" r="AM9"/>
      <c s="551" r="AN9"/>
      <c s="551" r="AO9"/>
      <c s="551" r="AP9"/>
      <c s="551" r="AQ9"/>
      <c s="551" r="AR9"/>
      <c s="551" r="AS9"/>
      <c s="551" r="AT9"/>
      <c s="551" r="AU9"/>
      <c s="551" r="AV9"/>
      <c s="551" r="AW9"/>
      <c s="551" r="AX9"/>
      <c s="551" r="AY9"/>
      <c s="551" r="AZ9"/>
      <c s="551" r="BA9"/>
      <c s="551" r="BB9"/>
      <c s="551" r="BC9"/>
      <c s="551" r="BD9"/>
      <c s="671" r="BE9"/>
      <c s="388" r="BF9"/>
      <c s="36" r="BG9"/>
      <c s="391" r="BH9"/>
      <c s="551" r="BI9"/>
      <c s="551" r="BJ9"/>
      <c s="551" r="BK9"/>
      <c s="551" r="BL9"/>
      <c s="551" r="BM9"/>
      <c s="551" r="BN9"/>
      <c s="551" r="BO9"/>
      <c s="551" r="BP9"/>
      <c s="551" r="BQ9"/>
      <c s="551" r="BR9"/>
      <c s="551" r="BS9"/>
      <c s="551" r="BT9"/>
      <c s="551" r="BU9"/>
      <c s="551" r="BV9"/>
      <c s="551" r="BW9"/>
      <c s="551" r="BX9"/>
      <c s="551" r="BY9"/>
      <c s="551" r="BZ9"/>
      <c s="551" r="CA9"/>
      <c s="551" r="CB9"/>
      <c s="671" r="CC9"/>
      <c s="388" r="CD9"/>
      <c s="36" r="CE9"/>
      <c s="391" r="CF9"/>
      <c s="551" r="CG9"/>
      <c s="551" r="CH9"/>
      <c s="551" r="CI9"/>
      <c s="551" r="CJ9"/>
      <c s="551" r="CK9"/>
      <c s="551" r="CL9"/>
      <c s="551" r="CM9"/>
      <c s="551" r="CN9"/>
      <c s="551" r="CO9"/>
      <c s="551" r="CP9"/>
      <c s="551" r="CQ9"/>
      <c s="551" r="CR9"/>
      <c s="551" r="CS9"/>
      <c s="551" r="CT9"/>
      <c s="551" r="CU9"/>
      <c s="551" r="CV9"/>
      <c s="551" r="CW9"/>
      <c s="551" r="CX9"/>
      <c s="551" r="CY9"/>
      <c s="551" r="CZ9"/>
      <c s="671" r="DA9"/>
      <c s="388" r="DB9"/>
      <c s="36" r="DC9"/>
      <c s="391" r="DD9"/>
      <c s="551" r="DE9"/>
      <c s="551" r="DF9"/>
      <c s="551" r="DG9"/>
      <c s="551" r="DH9"/>
      <c s="551" r="DI9"/>
      <c s="551" r="DJ9"/>
      <c s="551" r="DK9"/>
      <c s="551" r="DL9"/>
      <c s="551" r="DM9"/>
      <c s="551" r="DN9"/>
      <c s="551" r="DO9"/>
      <c s="551" r="DP9"/>
      <c s="551" r="DQ9"/>
      <c s="551" r="DR9"/>
      <c s="551" r="DS9"/>
      <c s="551" r="DT9"/>
      <c s="551" r="DU9"/>
      <c s="551" r="DV9"/>
      <c s="551" r="DW9"/>
      <c s="551" r="DX9"/>
      <c s="671" r="DY9"/>
      <c s="388" r="DZ9"/>
      <c s="36" r="EA9"/>
      <c s="391" r="EB9"/>
      <c s="551" r="EC9"/>
      <c s="551" r="ED9"/>
      <c s="551" r="EE9"/>
      <c s="551" r="EF9"/>
      <c s="551" r="EG9"/>
      <c s="551" r="EH9"/>
      <c s="551" r="EI9"/>
      <c s="551" r="EJ9"/>
      <c s="551" r="EK9"/>
      <c s="551" r="EL9"/>
      <c s="551" r="EM9"/>
      <c s="551" r="EN9"/>
      <c s="551" r="EO9"/>
      <c s="551" r="EP9"/>
      <c s="551" r="EQ9"/>
      <c s="551" r="ER9"/>
      <c s="551" r="ES9"/>
      <c s="551" r="ET9"/>
      <c s="551" r="EU9"/>
      <c s="551" r="EV9"/>
      <c s="671" r="EW9"/>
      <c s="388" r="EX9"/>
      <c s="36" r="EY9"/>
      <c s="391" r="EZ9"/>
      <c s="551" r="FA9"/>
      <c s="551" r="FB9"/>
      <c s="551" r="FC9"/>
      <c s="551" r="FD9"/>
      <c s="551" r="FE9"/>
      <c s="551" r="FF9"/>
      <c s="551" r="FG9"/>
      <c s="551" r="FH9"/>
      <c s="551" r="FI9"/>
      <c s="551" r="FJ9"/>
      <c s="551" r="FK9"/>
      <c s="551" r="FL9"/>
      <c s="551" r="FM9"/>
      <c s="551" r="FN9"/>
      <c s="551" r="FO9"/>
      <c s="551" r="FP9"/>
      <c s="551" r="FQ9"/>
      <c s="551" r="FR9"/>
      <c s="551" r="FS9"/>
      <c s="551" r="FT9"/>
      <c s="671" r="FU9"/>
      <c s="388" r="FV9"/>
      <c s="908" r="FW9"/>
      <c t="s" s="551" r="FX9">
        <v>556</v>
      </c>
      <c s="551" r="FY9"/>
      <c s="551" r="FZ9"/>
      <c s="551" r="GA9"/>
      <c s="551" r="GB9"/>
      <c s="551" r="GC9"/>
      <c s="671" r="GD9"/>
      <c s="51" r="GE9"/>
      <c s="125" r="GF9"/>
      <c s="125" r="GG9"/>
      <c s="125" r="GH9"/>
      <c s="125" r="GI9"/>
      <c s="125" r="GJ9"/>
      <c s="125" r="GK9"/>
      <c s="125" r="GL9"/>
      <c s="125" r="GM9"/>
      <c s="125" r="GN9"/>
      <c s="125" r="GO9"/>
      <c s="125" r="GP9"/>
      <c s="125" r="GQ9"/>
      <c s="125" r="GR9"/>
      <c s="125" r="GS9"/>
      <c s="125" r="GT9"/>
      <c s="125" r="GU9"/>
      <c s="125" r="GV9"/>
      <c s="125" r="GW9"/>
      <c s="125" r="GX9"/>
      <c s="125" r="GY9"/>
      <c s="125" r="GZ9"/>
      <c s="125" r="HA9"/>
      <c s="125" r="HB9"/>
    </row>
    <row r="10">
      <c t="s" s="822" r="A10">
        <v>2</v>
      </c>
      <c s="406" r="B10"/>
      <c s="886" r="C10"/>
      <c t="s" s="292" r="D10">
        <v>557</v>
      </c>
      <c s="292" r="E10"/>
      <c s="292" r="F10"/>
      <c s="292" r="G10"/>
      <c s="292" r="H10"/>
      <c s="418" r="I10"/>
      <c s="702" r="J10"/>
      <c s="36" r="K10"/>
      <c s="391" r="L10"/>
      <c s="551" r="M10"/>
      <c s="551" r="N10"/>
      <c s="551" r="O10"/>
      <c s="551" r="P10"/>
      <c s="551" r="Q10"/>
      <c s="551" r="R10"/>
      <c s="551" r="S10"/>
      <c s="551" r="T10"/>
      <c s="551" r="U10"/>
      <c s="551" r="V10"/>
      <c s="551" r="W10"/>
      <c s="551" r="X10"/>
      <c s="551" r="Y10"/>
      <c s="551" r="Z10"/>
      <c s="551" r="AA10"/>
      <c s="551" r="AB10"/>
      <c s="551" r="AC10"/>
      <c s="551" r="AD10"/>
      <c s="551" r="AE10"/>
      <c s="551" r="AF10"/>
      <c s="671" r="AG10"/>
      <c s="388" r="AH10"/>
      <c s="36" r="AI10"/>
      <c s="391" r="AJ10"/>
      <c s="551" r="AK10"/>
      <c s="551" r="AL10"/>
      <c s="551" r="AM10"/>
      <c s="551" r="AN10"/>
      <c s="551" r="AO10"/>
      <c s="551" r="AP10"/>
      <c s="551" r="AQ10"/>
      <c s="551" r="AR10"/>
      <c s="551" r="AS10"/>
      <c s="551" r="AT10"/>
      <c s="551" r="AU10"/>
      <c s="551" r="AV10"/>
      <c s="551" r="AW10"/>
      <c s="551" r="AX10"/>
      <c s="551" r="AY10"/>
      <c s="551" r="AZ10"/>
      <c s="551" r="BA10"/>
      <c s="551" r="BB10"/>
      <c s="551" r="BC10"/>
      <c s="551" r="BD10"/>
      <c s="671" r="BE10"/>
      <c s="388" r="BF10"/>
      <c s="36" r="BG10"/>
      <c s="391" r="BH10"/>
      <c s="551" r="BI10"/>
      <c s="551" r="BJ10"/>
      <c s="551" r="BK10"/>
      <c s="551" r="BL10"/>
      <c s="551" r="BM10"/>
      <c s="551" r="BN10"/>
      <c s="551" r="BO10"/>
      <c s="551" r="BP10"/>
      <c s="551" r="BQ10"/>
      <c s="551" r="BR10"/>
      <c s="551" r="BS10"/>
      <c s="551" r="BT10"/>
      <c s="551" r="BU10"/>
      <c s="551" r="BV10"/>
      <c s="551" r="BW10"/>
      <c s="551" r="BX10"/>
      <c s="551" r="BY10"/>
      <c s="551" r="BZ10"/>
      <c s="551" r="CA10"/>
      <c s="551" r="CB10"/>
      <c s="671" r="CC10"/>
      <c s="388" r="CD10"/>
      <c s="36" r="CE10"/>
      <c s="391" r="CF10"/>
      <c s="551" r="CG10"/>
      <c s="551" r="CH10"/>
      <c s="551" r="CI10"/>
      <c s="551" r="CJ10"/>
      <c s="551" r="CK10"/>
      <c s="551" r="CL10"/>
      <c s="551" r="CM10"/>
      <c s="551" r="CN10"/>
      <c s="551" r="CO10"/>
      <c s="551" r="CP10"/>
      <c s="551" r="CQ10"/>
      <c s="551" r="CR10"/>
      <c s="551" r="CS10"/>
      <c s="551" r="CT10"/>
      <c s="551" r="CU10"/>
      <c s="551" r="CV10"/>
      <c s="551" r="CW10"/>
      <c s="551" r="CX10"/>
      <c s="551" r="CY10"/>
      <c s="551" r="CZ10"/>
      <c s="671" r="DA10"/>
      <c s="388" r="DB10"/>
      <c s="36" r="DC10"/>
      <c s="391" r="DD10"/>
      <c s="551" r="DE10"/>
      <c s="551" r="DF10"/>
      <c s="551" r="DG10"/>
      <c s="551" r="DH10"/>
      <c s="551" r="DI10"/>
      <c s="551" r="DJ10"/>
      <c s="551" r="DK10"/>
      <c s="551" r="DL10"/>
      <c s="551" r="DM10"/>
      <c s="551" r="DN10"/>
      <c s="551" r="DO10"/>
      <c s="551" r="DP10"/>
      <c s="551" r="DQ10"/>
      <c s="551" r="DR10"/>
      <c s="551" r="DS10"/>
      <c s="551" r="DT10"/>
      <c s="551" r="DU10"/>
      <c s="551" r="DV10"/>
      <c s="551" r="DW10"/>
      <c s="551" r="DX10"/>
      <c s="671" r="DY10"/>
      <c s="388" r="DZ10"/>
      <c s="36" r="EA10"/>
      <c s="391" r="EB10"/>
      <c s="551" r="EC10"/>
      <c s="551" r="ED10"/>
      <c s="551" r="EE10"/>
      <c s="551" r="EF10"/>
      <c s="551" r="EG10"/>
      <c s="551" r="EH10"/>
      <c s="551" r="EI10"/>
      <c s="551" r="EJ10"/>
      <c s="551" r="EK10"/>
      <c s="551" r="EL10"/>
      <c s="551" r="EM10"/>
      <c s="551" r="EN10"/>
      <c s="551" r="EO10"/>
      <c s="551" r="EP10"/>
      <c s="551" r="EQ10"/>
      <c s="551" r="ER10"/>
      <c s="551" r="ES10"/>
      <c s="551" r="ET10"/>
      <c s="551" r="EU10"/>
      <c s="551" r="EV10"/>
      <c s="671" r="EW10"/>
      <c s="388" r="EX10"/>
      <c s="36" r="EY10"/>
      <c s="391" r="EZ10"/>
      <c s="551" r="FA10"/>
      <c s="551" r="FB10"/>
      <c s="551" r="FC10"/>
      <c s="551" r="FD10"/>
      <c s="551" r="FE10"/>
      <c s="551" r="FF10"/>
      <c s="551" r="FG10"/>
      <c s="551" r="FH10"/>
      <c s="551" r="FI10"/>
      <c s="551" r="FJ10"/>
      <c s="551" r="FK10"/>
      <c s="551" r="FL10"/>
      <c s="551" r="FM10"/>
      <c s="551" r="FN10"/>
      <c s="551" r="FO10"/>
      <c s="551" r="FP10"/>
      <c s="551" r="FQ10"/>
      <c s="551" r="FR10"/>
      <c s="551" r="FS10"/>
      <c s="551" r="FT10"/>
      <c s="671" r="FU10"/>
      <c s="388" r="FV10"/>
      <c s="20" r="FW10"/>
      <c s="414" r="FX10"/>
      <c s="414" r="FY10"/>
      <c s="414" r="FZ10"/>
      <c s="414" r="GA10"/>
      <c s="414" r="GB10"/>
      <c s="414" r="GC10"/>
      <c s="397" r="GD10"/>
      <c s="51" r="GE10"/>
      <c s="125" r="GF10"/>
      <c s="125" r="GG10"/>
      <c s="125" r="GH10"/>
      <c s="125" r="GI10"/>
      <c s="125" r="GJ10"/>
      <c s="125" r="GK10"/>
      <c s="125" r="GL10"/>
      <c s="125" r="GM10"/>
      <c s="125" r="GN10"/>
      <c s="125" r="GO10"/>
      <c s="125" r="GP10"/>
      <c s="125" r="GQ10"/>
      <c s="125" r="GR10"/>
      <c s="125" r="GS10"/>
      <c s="125" r="GT10"/>
      <c s="125" r="GU10"/>
      <c s="125" r="GV10"/>
      <c s="125" r="GW10"/>
      <c s="125" r="GX10"/>
      <c s="125" r="GY10"/>
      <c s="125" r="GZ10"/>
      <c s="125" r="HA10"/>
      <c s="125" r="HB10"/>
    </row>
    <row customHeight="1" r="11" ht="13.5">
      <c s="822" r="A11"/>
      <c s="406" r="B11"/>
      <c s="886" r="C11"/>
      <c s="292" r="D11"/>
      <c s="292" r="E11"/>
      <c s="292" r="F11"/>
      <c s="292" r="G11"/>
      <c s="292" r="H11"/>
      <c s="418" r="I11"/>
      <c s="702" r="J11"/>
      <c s="36" r="K11"/>
      <c s="391" r="L11"/>
      <c s="551" r="M11"/>
      <c s="551" r="N11"/>
      <c s="551" r="O11"/>
      <c s="551" r="P11"/>
      <c s="551" r="Q11"/>
      <c s="551" r="R11"/>
      <c s="551" r="S11"/>
      <c s="551" r="T11"/>
      <c s="551" r="U11"/>
      <c s="551" r="V11"/>
      <c s="551" r="W11"/>
      <c s="551" r="X11"/>
      <c s="551" r="Y11"/>
      <c s="551" r="Z11"/>
      <c s="551" r="AA11"/>
      <c s="551" r="AB11"/>
      <c s="551" r="AC11"/>
      <c s="551" r="AD11"/>
      <c s="551" r="AE11"/>
      <c s="551" r="AF11"/>
      <c s="671" r="AG11"/>
      <c s="388" r="AH11"/>
      <c s="36" r="AI11"/>
      <c s="391" r="AJ11"/>
      <c s="551" r="AK11"/>
      <c s="551" r="AL11"/>
      <c s="551" r="AM11"/>
      <c s="551" r="AN11"/>
      <c s="551" r="AO11"/>
      <c s="551" r="AP11"/>
      <c s="551" r="AQ11"/>
      <c s="551" r="AR11"/>
      <c s="551" r="AS11"/>
      <c s="551" r="AT11"/>
      <c s="551" r="AU11"/>
      <c s="551" r="AV11"/>
      <c s="551" r="AW11"/>
      <c s="551" r="AX11"/>
      <c s="551" r="AY11"/>
      <c s="551" r="AZ11"/>
      <c s="551" r="BA11"/>
      <c s="551" r="BB11"/>
      <c s="551" r="BC11"/>
      <c s="551" r="BD11"/>
      <c s="671" r="BE11"/>
      <c s="388" r="BF11"/>
      <c s="36" r="BG11"/>
      <c s="391" r="BH11"/>
      <c s="551" r="BI11"/>
      <c s="551" r="BJ11"/>
      <c s="551" r="BK11"/>
      <c s="551" r="BL11"/>
      <c s="551" r="BM11"/>
      <c s="551" r="BN11"/>
      <c s="551" r="BO11"/>
      <c s="551" r="BP11"/>
      <c s="551" r="BQ11"/>
      <c s="551" r="BR11"/>
      <c s="551" r="BS11"/>
      <c s="551" r="BT11"/>
      <c s="551" r="BU11"/>
      <c s="551" r="BV11"/>
      <c s="551" r="BW11"/>
      <c s="551" r="BX11"/>
      <c s="551" r="BY11"/>
      <c s="551" r="BZ11"/>
      <c s="551" r="CA11"/>
      <c s="551" r="CB11"/>
      <c s="671" r="CC11"/>
      <c s="388" r="CD11"/>
      <c s="36" r="CE11"/>
      <c s="391" r="CF11"/>
      <c s="551" r="CG11"/>
      <c s="551" r="CH11"/>
      <c s="551" r="CI11"/>
      <c s="551" r="CJ11"/>
      <c s="551" r="CK11"/>
      <c s="551" r="CL11"/>
      <c s="551" r="CM11"/>
      <c s="551" r="CN11"/>
      <c s="551" r="CO11"/>
      <c s="551" r="CP11"/>
      <c s="551" r="CQ11"/>
      <c s="551" r="CR11"/>
      <c s="551" r="CS11"/>
      <c s="551" r="CT11"/>
      <c s="551" r="CU11"/>
      <c s="551" r="CV11"/>
      <c s="551" r="CW11"/>
      <c s="551" r="CX11"/>
      <c s="551" r="CY11"/>
      <c s="551" r="CZ11"/>
      <c s="671" r="DA11"/>
      <c s="388" r="DB11"/>
      <c s="36" r="DC11"/>
      <c s="391" r="DD11"/>
      <c s="551" r="DE11"/>
      <c s="551" r="DF11"/>
      <c s="551" r="DG11"/>
      <c s="551" r="DH11"/>
      <c s="551" r="DI11"/>
      <c s="551" r="DJ11"/>
      <c s="551" r="DK11"/>
      <c s="551" r="DL11"/>
      <c s="551" r="DM11"/>
      <c s="551" r="DN11"/>
      <c s="551" r="DO11"/>
      <c s="551" r="DP11"/>
      <c s="551" r="DQ11"/>
      <c s="551" r="DR11"/>
      <c s="551" r="DS11"/>
      <c s="551" r="DT11"/>
      <c s="551" r="DU11"/>
      <c s="551" r="DV11"/>
      <c s="551" r="DW11"/>
      <c s="551" r="DX11"/>
      <c s="671" r="DY11"/>
      <c s="388" r="DZ11"/>
      <c s="36" r="EA11"/>
      <c s="391" r="EB11"/>
      <c s="551" r="EC11"/>
      <c s="551" r="ED11"/>
      <c s="551" r="EE11"/>
      <c s="551" r="EF11"/>
      <c s="551" r="EG11"/>
      <c s="551" r="EH11"/>
      <c s="551" r="EI11"/>
      <c s="551" r="EJ11"/>
      <c s="551" r="EK11"/>
      <c s="551" r="EL11"/>
      <c s="551" r="EM11"/>
      <c s="551" r="EN11"/>
      <c s="551" r="EO11"/>
      <c s="551" r="EP11"/>
      <c s="551" r="EQ11"/>
      <c s="551" r="ER11"/>
      <c s="551" r="ES11"/>
      <c s="551" r="ET11"/>
      <c s="551" r="EU11"/>
      <c s="551" r="EV11"/>
      <c s="671" r="EW11"/>
      <c s="388" r="EX11"/>
      <c s="36" r="EY11"/>
      <c s="391" r="EZ11"/>
      <c s="551" r="FA11"/>
      <c s="551" r="FB11"/>
      <c s="551" r="FC11"/>
      <c s="551" r="FD11"/>
      <c s="551" r="FE11"/>
      <c s="551" r="FF11"/>
      <c s="551" r="FG11"/>
      <c s="551" r="FH11"/>
      <c s="551" r="FI11"/>
      <c s="551" r="FJ11"/>
      <c s="551" r="FK11"/>
      <c s="551" r="FL11"/>
      <c s="551" r="FM11"/>
      <c s="551" r="FN11"/>
      <c s="551" r="FO11"/>
      <c s="551" r="FP11"/>
      <c s="551" r="FQ11"/>
      <c s="551" r="FR11"/>
      <c s="551" r="FS11"/>
      <c s="551" r="FT11"/>
      <c s="671" r="FU11"/>
      <c s="222" r="FV11"/>
      <c s="442" r="FW11"/>
      <c s="442" r="FX11"/>
      <c s="442" r="FY11"/>
      <c s="442" r="FZ11"/>
      <c s="442" r="GA11"/>
      <c s="442" r="GB11"/>
      <c s="442" r="GC11"/>
      <c s="442" r="GD11"/>
      <c s="125" r="GE11"/>
      <c s="125" r="GF11"/>
      <c s="125" r="GG11"/>
      <c s="125" r="GH11"/>
      <c s="125" r="GI11"/>
      <c s="125" r="GJ11"/>
      <c s="125" r="GK11"/>
      <c s="125" r="GL11"/>
      <c s="125" r="GM11"/>
      <c s="125" r="GN11"/>
      <c s="125" r="GO11"/>
      <c s="125" r="GP11"/>
      <c s="125" r="GQ11"/>
      <c s="125" r="GR11"/>
      <c s="125" r="GS11"/>
      <c s="125" r="GT11"/>
      <c s="125" r="GU11"/>
      <c s="125" r="GV11"/>
      <c s="125" r="GW11"/>
      <c s="125" r="GX11"/>
      <c s="125" r="GY11"/>
      <c s="125" r="GZ11"/>
      <c s="125" r="HA11"/>
      <c s="125" r="HB11"/>
    </row>
    <row r="12">
      <c s="822" r="A12"/>
      <c s="406" r="B12"/>
      <c s="886" r="C12"/>
      <c s="886" r="D12"/>
      <c s="886" r="E12"/>
      <c s="886" r="F12"/>
      <c s="886" r="G12"/>
      <c s="886" r="H12"/>
      <c s="418" r="I12"/>
      <c s="702" r="J12"/>
      <c s="36" r="K12"/>
      <c s="391" r="L12"/>
      <c s="551" r="M12"/>
      <c s="551" r="N12"/>
      <c s="551" r="O12"/>
      <c s="551" r="P12"/>
      <c s="551" r="Q12"/>
      <c s="551" r="R12"/>
      <c s="551" r="S12"/>
      <c s="551" r="T12"/>
      <c s="551" r="U12"/>
      <c s="551" r="V12"/>
      <c s="551" r="W12"/>
      <c s="551" r="X12"/>
      <c s="551" r="Y12"/>
      <c s="551" r="Z12"/>
      <c s="551" r="AA12"/>
      <c s="551" r="AB12"/>
      <c s="551" r="AC12"/>
      <c s="551" r="AD12"/>
      <c s="551" r="AE12"/>
      <c s="551" r="AF12"/>
      <c s="671" r="AG12"/>
      <c s="388" r="AH12"/>
      <c s="36" r="AI12"/>
      <c s="391" r="AJ12"/>
      <c s="551" r="AK12"/>
      <c s="551" r="AL12"/>
      <c s="551" r="AM12"/>
      <c s="551" r="AN12"/>
      <c s="551" r="AO12"/>
      <c s="551" r="AP12"/>
      <c s="551" r="AQ12"/>
      <c s="551" r="AR12"/>
      <c s="551" r="AS12"/>
      <c s="551" r="AT12"/>
      <c s="551" r="AU12"/>
      <c s="551" r="AV12"/>
      <c s="551" r="AW12"/>
      <c s="551" r="AX12"/>
      <c s="551" r="AY12"/>
      <c s="551" r="AZ12"/>
      <c s="551" r="BA12"/>
      <c s="551" r="BB12"/>
      <c s="551" r="BC12"/>
      <c s="551" r="BD12"/>
      <c s="671" r="BE12"/>
      <c s="388" r="BF12"/>
      <c s="36" r="BG12"/>
      <c s="391" r="BH12"/>
      <c s="551" r="BI12"/>
      <c s="551" r="BJ12"/>
      <c s="551" r="BK12"/>
      <c s="551" r="BL12"/>
      <c s="551" r="BM12"/>
      <c s="551" r="BN12"/>
      <c s="551" r="BO12"/>
      <c s="551" r="BP12"/>
      <c s="551" r="BQ12"/>
      <c s="551" r="BR12"/>
      <c s="551" r="BS12"/>
      <c s="551" r="BT12"/>
      <c s="551" r="BU12"/>
      <c s="551" r="BV12"/>
      <c s="551" r="BW12"/>
      <c s="551" r="BX12"/>
      <c s="551" r="BY12"/>
      <c s="551" r="BZ12"/>
      <c s="551" r="CA12"/>
      <c s="551" r="CB12"/>
      <c s="671" r="CC12"/>
      <c s="388" r="CD12"/>
      <c s="36" r="CE12"/>
      <c s="391" r="CF12"/>
      <c s="551" r="CG12"/>
      <c s="551" r="CH12"/>
      <c s="551" r="CI12"/>
      <c s="551" r="CJ12"/>
      <c s="551" r="CK12"/>
      <c s="551" r="CL12"/>
      <c s="551" r="CM12"/>
      <c s="551" r="CN12"/>
      <c s="551" r="CO12"/>
      <c s="551" r="CP12"/>
      <c s="551" r="CQ12"/>
      <c s="551" r="CR12"/>
      <c s="551" r="CS12"/>
      <c s="551" r="CT12"/>
      <c s="551" r="CU12"/>
      <c s="551" r="CV12"/>
      <c s="551" r="CW12"/>
      <c s="551" r="CX12"/>
      <c s="551" r="CY12"/>
      <c s="551" r="CZ12"/>
      <c s="671" r="DA12"/>
      <c s="388" r="DB12"/>
      <c s="36" r="DC12"/>
      <c s="391" r="DD12"/>
      <c s="551" r="DE12"/>
      <c s="551" r="DF12"/>
      <c s="551" r="DG12"/>
      <c s="551" r="DH12"/>
      <c s="551" r="DI12"/>
      <c s="551" r="DJ12"/>
      <c s="551" r="DK12"/>
      <c s="551" r="DL12"/>
      <c s="551" r="DM12"/>
      <c s="551" r="DN12"/>
      <c s="551" r="DO12"/>
      <c s="551" r="DP12"/>
      <c s="551" r="DQ12"/>
      <c s="551" r="DR12"/>
      <c s="551" r="DS12"/>
      <c s="551" r="DT12"/>
      <c s="551" r="DU12"/>
      <c s="551" r="DV12"/>
      <c s="551" r="DW12"/>
      <c s="551" r="DX12"/>
      <c s="671" r="DY12"/>
      <c s="388" r="DZ12"/>
      <c s="36" r="EA12"/>
      <c s="391" r="EB12"/>
      <c s="551" r="EC12"/>
      <c s="551" r="ED12"/>
      <c s="551" r="EE12"/>
      <c s="551" r="EF12"/>
      <c s="551" r="EG12"/>
      <c s="551" r="EH12"/>
      <c s="551" r="EI12"/>
      <c s="551" r="EJ12"/>
      <c s="551" r="EK12"/>
      <c s="551" r="EL12"/>
      <c s="551" r="EM12"/>
      <c s="551" r="EN12"/>
      <c s="551" r="EO12"/>
      <c s="551" r="EP12"/>
      <c s="551" r="EQ12"/>
      <c s="551" r="ER12"/>
      <c s="551" r="ES12"/>
      <c s="551" r="ET12"/>
      <c s="551" r="EU12"/>
      <c s="551" r="EV12"/>
      <c s="671" r="EW12"/>
      <c s="388" r="EX12"/>
      <c s="36" r="EY12"/>
      <c s="391" r="EZ12"/>
      <c s="551" r="FA12"/>
      <c s="551" r="FB12"/>
      <c s="551" r="FC12"/>
      <c s="551" r="FD12"/>
      <c s="551" r="FE12"/>
      <c s="551" r="FF12"/>
      <c s="551" r="FG12"/>
      <c s="551" r="FH12"/>
      <c s="551" r="FI12"/>
      <c s="551" r="FJ12"/>
      <c s="551" r="FK12"/>
      <c s="551" r="FL12"/>
      <c s="551" r="FM12"/>
      <c s="551" r="FN12"/>
      <c s="551" r="FO12"/>
      <c s="551" r="FP12"/>
      <c s="551" r="FQ12"/>
      <c s="551" r="FR12"/>
      <c s="551" r="FS12"/>
      <c s="551" r="FT12"/>
      <c s="671" r="FU12"/>
      <c s="222" r="FV12"/>
      <c s="125" r="FW12"/>
      <c s="125" r="FX12"/>
      <c s="125" r="FY12"/>
      <c s="125" r="FZ12"/>
      <c s="125" r="GA12"/>
      <c s="125" r="GB12"/>
      <c s="125" r="GC12"/>
      <c s="125" r="GD12"/>
      <c s="125" r="GE12"/>
      <c s="125" r="GF12"/>
      <c s="125" r="GG12"/>
      <c s="125" r="GH12"/>
      <c s="125" r="GI12"/>
      <c s="125" r="GJ12"/>
      <c s="125" r="GK12"/>
      <c s="125" r="GL12"/>
      <c s="125" r="GM12"/>
      <c s="125" r="GN12"/>
      <c s="125" r="GO12"/>
      <c s="125" r="GP12"/>
      <c s="125" r="GQ12"/>
      <c s="125" r="GR12"/>
      <c s="125" r="GS12"/>
      <c s="125" r="GT12"/>
      <c s="125" r="GU12"/>
      <c s="125" r="GV12"/>
      <c s="125" r="GW12"/>
      <c s="125" r="GX12"/>
      <c s="125" r="GY12"/>
      <c s="125" r="GZ12"/>
      <c s="125" r="HA12"/>
      <c s="125" r="HB12"/>
    </row>
    <row r="13">
      <c s="822" r="A13"/>
      <c s="406" r="B13"/>
      <c s="886" r="C13"/>
      <c t="s" s="305" r="D13">
        <v>558</v>
      </c>
      <c s="305" r="E13"/>
      <c s="305" r="F13"/>
      <c s="305" r="G13"/>
      <c s="305" r="H13"/>
      <c s="418" r="I13"/>
      <c s="702" r="J13"/>
      <c s="36" r="K13"/>
      <c s="391" r="L13"/>
      <c s="551" r="M13"/>
      <c s="551" r="N13"/>
      <c s="551" r="O13"/>
      <c s="551" r="P13"/>
      <c s="551" r="Q13"/>
      <c s="551" r="R13"/>
      <c s="551" r="S13"/>
      <c s="551" r="T13"/>
      <c s="551" r="U13"/>
      <c s="551" r="V13"/>
      <c s="551" r="W13"/>
      <c s="551" r="X13"/>
      <c s="551" r="Y13"/>
      <c s="551" r="Z13"/>
      <c s="551" r="AA13"/>
      <c s="551" r="AB13"/>
      <c s="551" r="AC13"/>
      <c s="551" r="AD13"/>
      <c s="551" r="AE13"/>
      <c s="551" r="AF13"/>
      <c s="671" r="AG13"/>
      <c s="388" r="AH13"/>
      <c s="36" r="AI13"/>
      <c s="391" r="AJ13"/>
      <c s="551" r="AK13"/>
      <c s="551" r="AL13"/>
      <c s="551" r="AM13"/>
      <c s="551" r="AN13"/>
      <c s="551" r="AO13"/>
      <c s="551" r="AP13"/>
      <c s="551" r="AQ13"/>
      <c s="551" r="AR13"/>
      <c s="551" r="AS13"/>
      <c s="551" r="AT13"/>
      <c s="551" r="AU13"/>
      <c s="551" r="AV13"/>
      <c s="551" r="AW13"/>
      <c s="551" r="AX13"/>
      <c s="551" r="AY13"/>
      <c s="551" r="AZ13"/>
      <c s="551" r="BA13"/>
      <c s="551" r="BB13"/>
      <c s="551" r="BC13"/>
      <c s="551" r="BD13"/>
      <c s="671" r="BE13"/>
      <c s="388" r="BF13"/>
      <c s="36" r="BG13"/>
      <c s="391" r="BH13"/>
      <c s="551" r="BI13"/>
      <c s="551" r="BJ13"/>
      <c s="551" r="BK13"/>
      <c s="551" r="BL13"/>
      <c s="551" r="BM13"/>
      <c s="551" r="BN13"/>
      <c s="551" r="BO13"/>
      <c s="551" r="BP13"/>
      <c s="551" r="BQ13"/>
      <c s="551" r="BR13"/>
      <c s="551" r="BS13"/>
      <c s="551" r="BT13"/>
      <c s="551" r="BU13"/>
      <c s="551" r="BV13"/>
      <c s="551" r="BW13"/>
      <c s="551" r="BX13"/>
      <c s="551" r="BY13"/>
      <c s="551" r="BZ13"/>
      <c s="551" r="CA13"/>
      <c s="551" r="CB13"/>
      <c s="671" r="CC13"/>
      <c s="388" r="CD13"/>
      <c s="36" r="CE13"/>
      <c s="391" r="CF13"/>
      <c s="551" r="CG13"/>
      <c s="551" r="CH13"/>
      <c s="551" r="CI13"/>
      <c s="551" r="CJ13"/>
      <c s="551" r="CK13"/>
      <c s="551" r="CL13"/>
      <c s="551" r="CM13"/>
      <c s="551" r="CN13"/>
      <c s="551" r="CO13"/>
      <c s="551" r="CP13"/>
      <c s="551" r="CQ13"/>
      <c s="551" r="CR13"/>
      <c s="551" r="CS13"/>
      <c s="551" r="CT13"/>
      <c s="551" r="CU13"/>
      <c s="551" r="CV13"/>
      <c s="551" r="CW13"/>
      <c s="551" r="CX13"/>
      <c s="551" r="CY13"/>
      <c s="551" r="CZ13"/>
      <c s="671" r="DA13"/>
      <c s="388" r="DB13"/>
      <c s="36" r="DC13"/>
      <c s="391" r="DD13"/>
      <c s="551" r="DE13"/>
      <c s="551" r="DF13"/>
      <c s="551" r="DG13"/>
      <c s="551" r="DH13"/>
      <c s="551" r="DI13"/>
      <c s="551" r="DJ13"/>
      <c s="551" r="DK13"/>
      <c s="551" r="DL13"/>
      <c s="551" r="DM13"/>
      <c s="551" r="DN13"/>
      <c s="551" r="DO13"/>
      <c s="551" r="DP13"/>
      <c s="551" r="DQ13"/>
      <c s="551" r="DR13"/>
      <c s="551" r="DS13"/>
      <c s="551" r="DT13"/>
      <c s="551" r="DU13"/>
      <c s="551" r="DV13"/>
      <c s="551" r="DW13"/>
      <c s="551" r="DX13"/>
      <c s="671" r="DY13"/>
      <c s="388" r="DZ13"/>
      <c s="36" r="EA13"/>
      <c s="391" r="EB13"/>
      <c s="551" r="EC13"/>
      <c s="551" r="ED13"/>
      <c s="551" r="EE13"/>
      <c s="551" r="EF13"/>
      <c s="551" r="EG13"/>
      <c s="551" r="EH13"/>
      <c s="551" r="EI13"/>
      <c s="551" r="EJ13"/>
      <c s="551" r="EK13"/>
      <c s="551" r="EL13"/>
      <c s="551" r="EM13"/>
      <c s="551" r="EN13"/>
      <c s="551" r="EO13"/>
      <c s="551" r="EP13"/>
      <c s="551" r="EQ13"/>
      <c s="551" r="ER13"/>
      <c s="551" r="ES13"/>
      <c s="551" r="ET13"/>
      <c s="551" r="EU13"/>
      <c s="551" r="EV13"/>
      <c s="671" r="EW13"/>
      <c s="388" r="EX13"/>
      <c s="36" r="EY13"/>
      <c s="391" r="EZ13"/>
      <c s="551" r="FA13"/>
      <c s="551" r="FB13"/>
      <c s="551" r="FC13"/>
      <c s="551" r="FD13"/>
      <c s="551" r="FE13"/>
      <c s="551" r="FF13"/>
      <c s="551" r="FG13"/>
      <c s="551" r="FH13"/>
      <c s="551" r="FI13"/>
      <c s="551" r="FJ13"/>
      <c s="551" r="FK13"/>
      <c s="551" r="FL13"/>
      <c s="551" r="FM13"/>
      <c s="551" r="FN13"/>
      <c s="551" r="FO13"/>
      <c s="551" r="FP13"/>
      <c s="551" r="FQ13"/>
      <c s="551" r="FR13"/>
      <c s="551" r="FS13"/>
      <c s="551" r="FT13"/>
      <c s="671" r="FU13"/>
      <c s="222" r="FV13"/>
      <c s="125" r="FW13"/>
      <c s="125" r="FX13"/>
      <c s="125" r="FY13"/>
      <c s="125" r="FZ13"/>
      <c s="125" r="GA13"/>
      <c s="125" r="GB13"/>
      <c s="125" r="GC13"/>
      <c s="125" r="GD13"/>
      <c s="125" r="GE13"/>
      <c s="125" r="GF13"/>
      <c s="125" r="GG13"/>
      <c s="125" r="GH13"/>
      <c s="125" r="GI13"/>
      <c s="125" r="GJ13"/>
      <c s="125" r="GK13"/>
      <c s="125" r="GL13"/>
      <c s="125" r="GM13"/>
      <c s="125" r="GN13"/>
      <c s="125" r="GO13"/>
      <c s="125" r="GP13"/>
      <c s="125" r="GQ13"/>
      <c s="125" r="GR13"/>
      <c s="125" r="GS13"/>
      <c s="125" r="GT13"/>
      <c s="125" r="GU13"/>
      <c s="125" r="GV13"/>
      <c s="125" r="GW13"/>
      <c s="125" r="GX13"/>
      <c s="125" r="GY13"/>
      <c s="125" r="GZ13"/>
      <c s="125" r="HA13"/>
      <c s="125" r="HB13"/>
    </row>
    <row r="14">
      <c s="822" r="A14"/>
      <c s="406" r="B14"/>
      <c s="886" r="C14"/>
      <c s="305" r="D14"/>
      <c s="305" r="E14"/>
      <c s="305" r="F14"/>
      <c s="305" r="G14"/>
      <c s="305" r="H14"/>
      <c s="418" r="I14"/>
      <c s="702" r="J14"/>
      <c s="36" r="K14"/>
      <c s="391" r="L14"/>
      <c s="551" r="M14"/>
      <c s="551" r="N14"/>
      <c s="551" r="O14"/>
      <c s="551" r="P14"/>
      <c s="551" r="Q14"/>
      <c s="551" r="R14"/>
      <c s="551" r="S14"/>
      <c s="551" r="T14"/>
      <c s="551" r="U14"/>
      <c s="551" r="V14"/>
      <c s="551" r="W14"/>
      <c s="551" r="X14"/>
      <c s="551" r="Y14"/>
      <c s="551" r="Z14"/>
      <c s="551" r="AA14"/>
      <c s="551" r="AB14"/>
      <c s="551" r="AC14"/>
      <c s="551" r="AD14"/>
      <c s="551" r="AE14"/>
      <c s="551" r="AF14"/>
      <c s="671" r="AG14"/>
      <c s="388" r="AH14"/>
      <c s="36" r="AI14"/>
      <c s="391" r="AJ14"/>
      <c s="551" r="AK14"/>
      <c s="551" r="AL14"/>
      <c s="551" r="AM14"/>
      <c s="551" r="AN14"/>
      <c s="551" r="AO14"/>
      <c s="551" r="AP14"/>
      <c s="551" r="AQ14"/>
      <c s="551" r="AR14"/>
      <c s="551" r="AS14"/>
      <c s="551" r="AT14"/>
      <c s="551" r="AU14"/>
      <c s="551" r="AV14"/>
      <c s="551" r="AW14"/>
      <c s="551" r="AX14"/>
      <c s="551" r="AY14"/>
      <c s="551" r="AZ14"/>
      <c s="551" r="BA14"/>
      <c s="551" r="BB14"/>
      <c s="551" r="BC14"/>
      <c s="551" r="BD14"/>
      <c s="671" r="BE14"/>
      <c s="388" r="BF14"/>
      <c s="36" r="BG14"/>
      <c s="391" r="BH14"/>
      <c s="551" r="BI14"/>
      <c s="551" r="BJ14"/>
      <c s="551" r="BK14"/>
      <c s="551" r="BL14"/>
      <c s="551" r="BM14"/>
      <c s="551" r="BN14"/>
      <c s="551" r="BO14"/>
      <c s="551" r="BP14"/>
      <c s="551" r="BQ14"/>
      <c s="551" r="BR14"/>
      <c s="551" r="BS14"/>
      <c s="551" r="BT14"/>
      <c s="551" r="BU14"/>
      <c s="551" r="BV14"/>
      <c s="551" r="BW14"/>
      <c s="551" r="BX14"/>
      <c s="551" r="BY14"/>
      <c s="551" r="BZ14"/>
      <c s="551" r="CA14"/>
      <c s="551" r="CB14"/>
      <c s="671" r="CC14"/>
      <c s="388" r="CD14"/>
      <c s="36" r="CE14"/>
      <c s="391" r="CF14"/>
      <c s="551" r="CG14"/>
      <c s="551" r="CH14"/>
      <c s="551" r="CI14"/>
      <c s="551" r="CJ14"/>
      <c s="551" r="CK14"/>
      <c s="551" r="CL14"/>
      <c s="551" r="CM14"/>
      <c s="551" r="CN14"/>
      <c s="551" r="CO14"/>
      <c s="551" r="CP14"/>
      <c s="551" r="CQ14"/>
      <c s="551" r="CR14"/>
      <c s="551" r="CS14"/>
      <c s="551" r="CT14"/>
      <c s="551" r="CU14"/>
      <c s="551" r="CV14"/>
      <c s="551" r="CW14"/>
      <c s="551" r="CX14"/>
      <c s="551" r="CY14"/>
      <c s="551" r="CZ14"/>
      <c s="671" r="DA14"/>
      <c s="388" r="DB14"/>
      <c s="36" r="DC14"/>
      <c s="391" r="DD14"/>
      <c s="551" r="DE14"/>
      <c s="551" r="DF14"/>
      <c s="551" r="DG14"/>
      <c s="551" r="DH14"/>
      <c s="551" r="DI14"/>
      <c s="551" r="DJ14"/>
      <c s="551" r="DK14"/>
      <c s="551" r="DL14"/>
      <c s="551" r="DM14"/>
      <c s="551" r="DN14"/>
      <c s="551" r="DO14"/>
      <c s="551" r="DP14"/>
      <c s="551" r="DQ14"/>
      <c s="551" r="DR14"/>
      <c s="551" r="DS14"/>
      <c s="551" r="DT14"/>
      <c s="551" r="DU14"/>
      <c s="551" r="DV14"/>
      <c s="551" r="DW14"/>
      <c s="551" r="DX14"/>
      <c s="671" r="DY14"/>
      <c s="388" r="DZ14"/>
      <c s="36" r="EA14"/>
      <c s="391" r="EB14"/>
      <c s="551" r="EC14"/>
      <c s="551" r="ED14"/>
      <c s="551" r="EE14"/>
      <c s="551" r="EF14"/>
      <c s="551" r="EG14"/>
      <c s="551" r="EH14"/>
      <c s="551" r="EI14"/>
      <c s="551" r="EJ14"/>
      <c s="551" r="EK14"/>
      <c s="551" r="EL14"/>
      <c s="551" r="EM14"/>
      <c s="551" r="EN14"/>
      <c s="551" r="EO14"/>
      <c s="551" r="EP14"/>
      <c s="551" r="EQ14"/>
      <c s="551" r="ER14"/>
      <c s="551" r="ES14"/>
      <c s="551" r="ET14"/>
      <c s="551" r="EU14"/>
      <c s="551" r="EV14"/>
      <c s="671" r="EW14"/>
      <c s="388" r="EX14"/>
      <c s="36" r="EY14"/>
      <c s="391" r="EZ14"/>
      <c s="551" r="FA14"/>
      <c s="551" r="FB14"/>
      <c s="551" r="FC14"/>
      <c s="551" r="FD14"/>
      <c s="551" r="FE14"/>
      <c s="551" r="FF14"/>
      <c s="551" r="FG14"/>
      <c s="551" r="FH14"/>
      <c s="551" r="FI14"/>
      <c s="551" r="FJ14"/>
      <c s="551" r="FK14"/>
      <c s="551" r="FL14"/>
      <c s="551" r="FM14"/>
      <c s="551" r="FN14"/>
      <c s="551" r="FO14"/>
      <c s="551" r="FP14"/>
      <c s="551" r="FQ14"/>
      <c s="551" r="FR14"/>
      <c s="551" r="FS14"/>
      <c s="551" r="FT14"/>
      <c s="671" r="FU14"/>
      <c s="222" r="FV14"/>
      <c s="125" r="FW14"/>
      <c s="125" r="FX14"/>
      <c s="125" r="FY14"/>
      <c s="125" r="FZ14"/>
      <c s="125" r="GA14"/>
      <c s="125" r="GB14"/>
      <c s="125" r="GC14"/>
      <c s="125" r="GD14"/>
      <c s="125" r="GE14"/>
      <c s="125" r="GF14"/>
      <c s="125" r="GG14"/>
      <c s="125" r="GH14"/>
      <c s="125" r="GI14"/>
      <c s="125" r="GJ14"/>
      <c s="125" r="GK14"/>
      <c s="125" r="GL14"/>
      <c s="125" r="GM14"/>
      <c s="125" r="GN14"/>
      <c s="125" r="GO14"/>
      <c s="125" r="GP14"/>
      <c s="125" r="GQ14"/>
      <c s="125" r="GR14"/>
      <c s="125" r="GS14"/>
      <c s="125" r="GT14"/>
      <c s="125" r="GU14"/>
      <c s="125" r="GV14"/>
      <c s="125" r="GW14"/>
      <c s="125" r="GX14"/>
      <c s="125" r="GY14"/>
      <c s="125" r="GZ14"/>
      <c s="125" r="HA14"/>
      <c s="125" r="HB14"/>
    </row>
    <row r="15">
      <c s="822" r="A15"/>
      <c s="406" r="B15"/>
      <c s="886" r="C15"/>
      <c s="305" r="D15"/>
      <c s="305" r="E15"/>
      <c s="305" r="F15"/>
      <c s="305" r="G15"/>
      <c s="305" r="H15"/>
      <c s="418" r="I15"/>
      <c s="702" r="J15"/>
      <c s="36" r="K15"/>
      <c s="391" r="L15"/>
      <c s="551" r="M15"/>
      <c s="551" r="N15"/>
      <c s="551" r="O15"/>
      <c s="551" r="P15"/>
      <c s="551" r="Q15"/>
      <c s="551" r="R15"/>
      <c s="551" r="S15"/>
      <c s="551" r="T15"/>
      <c s="551" r="U15"/>
      <c s="551" r="V15"/>
      <c s="551" r="W15"/>
      <c s="551" r="X15"/>
      <c s="551" r="Y15"/>
      <c s="551" r="Z15"/>
      <c s="551" r="AA15"/>
      <c s="551" r="AB15"/>
      <c s="551" r="AC15"/>
      <c s="551" r="AD15"/>
      <c s="551" r="AE15"/>
      <c s="551" r="AF15"/>
      <c s="671" r="AG15"/>
      <c s="388" r="AH15"/>
      <c s="36" r="AI15"/>
      <c s="391" r="AJ15"/>
      <c s="551" r="AK15"/>
      <c s="551" r="AL15"/>
      <c s="551" r="AM15"/>
      <c s="551" r="AN15"/>
      <c s="551" r="AO15"/>
      <c s="551" r="AP15"/>
      <c s="551" r="AQ15"/>
      <c s="551" r="AR15"/>
      <c s="551" r="AS15"/>
      <c s="551" r="AT15"/>
      <c s="551" r="AU15"/>
      <c s="551" r="AV15"/>
      <c s="551" r="AW15"/>
      <c s="551" r="AX15"/>
      <c s="551" r="AY15"/>
      <c s="551" r="AZ15"/>
      <c s="551" r="BA15"/>
      <c s="551" r="BB15"/>
      <c s="551" r="BC15"/>
      <c s="551" r="BD15"/>
      <c s="671" r="BE15"/>
      <c s="388" r="BF15"/>
      <c s="36" r="BG15"/>
      <c s="391" r="BH15"/>
      <c s="551" r="BI15"/>
      <c s="551" r="BJ15"/>
      <c s="551" r="BK15"/>
      <c s="551" r="BL15"/>
      <c s="551" r="BM15"/>
      <c s="551" r="BN15"/>
      <c s="551" r="BO15"/>
      <c s="551" r="BP15"/>
      <c s="551" r="BQ15"/>
      <c s="551" r="BR15"/>
      <c s="551" r="BS15"/>
      <c s="551" r="BT15"/>
      <c s="551" r="BU15"/>
      <c s="551" r="BV15"/>
      <c s="551" r="BW15"/>
      <c s="551" r="BX15"/>
      <c s="551" r="BY15"/>
      <c s="551" r="BZ15"/>
      <c s="551" r="CA15"/>
      <c s="551" r="CB15"/>
      <c s="671" r="CC15"/>
      <c s="388" r="CD15"/>
      <c s="36" r="CE15"/>
      <c s="391" r="CF15"/>
      <c s="551" r="CG15"/>
      <c s="551" r="CH15"/>
      <c s="551" r="CI15"/>
      <c s="551" r="CJ15"/>
      <c s="551" r="CK15"/>
      <c s="551" r="CL15"/>
      <c s="551" r="CM15"/>
      <c s="551" r="CN15"/>
      <c s="551" r="CO15"/>
      <c s="551" r="CP15"/>
      <c s="551" r="CQ15"/>
      <c s="551" r="CR15"/>
      <c s="551" r="CS15"/>
      <c s="551" r="CT15"/>
      <c s="551" r="CU15"/>
      <c s="551" r="CV15"/>
      <c s="551" r="CW15"/>
      <c s="551" r="CX15"/>
      <c s="551" r="CY15"/>
      <c s="551" r="CZ15"/>
      <c s="671" r="DA15"/>
      <c s="388" r="DB15"/>
      <c s="36" r="DC15"/>
      <c s="391" r="DD15"/>
      <c s="551" r="DE15"/>
      <c s="551" r="DF15"/>
      <c s="551" r="DG15"/>
      <c s="551" r="DH15"/>
      <c s="551" r="DI15"/>
      <c s="551" r="DJ15"/>
      <c s="551" r="DK15"/>
      <c s="551" r="DL15"/>
      <c s="551" r="DM15"/>
      <c s="551" r="DN15"/>
      <c s="551" r="DO15"/>
      <c s="551" r="DP15"/>
      <c s="551" r="DQ15"/>
      <c s="551" r="DR15"/>
      <c s="551" r="DS15"/>
      <c s="551" r="DT15"/>
      <c s="551" r="DU15"/>
      <c s="551" r="DV15"/>
      <c s="551" r="DW15"/>
      <c s="551" r="DX15"/>
      <c s="671" r="DY15"/>
      <c s="388" r="DZ15"/>
      <c s="36" r="EA15"/>
      <c s="391" r="EB15"/>
      <c s="551" r="EC15"/>
      <c s="551" r="ED15"/>
      <c s="551" r="EE15"/>
      <c s="551" r="EF15"/>
      <c s="551" r="EG15"/>
      <c s="551" r="EH15"/>
      <c s="551" r="EI15"/>
      <c s="551" r="EJ15"/>
      <c s="551" r="EK15"/>
      <c s="551" r="EL15"/>
      <c s="551" r="EM15"/>
      <c s="551" r="EN15"/>
      <c s="551" r="EO15"/>
      <c s="551" r="EP15"/>
      <c s="551" r="EQ15"/>
      <c s="551" r="ER15"/>
      <c s="551" r="ES15"/>
      <c s="551" r="ET15"/>
      <c s="551" r="EU15"/>
      <c s="551" r="EV15"/>
      <c s="671" r="EW15"/>
      <c s="388" r="EX15"/>
      <c s="36" r="EY15"/>
      <c s="391" r="EZ15"/>
      <c s="551" r="FA15"/>
      <c s="551" r="FB15"/>
      <c s="551" r="FC15"/>
      <c s="551" r="FD15"/>
      <c s="551" r="FE15"/>
      <c s="551" r="FF15"/>
      <c s="551" r="FG15"/>
      <c s="551" r="FH15"/>
      <c s="551" r="FI15"/>
      <c s="551" r="FJ15"/>
      <c s="551" r="FK15"/>
      <c s="551" r="FL15"/>
      <c s="551" r="FM15"/>
      <c s="551" r="FN15"/>
      <c s="551" r="FO15"/>
      <c s="551" r="FP15"/>
      <c s="551" r="FQ15"/>
      <c s="551" r="FR15"/>
      <c s="551" r="FS15"/>
      <c s="551" r="FT15"/>
      <c s="671" r="FU15"/>
      <c s="222" r="FV15"/>
      <c s="125" r="FW15"/>
      <c s="125" r="FX15"/>
      <c s="125" r="FY15"/>
      <c s="125" r="FZ15"/>
      <c s="125" r="GA15"/>
      <c s="125" r="GB15"/>
      <c s="125" r="GC15"/>
      <c s="125" r="GD15"/>
      <c s="125" r="GE15"/>
      <c s="125" r="GF15"/>
      <c s="125" r="GG15"/>
      <c s="125" r="GH15"/>
      <c s="125" r="GI15"/>
      <c s="125" r="GJ15"/>
      <c s="125" r="GK15"/>
      <c s="125" r="GL15"/>
      <c s="125" r="GM15"/>
      <c s="125" r="GN15"/>
      <c s="125" r="GO15"/>
      <c s="125" r="GP15"/>
      <c s="125" r="GQ15"/>
      <c s="125" r="GR15"/>
      <c s="125" r="GS15"/>
      <c s="125" r="GT15"/>
      <c s="125" r="GU15"/>
      <c s="125" r="GV15"/>
      <c s="125" r="GW15"/>
      <c s="125" r="GX15"/>
      <c s="125" r="GY15"/>
      <c s="125" r="GZ15"/>
      <c s="125" r="HA15"/>
      <c s="125" r="HB15"/>
    </row>
    <row r="16">
      <c s="822" r="A16"/>
      <c s="406" r="B16"/>
      <c s="886" r="C16"/>
      <c s="305" r="D16"/>
      <c s="305" r="E16"/>
      <c s="305" r="F16"/>
      <c s="305" r="G16"/>
      <c s="305" r="H16"/>
      <c t="s" s="418" r="I16">
        <v>2</v>
      </c>
      <c s="702" r="J16"/>
      <c s="36" r="K16"/>
      <c s="391" r="L16"/>
      <c s="551" r="M16"/>
      <c s="551" r="N16"/>
      <c s="551" r="O16"/>
      <c s="551" r="P16"/>
      <c s="551" r="Q16"/>
      <c s="551" r="R16"/>
      <c s="551" r="S16"/>
      <c s="551" r="T16"/>
      <c s="551" r="U16"/>
      <c s="551" r="V16"/>
      <c s="551" r="W16"/>
      <c s="551" r="X16"/>
      <c s="551" r="Y16"/>
      <c s="551" r="Z16"/>
      <c s="551" r="AA16"/>
      <c s="551" r="AB16"/>
      <c s="551" r="AC16"/>
      <c s="551" r="AD16"/>
      <c s="551" r="AE16"/>
      <c s="551" r="AF16"/>
      <c s="671" r="AG16"/>
      <c s="388" r="AH16"/>
      <c s="36" r="AI16"/>
      <c s="391" r="AJ16"/>
      <c s="551" r="AK16"/>
      <c s="551" r="AL16"/>
      <c s="551" r="AM16"/>
      <c s="551" r="AN16"/>
      <c s="551" r="AO16"/>
      <c s="551" r="AP16"/>
      <c s="551" r="AQ16"/>
      <c s="551" r="AR16"/>
      <c s="551" r="AS16"/>
      <c s="551" r="AT16"/>
      <c s="551" r="AU16"/>
      <c s="551" r="AV16"/>
      <c s="551" r="AW16"/>
      <c s="551" r="AX16"/>
      <c s="551" r="AY16"/>
      <c s="551" r="AZ16"/>
      <c s="551" r="BA16"/>
      <c s="551" r="BB16"/>
      <c s="551" r="BC16"/>
      <c s="551" r="BD16"/>
      <c s="671" r="BE16"/>
      <c s="388" r="BF16"/>
      <c s="36" r="BG16"/>
      <c s="391" r="BH16"/>
      <c s="551" r="BI16"/>
      <c s="551" r="BJ16"/>
      <c s="551" r="BK16"/>
      <c s="551" r="BL16"/>
      <c s="551" r="BM16"/>
      <c s="551" r="BN16"/>
      <c s="551" r="BO16"/>
      <c s="551" r="BP16"/>
      <c s="551" r="BQ16"/>
      <c s="551" r="BR16"/>
      <c s="551" r="BS16"/>
      <c s="551" r="BT16"/>
      <c s="551" r="BU16"/>
      <c s="551" r="BV16"/>
      <c s="551" r="BW16"/>
      <c s="551" r="BX16"/>
      <c s="551" r="BY16"/>
      <c s="551" r="BZ16"/>
      <c s="551" r="CA16"/>
      <c s="551" r="CB16"/>
      <c s="671" r="CC16"/>
      <c s="388" r="CD16"/>
      <c s="36" r="CE16"/>
      <c s="391" r="CF16"/>
      <c s="551" r="CG16"/>
      <c s="551" r="CH16"/>
      <c s="551" r="CI16"/>
      <c s="551" r="CJ16"/>
      <c s="551" r="CK16"/>
      <c s="551" r="CL16"/>
      <c s="551" r="CM16"/>
      <c s="551" r="CN16"/>
      <c s="551" r="CO16"/>
      <c s="551" r="CP16"/>
      <c s="551" r="CQ16"/>
      <c s="551" r="CR16"/>
      <c s="551" r="CS16"/>
      <c s="551" r="CT16"/>
      <c s="551" r="CU16"/>
      <c s="551" r="CV16"/>
      <c s="551" r="CW16"/>
      <c s="551" r="CX16"/>
      <c s="551" r="CY16"/>
      <c s="551" r="CZ16"/>
      <c s="671" r="DA16"/>
      <c s="388" r="DB16"/>
      <c s="36" r="DC16"/>
      <c s="391" r="DD16"/>
      <c s="551" r="DE16"/>
      <c s="551" r="DF16"/>
      <c s="551" r="DG16"/>
      <c s="551" r="DH16"/>
      <c s="551" r="DI16"/>
      <c s="551" r="DJ16"/>
      <c s="551" r="DK16"/>
      <c s="551" r="DL16"/>
      <c s="551" r="DM16"/>
      <c s="551" r="DN16"/>
      <c s="551" r="DO16"/>
      <c s="551" r="DP16"/>
      <c s="551" r="DQ16"/>
      <c s="551" r="DR16"/>
      <c s="551" r="DS16"/>
      <c s="551" r="DT16"/>
      <c s="551" r="DU16"/>
      <c s="551" r="DV16"/>
      <c s="551" r="DW16"/>
      <c s="551" r="DX16"/>
      <c s="671" r="DY16"/>
      <c s="388" r="DZ16"/>
      <c s="36" r="EA16"/>
      <c s="391" r="EB16"/>
      <c s="551" r="EC16"/>
      <c s="551" r="ED16"/>
      <c s="551" r="EE16"/>
      <c s="551" r="EF16"/>
      <c s="551" r="EG16"/>
      <c s="551" r="EH16"/>
      <c s="551" r="EI16"/>
      <c s="551" r="EJ16"/>
      <c s="551" r="EK16"/>
      <c s="551" r="EL16"/>
      <c s="551" r="EM16"/>
      <c s="551" r="EN16"/>
      <c s="551" r="EO16"/>
      <c s="551" r="EP16"/>
      <c s="551" r="EQ16"/>
      <c s="551" r="ER16"/>
      <c s="551" r="ES16"/>
      <c s="551" r="ET16"/>
      <c s="551" r="EU16"/>
      <c s="551" r="EV16"/>
      <c s="671" r="EW16"/>
      <c s="388" r="EX16"/>
      <c s="36" r="EY16"/>
      <c s="391" r="EZ16"/>
      <c s="551" r="FA16"/>
      <c s="551" r="FB16"/>
      <c s="551" r="FC16"/>
      <c s="551" r="FD16"/>
      <c s="551" r="FE16"/>
      <c s="551" r="FF16"/>
      <c s="551" r="FG16"/>
      <c s="551" r="FH16"/>
      <c s="551" r="FI16"/>
      <c s="551" r="FJ16"/>
      <c s="551" r="FK16"/>
      <c s="551" r="FL16"/>
      <c s="551" r="FM16"/>
      <c s="551" r="FN16"/>
      <c s="551" r="FO16"/>
      <c s="551" r="FP16"/>
      <c s="551" r="FQ16"/>
      <c s="551" r="FR16"/>
      <c s="551" r="FS16"/>
      <c s="551" r="FT16"/>
      <c s="671" r="FU16"/>
      <c s="222" r="FV16"/>
      <c s="125" r="FW16"/>
      <c s="125" r="FX16"/>
      <c s="125" r="FY16"/>
      <c s="125" r="FZ16"/>
      <c s="125" r="GA16"/>
      <c s="125" r="GB16"/>
      <c s="125" r="GC16"/>
      <c s="125" r="GD16"/>
      <c s="125" r="GE16"/>
      <c s="125" r="GF16"/>
      <c s="125" r="GG16"/>
      <c s="125" r="GH16"/>
      <c s="125" r="GI16"/>
      <c s="125" r="GJ16"/>
      <c s="125" r="GK16"/>
      <c s="125" r="GL16"/>
      <c s="125" r="GM16"/>
      <c s="125" r="GN16"/>
      <c s="125" r="GO16"/>
      <c s="125" r="GP16"/>
      <c s="125" r="GQ16"/>
      <c s="125" r="GR16"/>
      <c s="125" r="GS16"/>
      <c s="125" r="GT16"/>
      <c s="125" r="GU16"/>
      <c s="125" r="GV16"/>
      <c s="125" r="GW16"/>
      <c s="125" r="GX16"/>
      <c s="125" r="GY16"/>
      <c s="125" r="GZ16"/>
      <c s="125" r="HA16"/>
      <c s="125" r="HB16"/>
    </row>
    <row r="17">
      <c s="822" r="A17"/>
      <c s="406" r="B17"/>
      <c s="886" r="C17"/>
      <c t="s" s="305" r="D17">
        <v>559</v>
      </c>
      <c s="305" r="E17"/>
      <c s="305" r="F17"/>
      <c s="305" r="G17"/>
      <c s="305" r="H17"/>
      <c s="418" r="I17"/>
      <c s="702" r="J17"/>
      <c s="36" r="K17"/>
      <c s="391" r="L17"/>
      <c s="551" r="M17"/>
      <c s="551" r="N17"/>
      <c s="551" r="O17"/>
      <c s="551" r="P17"/>
      <c s="551" r="Q17"/>
      <c s="551" r="R17"/>
      <c s="551" r="S17"/>
      <c s="551" r="T17"/>
      <c s="551" r="U17"/>
      <c s="551" r="V17"/>
      <c s="551" r="W17"/>
      <c s="551" r="X17"/>
      <c s="551" r="Y17"/>
      <c s="551" r="Z17"/>
      <c s="551" r="AA17"/>
      <c s="551" r="AB17"/>
      <c s="551" r="AC17"/>
      <c s="551" r="AD17"/>
      <c s="551" r="AE17"/>
      <c s="551" r="AF17"/>
      <c s="671" r="AG17"/>
      <c s="388" r="AH17"/>
      <c s="36" r="AI17"/>
      <c s="391" r="AJ17"/>
      <c s="551" r="AK17"/>
      <c s="551" r="AL17"/>
      <c s="551" r="AM17"/>
      <c s="551" r="AN17"/>
      <c s="551" r="AO17"/>
      <c s="551" r="AP17"/>
      <c s="551" r="AQ17"/>
      <c s="551" r="AR17"/>
      <c s="551" r="AS17"/>
      <c s="551" r="AT17"/>
      <c s="551" r="AU17"/>
      <c s="551" r="AV17"/>
      <c s="551" r="AW17"/>
      <c s="551" r="AX17"/>
      <c s="551" r="AY17"/>
      <c s="551" r="AZ17"/>
      <c s="551" r="BA17"/>
      <c s="551" r="BB17"/>
      <c s="551" r="BC17"/>
      <c s="551" r="BD17"/>
      <c s="671" r="BE17"/>
      <c s="388" r="BF17"/>
      <c s="36" r="BG17"/>
      <c s="391" r="BH17"/>
      <c s="551" r="BI17"/>
      <c s="551" r="BJ17"/>
      <c s="551" r="BK17"/>
      <c s="551" r="BL17"/>
      <c s="551" r="BM17"/>
      <c s="551" r="BN17"/>
      <c s="551" r="BO17"/>
      <c s="551" r="BP17"/>
      <c s="551" r="BQ17"/>
      <c s="551" r="BR17"/>
      <c s="551" r="BS17"/>
      <c s="551" r="BT17"/>
      <c s="551" r="BU17"/>
      <c s="551" r="BV17"/>
      <c s="551" r="BW17"/>
      <c s="551" r="BX17"/>
      <c s="551" r="BY17"/>
      <c s="551" r="BZ17"/>
      <c s="551" r="CA17"/>
      <c s="551" r="CB17"/>
      <c s="671" r="CC17"/>
      <c s="388" r="CD17"/>
      <c s="36" r="CE17"/>
      <c s="391" r="CF17"/>
      <c s="551" r="CG17"/>
      <c s="551" r="CH17"/>
      <c s="551" r="CI17"/>
      <c s="551" r="CJ17"/>
      <c s="551" r="CK17"/>
      <c s="551" r="CL17"/>
      <c s="551" r="CM17"/>
      <c s="551" r="CN17"/>
      <c s="551" r="CO17"/>
      <c s="551" r="CP17"/>
      <c s="551" r="CQ17"/>
      <c s="551" r="CR17"/>
      <c s="551" r="CS17"/>
      <c s="551" r="CT17"/>
      <c s="551" r="CU17"/>
      <c s="551" r="CV17"/>
      <c s="551" r="CW17"/>
      <c s="551" r="CX17"/>
      <c s="551" r="CY17"/>
      <c s="551" r="CZ17"/>
      <c s="671" r="DA17"/>
      <c s="388" r="DB17"/>
      <c s="36" r="DC17"/>
      <c s="391" r="DD17"/>
      <c s="551" r="DE17"/>
      <c s="551" r="DF17"/>
      <c s="551" r="DG17"/>
      <c s="551" r="DH17"/>
      <c s="551" r="DI17"/>
      <c s="551" r="DJ17"/>
      <c s="551" r="DK17"/>
      <c s="551" r="DL17"/>
      <c s="551" r="DM17"/>
      <c s="551" r="DN17"/>
      <c s="551" r="DO17"/>
      <c s="551" r="DP17"/>
      <c s="551" r="DQ17"/>
      <c s="551" r="DR17"/>
      <c s="551" r="DS17"/>
      <c s="551" r="DT17"/>
      <c s="551" r="DU17"/>
      <c s="551" r="DV17"/>
      <c s="551" r="DW17"/>
      <c s="551" r="DX17"/>
      <c s="671" r="DY17"/>
      <c s="388" r="DZ17"/>
      <c s="36" r="EA17"/>
      <c s="391" r="EB17"/>
      <c s="551" r="EC17"/>
      <c s="551" r="ED17"/>
      <c s="551" r="EE17"/>
      <c s="551" r="EF17"/>
      <c s="551" r="EG17"/>
      <c s="551" r="EH17"/>
      <c s="551" r="EI17"/>
      <c s="551" r="EJ17"/>
      <c s="551" r="EK17"/>
      <c s="551" r="EL17"/>
      <c s="551" r="EM17"/>
      <c s="551" r="EN17"/>
      <c s="551" r="EO17"/>
      <c s="551" r="EP17"/>
      <c s="551" r="EQ17"/>
      <c s="551" r="ER17"/>
      <c s="551" r="ES17"/>
      <c s="551" r="ET17"/>
      <c s="551" r="EU17"/>
      <c s="551" r="EV17"/>
      <c s="671" r="EW17"/>
      <c s="388" r="EX17"/>
      <c s="36" r="EY17"/>
      <c s="391" r="EZ17"/>
      <c s="551" r="FA17"/>
      <c s="551" r="FB17"/>
      <c s="551" r="FC17"/>
      <c s="551" r="FD17"/>
      <c s="551" r="FE17"/>
      <c s="551" r="FF17"/>
      <c s="551" r="FG17"/>
      <c s="551" r="FH17"/>
      <c s="551" r="FI17"/>
      <c s="551" r="FJ17"/>
      <c s="551" r="FK17"/>
      <c s="551" r="FL17"/>
      <c s="551" r="FM17"/>
      <c s="551" r="FN17"/>
      <c s="551" r="FO17"/>
      <c s="551" r="FP17"/>
      <c s="551" r="FQ17"/>
      <c s="551" r="FR17"/>
      <c s="551" r="FS17"/>
      <c s="551" r="FT17"/>
      <c s="671" r="FU17"/>
      <c s="222" r="FV17"/>
      <c s="125" r="FW17"/>
      <c s="125" r="FX17"/>
      <c s="125" r="FY17"/>
      <c s="125" r="FZ17"/>
      <c s="125" r="GA17"/>
      <c s="125" r="GB17"/>
      <c s="125" r="GC17"/>
      <c s="125" r="GD17"/>
      <c s="125" r="GE17"/>
      <c s="125" r="GF17"/>
      <c s="125" r="GG17"/>
      <c s="125" r="GH17"/>
      <c s="125" r="GI17"/>
      <c s="125" r="GJ17"/>
      <c s="125" r="GK17"/>
      <c s="125" r="GL17"/>
      <c s="125" r="GM17"/>
      <c s="125" r="GN17"/>
      <c s="125" r="GO17"/>
      <c s="125" r="GP17"/>
      <c s="125" r="GQ17"/>
      <c s="125" r="GR17"/>
      <c s="125" r="GS17"/>
      <c s="125" r="GT17"/>
      <c s="125" r="GU17"/>
      <c s="125" r="GV17"/>
      <c s="125" r="GW17"/>
      <c s="125" r="GX17"/>
      <c s="125" r="GY17"/>
      <c s="125" r="GZ17"/>
      <c s="125" r="HA17"/>
      <c s="125" r="HB17"/>
    </row>
    <row r="18">
      <c s="822" r="A18"/>
      <c s="406" r="B18"/>
      <c s="886" r="C18"/>
      <c s="305" r="D18"/>
      <c s="305" r="E18"/>
      <c s="305" r="F18"/>
      <c s="305" r="G18"/>
      <c s="305" r="H18"/>
      <c s="418" r="I18"/>
      <c s="702" r="J18"/>
      <c s="36" r="K18"/>
      <c s="391" r="L18"/>
      <c s="551" r="M18"/>
      <c s="551" r="N18"/>
      <c s="551" r="O18"/>
      <c s="551" r="P18"/>
      <c s="551" r="Q18"/>
      <c s="551" r="R18"/>
      <c s="551" r="S18"/>
      <c s="551" r="T18"/>
      <c s="551" r="U18"/>
      <c s="551" r="V18"/>
      <c s="551" r="W18"/>
      <c s="551" r="X18"/>
      <c s="551" r="Y18"/>
      <c s="551" r="Z18"/>
      <c s="551" r="AA18"/>
      <c s="551" r="AB18"/>
      <c s="551" r="AC18"/>
      <c s="551" r="AD18"/>
      <c s="551" r="AE18"/>
      <c s="551" r="AF18"/>
      <c s="671" r="AG18"/>
      <c s="388" r="AH18"/>
      <c s="36" r="AI18"/>
      <c s="391" r="AJ18"/>
      <c s="551" r="AK18"/>
      <c s="551" r="AL18"/>
      <c s="551" r="AM18"/>
      <c s="551" r="AN18"/>
      <c s="551" r="AO18"/>
      <c s="551" r="AP18"/>
      <c s="551" r="AQ18"/>
      <c s="551" r="AR18"/>
      <c s="551" r="AS18"/>
      <c s="551" r="AT18"/>
      <c s="551" r="AU18"/>
      <c s="551" r="AV18"/>
      <c s="551" r="AW18"/>
      <c s="551" r="AX18"/>
      <c s="551" r="AY18"/>
      <c s="551" r="AZ18"/>
      <c s="551" r="BA18"/>
      <c s="551" r="BB18"/>
      <c s="551" r="BC18"/>
      <c s="551" r="BD18"/>
      <c s="671" r="BE18"/>
      <c s="388" r="BF18"/>
      <c s="36" r="BG18"/>
      <c s="391" r="BH18"/>
      <c s="551" r="BI18"/>
      <c s="551" r="BJ18"/>
      <c s="551" r="BK18"/>
      <c s="551" r="BL18"/>
      <c s="551" r="BM18"/>
      <c s="551" r="BN18"/>
      <c s="551" r="BO18"/>
      <c s="551" r="BP18"/>
      <c s="551" r="BQ18"/>
      <c s="551" r="BR18"/>
      <c s="551" r="BS18"/>
      <c s="551" r="BT18"/>
      <c s="551" r="BU18"/>
      <c s="551" r="BV18"/>
      <c s="551" r="BW18"/>
      <c s="551" r="BX18"/>
      <c s="551" r="BY18"/>
      <c s="551" r="BZ18"/>
      <c s="551" r="CA18"/>
      <c s="551" r="CB18"/>
      <c s="671" r="CC18"/>
      <c s="388" r="CD18"/>
      <c s="36" r="CE18"/>
      <c s="391" r="CF18"/>
      <c s="551" r="CG18"/>
      <c s="551" r="CH18"/>
      <c s="551" r="CI18"/>
      <c s="551" r="CJ18"/>
      <c s="551" r="CK18"/>
      <c s="551" r="CL18"/>
      <c s="551" r="CM18"/>
      <c s="551" r="CN18"/>
      <c s="551" r="CO18"/>
      <c s="551" r="CP18"/>
      <c s="551" r="CQ18"/>
      <c s="551" r="CR18"/>
      <c s="551" r="CS18"/>
      <c s="551" r="CT18"/>
      <c s="551" r="CU18"/>
      <c s="551" r="CV18"/>
      <c s="551" r="CW18"/>
      <c s="551" r="CX18"/>
      <c s="551" r="CY18"/>
      <c s="551" r="CZ18"/>
      <c s="671" r="DA18"/>
      <c s="388" r="DB18"/>
      <c s="36" r="DC18"/>
      <c s="391" r="DD18"/>
      <c s="551" r="DE18"/>
      <c s="551" r="DF18"/>
      <c s="551" r="DG18"/>
      <c s="551" r="DH18"/>
      <c s="551" r="DI18"/>
      <c s="551" r="DJ18"/>
      <c s="551" r="DK18"/>
      <c s="551" r="DL18"/>
      <c s="551" r="DM18"/>
      <c s="551" r="DN18"/>
      <c s="551" r="DO18"/>
      <c s="551" r="DP18"/>
      <c s="551" r="DQ18"/>
      <c s="551" r="DR18"/>
      <c s="551" r="DS18"/>
      <c s="551" r="DT18"/>
      <c s="551" r="DU18"/>
      <c s="551" r="DV18"/>
      <c s="551" r="DW18"/>
      <c s="551" r="DX18"/>
      <c s="671" r="DY18"/>
      <c s="388" r="DZ18"/>
      <c s="36" r="EA18"/>
      <c s="391" r="EB18"/>
      <c s="551" r="EC18"/>
      <c s="551" r="ED18"/>
      <c s="551" r="EE18"/>
      <c s="551" r="EF18"/>
      <c s="551" r="EG18"/>
      <c s="551" r="EH18"/>
      <c s="551" r="EI18"/>
      <c s="551" r="EJ18"/>
      <c s="551" r="EK18"/>
      <c s="551" r="EL18"/>
      <c s="551" r="EM18"/>
      <c s="551" r="EN18"/>
      <c s="551" r="EO18"/>
      <c s="551" r="EP18"/>
      <c s="551" r="EQ18"/>
      <c s="551" r="ER18"/>
      <c s="551" r="ES18"/>
      <c s="551" r="ET18"/>
      <c s="551" r="EU18"/>
      <c s="551" r="EV18"/>
      <c s="671" r="EW18"/>
      <c s="388" r="EX18"/>
      <c s="36" r="EY18"/>
      <c s="391" r="EZ18"/>
      <c s="551" r="FA18"/>
      <c s="551" r="FB18"/>
      <c s="551" r="FC18"/>
      <c s="551" r="FD18"/>
      <c s="551" r="FE18"/>
      <c s="551" r="FF18"/>
      <c s="551" r="FG18"/>
      <c s="551" r="FH18"/>
      <c s="551" r="FI18"/>
      <c s="551" r="FJ18"/>
      <c s="551" r="FK18"/>
      <c s="551" r="FL18"/>
      <c s="551" r="FM18"/>
      <c s="551" r="FN18"/>
      <c s="551" r="FO18"/>
      <c s="551" r="FP18"/>
      <c s="551" r="FQ18"/>
      <c s="551" r="FR18"/>
      <c s="551" r="FS18"/>
      <c s="551" r="FT18"/>
      <c s="671" r="FU18"/>
      <c s="222" r="FV18"/>
      <c s="125" r="FW18"/>
      <c s="125" r="FX18"/>
      <c s="125" r="FY18"/>
      <c s="125" r="FZ18"/>
      <c s="125" r="GA18"/>
      <c s="125" r="GB18"/>
      <c s="125" r="GC18"/>
      <c s="125" r="GD18"/>
      <c s="125" r="GE18"/>
      <c s="125" r="GF18"/>
      <c s="125" r="GG18"/>
      <c s="125" r="GH18"/>
      <c s="125" r="GI18"/>
      <c s="125" r="GJ18"/>
      <c s="125" r="GK18"/>
      <c s="125" r="GL18"/>
      <c s="125" r="GM18"/>
      <c s="125" r="GN18"/>
      <c s="125" r="GO18"/>
      <c s="125" r="GP18"/>
      <c s="125" r="GQ18"/>
      <c s="125" r="GR18"/>
      <c s="125" r="GS18"/>
      <c s="125" r="GT18"/>
      <c s="125" r="GU18"/>
      <c s="125" r="GV18"/>
      <c s="125" r="GW18"/>
      <c s="125" r="GX18"/>
      <c s="125" r="GY18"/>
      <c s="125" r="GZ18"/>
      <c s="125" r="HA18"/>
      <c s="125" r="HB18"/>
    </row>
    <row r="19">
      <c s="822" r="A19"/>
      <c s="406" r="B19"/>
      <c s="886" r="C19"/>
      <c s="305" r="D19"/>
      <c s="305" r="E19"/>
      <c s="305" r="F19"/>
      <c s="305" r="G19"/>
      <c s="305" r="H19"/>
      <c s="418" r="I19"/>
      <c s="702" r="J19"/>
      <c s="36" r="K19"/>
      <c s="391" r="L19"/>
      <c s="551" r="M19"/>
      <c s="551" r="N19"/>
      <c s="551" r="O19"/>
      <c s="551" r="P19"/>
      <c s="551" r="Q19"/>
      <c s="551" r="R19"/>
      <c s="551" r="S19"/>
      <c s="551" r="T19"/>
      <c s="551" r="U19"/>
      <c s="551" r="V19"/>
      <c s="551" r="W19"/>
      <c s="551" r="X19"/>
      <c s="551" r="Y19"/>
      <c s="551" r="Z19"/>
      <c s="551" r="AA19"/>
      <c s="551" r="AB19"/>
      <c s="551" r="AC19"/>
      <c s="551" r="AD19"/>
      <c s="551" r="AE19"/>
      <c s="551" r="AF19"/>
      <c s="671" r="AG19"/>
      <c s="388" r="AH19"/>
      <c s="36" r="AI19"/>
      <c s="391" r="AJ19"/>
      <c s="551" r="AK19"/>
      <c s="551" r="AL19"/>
      <c s="551" r="AM19"/>
      <c s="551" r="AN19"/>
      <c s="551" r="AO19"/>
      <c s="551" r="AP19"/>
      <c s="551" r="AQ19"/>
      <c s="551" r="AR19"/>
      <c s="551" r="AS19"/>
      <c s="551" r="AT19"/>
      <c s="551" r="AU19"/>
      <c s="551" r="AV19"/>
      <c s="551" r="AW19"/>
      <c s="551" r="AX19"/>
      <c s="551" r="AY19"/>
      <c s="551" r="AZ19"/>
      <c s="551" r="BA19"/>
      <c s="551" r="BB19"/>
      <c s="551" r="BC19"/>
      <c s="551" r="BD19"/>
      <c s="671" r="BE19"/>
      <c s="388" r="BF19"/>
      <c s="36" r="BG19"/>
      <c s="391" r="BH19"/>
      <c s="551" r="BI19"/>
      <c s="551" r="BJ19"/>
      <c s="551" r="BK19"/>
      <c s="551" r="BL19"/>
      <c s="551" r="BM19"/>
      <c s="551" r="BN19"/>
      <c s="551" r="BO19"/>
      <c s="551" r="BP19"/>
      <c s="551" r="BQ19"/>
      <c s="551" r="BR19"/>
      <c s="551" r="BS19"/>
      <c s="551" r="BT19"/>
      <c s="551" r="BU19"/>
      <c s="551" r="BV19"/>
      <c s="551" r="BW19"/>
      <c s="551" r="BX19"/>
      <c s="551" r="BY19"/>
      <c s="551" r="BZ19"/>
      <c s="551" r="CA19"/>
      <c s="551" r="CB19"/>
      <c s="671" r="CC19"/>
      <c s="388" r="CD19"/>
      <c s="36" r="CE19"/>
      <c s="391" r="CF19"/>
      <c s="551" r="CG19"/>
      <c s="551" r="CH19"/>
      <c s="551" r="CI19"/>
      <c s="551" r="CJ19"/>
      <c s="551" r="CK19"/>
      <c s="551" r="CL19"/>
      <c s="551" r="CM19"/>
      <c s="551" r="CN19"/>
      <c s="551" r="CO19"/>
      <c s="551" r="CP19"/>
      <c s="551" r="CQ19"/>
      <c s="551" r="CR19"/>
      <c s="551" r="CS19"/>
      <c s="551" r="CT19"/>
      <c s="551" r="CU19"/>
      <c s="551" r="CV19"/>
      <c s="551" r="CW19"/>
      <c s="551" r="CX19"/>
      <c s="551" r="CY19"/>
      <c s="551" r="CZ19"/>
      <c s="671" r="DA19"/>
      <c s="388" r="DB19"/>
      <c s="36" r="DC19"/>
      <c s="391" r="DD19"/>
      <c s="551" r="DE19"/>
      <c s="551" r="DF19"/>
      <c s="551" r="DG19"/>
      <c s="551" r="DH19"/>
      <c s="551" r="DI19"/>
      <c s="551" r="DJ19"/>
      <c s="551" r="DK19"/>
      <c s="551" r="DL19"/>
      <c s="551" r="DM19"/>
      <c s="551" r="DN19"/>
      <c s="551" r="DO19"/>
      <c s="551" r="DP19"/>
      <c s="551" r="DQ19"/>
      <c s="551" r="DR19"/>
      <c s="551" r="DS19"/>
      <c s="551" r="DT19"/>
      <c s="551" r="DU19"/>
      <c s="551" r="DV19"/>
      <c s="551" r="DW19"/>
      <c s="551" r="DX19"/>
      <c s="671" r="DY19"/>
      <c s="388" r="DZ19"/>
      <c s="36" r="EA19"/>
      <c s="391" r="EB19"/>
      <c s="551" r="EC19"/>
      <c s="551" r="ED19"/>
      <c s="551" r="EE19"/>
      <c s="551" r="EF19"/>
      <c s="551" r="EG19"/>
      <c s="551" r="EH19"/>
      <c s="551" r="EI19"/>
      <c s="551" r="EJ19"/>
      <c s="551" r="EK19"/>
      <c s="551" r="EL19"/>
      <c s="551" r="EM19"/>
      <c s="551" r="EN19"/>
      <c s="551" r="EO19"/>
      <c s="551" r="EP19"/>
      <c s="551" r="EQ19"/>
      <c s="551" r="ER19"/>
      <c s="551" r="ES19"/>
      <c s="551" r="ET19"/>
      <c s="551" r="EU19"/>
      <c s="551" r="EV19"/>
      <c s="671" r="EW19"/>
      <c s="388" r="EX19"/>
      <c s="36" r="EY19"/>
      <c s="391" r="EZ19"/>
      <c s="551" r="FA19"/>
      <c s="551" r="FB19"/>
      <c s="551" r="FC19"/>
      <c s="551" r="FD19"/>
      <c s="551" r="FE19"/>
      <c s="551" r="FF19"/>
      <c s="551" r="FG19"/>
      <c s="551" r="FH19"/>
      <c s="551" r="FI19"/>
      <c s="551" r="FJ19"/>
      <c s="551" r="FK19"/>
      <c s="551" r="FL19"/>
      <c s="551" r="FM19"/>
      <c s="551" r="FN19"/>
      <c s="551" r="FO19"/>
      <c s="551" r="FP19"/>
      <c s="551" r="FQ19"/>
      <c s="551" r="FR19"/>
      <c s="551" r="FS19"/>
      <c s="551" r="FT19"/>
      <c s="671" r="FU19"/>
      <c s="222" r="FV19"/>
      <c s="125" r="FW19"/>
      <c s="125" r="FX19"/>
      <c s="125" r="FY19"/>
      <c s="125" r="FZ19"/>
      <c s="125" r="GA19"/>
      <c s="125" r="GB19"/>
      <c s="125" r="GC19"/>
      <c s="125" r="GD19"/>
      <c s="125" r="GE19"/>
      <c s="125" r="GF19"/>
      <c s="125" r="GG19"/>
      <c s="125" r="GH19"/>
      <c s="125" r="GI19"/>
      <c s="125" r="GJ19"/>
      <c s="125" r="GK19"/>
      <c s="125" r="GL19"/>
      <c s="125" r="GM19"/>
      <c s="125" r="GN19"/>
      <c s="125" r="GO19"/>
      <c s="125" r="GP19"/>
      <c s="125" r="GQ19"/>
      <c s="125" r="GR19"/>
      <c s="125" r="GS19"/>
      <c s="125" r="GT19"/>
      <c s="125" r="GU19"/>
      <c s="125" r="GV19"/>
      <c s="125" r="GW19"/>
      <c s="125" r="GX19"/>
      <c s="125" r="GY19"/>
      <c s="125" r="GZ19"/>
      <c s="125" r="HA19"/>
      <c s="125" r="HB19"/>
    </row>
    <row r="20">
      <c s="822" r="A20"/>
      <c s="406" r="B20"/>
      <c s="886" r="C20"/>
      <c s="305" r="D20"/>
      <c s="305" r="E20"/>
      <c s="305" r="F20"/>
      <c s="305" r="G20"/>
      <c s="305" r="H20"/>
      <c s="418" r="I20"/>
      <c s="702" r="J20"/>
      <c s="36" r="K20"/>
      <c s="391" r="L20"/>
      <c s="551" r="M20"/>
      <c s="551" r="N20"/>
      <c s="551" r="O20"/>
      <c s="551" r="P20"/>
      <c s="551" r="Q20"/>
      <c s="551" r="R20"/>
      <c s="551" r="S20"/>
      <c s="551" r="T20"/>
      <c s="551" r="U20"/>
      <c s="551" r="V20"/>
      <c s="551" r="W20"/>
      <c s="551" r="X20"/>
      <c s="551" r="Y20"/>
      <c s="551" r="Z20"/>
      <c s="551" r="AA20"/>
      <c s="551" r="AB20"/>
      <c s="551" r="AC20"/>
      <c s="551" r="AD20"/>
      <c s="551" r="AE20"/>
      <c s="551" r="AF20"/>
      <c s="671" r="AG20"/>
      <c s="388" r="AH20"/>
      <c s="36" r="AI20"/>
      <c s="391" r="AJ20"/>
      <c s="551" r="AK20"/>
      <c s="551" r="AL20"/>
      <c s="551" r="AM20"/>
      <c s="551" r="AN20"/>
      <c s="551" r="AO20"/>
      <c s="551" r="AP20"/>
      <c s="551" r="AQ20"/>
      <c s="551" r="AR20"/>
      <c s="551" r="AS20"/>
      <c s="551" r="AT20"/>
      <c s="551" r="AU20"/>
      <c s="551" r="AV20"/>
      <c s="551" r="AW20"/>
      <c s="551" r="AX20"/>
      <c s="551" r="AY20"/>
      <c s="551" r="AZ20"/>
      <c s="551" r="BA20"/>
      <c s="551" r="BB20"/>
      <c s="551" r="BC20"/>
      <c s="551" r="BD20"/>
      <c s="671" r="BE20"/>
      <c s="388" r="BF20"/>
      <c s="36" r="BG20"/>
      <c s="391" r="BH20"/>
      <c s="551" r="BI20"/>
      <c s="551" r="BJ20"/>
      <c s="551" r="BK20"/>
      <c s="551" r="BL20"/>
      <c s="551" r="BM20"/>
      <c s="551" r="BN20"/>
      <c s="551" r="BO20"/>
      <c s="551" r="BP20"/>
      <c s="551" r="BQ20"/>
      <c s="551" r="BR20"/>
      <c s="551" r="BS20"/>
      <c s="551" r="BT20"/>
      <c s="551" r="BU20"/>
      <c s="551" r="BV20"/>
      <c s="551" r="BW20"/>
      <c s="551" r="BX20"/>
      <c s="551" r="BY20"/>
      <c s="551" r="BZ20"/>
      <c s="551" r="CA20"/>
      <c s="551" r="CB20"/>
      <c s="671" r="CC20"/>
      <c s="388" r="CD20"/>
      <c s="36" r="CE20"/>
      <c s="391" r="CF20"/>
      <c s="551" r="CG20"/>
      <c s="551" r="CH20"/>
      <c s="551" r="CI20"/>
      <c s="551" r="CJ20"/>
      <c s="551" r="CK20"/>
      <c s="551" r="CL20"/>
      <c s="551" r="CM20"/>
      <c s="551" r="CN20"/>
      <c s="551" r="CO20"/>
      <c s="551" r="CP20"/>
      <c s="551" r="CQ20"/>
      <c s="551" r="CR20"/>
      <c s="551" r="CS20"/>
      <c s="551" r="CT20"/>
      <c s="551" r="CU20"/>
      <c s="551" r="CV20"/>
      <c s="551" r="CW20"/>
      <c s="551" r="CX20"/>
      <c s="551" r="CY20"/>
      <c s="551" r="CZ20"/>
      <c s="671" r="DA20"/>
      <c s="388" r="DB20"/>
      <c s="36" r="DC20"/>
      <c s="391" r="DD20"/>
      <c s="551" r="DE20"/>
      <c s="551" r="DF20"/>
      <c s="551" r="DG20"/>
      <c s="551" r="DH20"/>
      <c s="551" r="DI20"/>
      <c s="551" r="DJ20"/>
      <c s="551" r="DK20"/>
      <c s="551" r="DL20"/>
      <c s="551" r="DM20"/>
      <c s="551" r="DN20"/>
      <c s="551" r="DO20"/>
      <c s="551" r="DP20"/>
      <c s="551" r="DQ20"/>
      <c s="551" r="DR20"/>
      <c s="551" r="DS20"/>
      <c s="551" r="DT20"/>
      <c s="551" r="DU20"/>
      <c s="551" r="DV20"/>
      <c s="551" r="DW20"/>
      <c s="551" r="DX20"/>
      <c s="671" r="DY20"/>
      <c s="388" r="DZ20"/>
      <c s="36" r="EA20"/>
      <c s="391" r="EB20"/>
      <c s="551" r="EC20"/>
      <c s="551" r="ED20"/>
      <c s="551" r="EE20"/>
      <c s="551" r="EF20"/>
      <c s="551" r="EG20"/>
      <c s="551" r="EH20"/>
      <c s="551" r="EI20"/>
      <c s="551" r="EJ20"/>
      <c s="551" r="EK20"/>
      <c s="551" r="EL20"/>
      <c s="551" r="EM20"/>
      <c s="551" r="EN20"/>
      <c s="551" r="EO20"/>
      <c s="551" r="EP20"/>
      <c s="551" r="EQ20"/>
      <c s="551" r="ER20"/>
      <c s="551" r="ES20"/>
      <c s="551" r="ET20"/>
      <c s="551" r="EU20"/>
      <c s="551" r="EV20"/>
      <c s="671" r="EW20"/>
      <c s="388" r="EX20"/>
      <c s="36" r="EY20"/>
      <c s="391" r="EZ20"/>
      <c s="551" r="FA20"/>
      <c s="551" r="FB20"/>
      <c s="551" r="FC20"/>
      <c s="551" r="FD20"/>
      <c s="551" r="FE20"/>
      <c s="551" r="FF20"/>
      <c s="551" r="FG20"/>
      <c s="551" r="FH20"/>
      <c s="551" r="FI20"/>
      <c s="551" r="FJ20"/>
      <c s="551" r="FK20"/>
      <c s="551" r="FL20"/>
      <c s="551" r="FM20"/>
      <c s="551" r="FN20"/>
      <c s="551" r="FO20"/>
      <c s="551" r="FP20"/>
      <c s="551" r="FQ20"/>
      <c s="551" r="FR20"/>
      <c s="551" r="FS20"/>
      <c s="551" r="FT20"/>
      <c s="671" r="FU20"/>
      <c s="222" r="FV20"/>
      <c s="125" r="FW20"/>
      <c s="125" r="FX20"/>
      <c s="125" r="FY20"/>
      <c s="125" r="FZ20"/>
      <c s="125" r="GA20"/>
      <c s="125" r="GB20"/>
      <c s="125" r="GC20"/>
      <c s="125" r="GD20"/>
      <c s="125" r="GE20"/>
      <c s="125" r="GF20"/>
      <c s="125" r="GG20"/>
      <c s="125" r="GH20"/>
      <c s="125" r="GI20"/>
      <c s="125" r="GJ20"/>
      <c s="125" r="GK20"/>
      <c s="125" r="GL20"/>
      <c s="125" r="GM20"/>
      <c s="125" r="GN20"/>
      <c s="125" r="GO20"/>
      <c s="125" r="GP20"/>
      <c s="125" r="GQ20"/>
      <c s="125" r="GR20"/>
      <c s="125" r="GS20"/>
      <c s="125" r="GT20"/>
      <c s="125" r="GU20"/>
      <c s="125" r="GV20"/>
      <c s="125" r="GW20"/>
      <c s="125" r="GX20"/>
      <c s="125" r="GY20"/>
      <c s="125" r="GZ20"/>
      <c s="125" r="HA20"/>
      <c s="125" r="HB20"/>
    </row>
    <row r="21">
      <c t="s" s="822" r="A21">
        <v>2</v>
      </c>
      <c s="406" r="B21"/>
      <c s="886" r="C21"/>
      <c s="886" r="D21"/>
      <c s="886" r="E21"/>
      <c s="886" r="F21"/>
      <c s="886" r="G21"/>
      <c s="886" r="H21"/>
      <c s="418" r="I21"/>
      <c s="702" r="J21"/>
      <c s="36" r="K21"/>
      <c s="391" r="L21"/>
      <c s="551" r="M21"/>
      <c s="551" r="N21"/>
      <c s="551" r="O21"/>
      <c s="551" r="P21"/>
      <c s="551" r="Q21"/>
      <c s="551" r="R21"/>
      <c s="551" r="S21"/>
      <c s="551" r="T21"/>
      <c s="551" r="U21"/>
      <c s="551" r="V21"/>
      <c s="551" r="W21"/>
      <c s="551" r="X21"/>
      <c s="551" r="Y21"/>
      <c s="551" r="Z21"/>
      <c s="551" r="AA21"/>
      <c s="551" r="AB21"/>
      <c s="551" r="AC21"/>
      <c s="551" r="AD21"/>
      <c s="551" r="AE21"/>
      <c s="551" r="AF21"/>
      <c s="812" r="AG21"/>
      <c t="s" s="388" r="AH21">
        <v>2</v>
      </c>
      <c s="36" r="AI21"/>
      <c s="391" r="AJ21"/>
      <c s="551" r="AK21"/>
      <c s="551" r="AL21"/>
      <c s="551" r="AM21"/>
      <c s="551" r="AN21"/>
      <c s="551" r="AO21"/>
      <c s="551" r="AP21"/>
      <c s="551" r="AQ21"/>
      <c s="551" r="AR21"/>
      <c s="551" r="AS21"/>
      <c s="551" r="AT21"/>
      <c s="551" r="AU21"/>
      <c s="551" r="AV21"/>
      <c s="551" r="AW21"/>
      <c s="551" r="AX21"/>
      <c s="551" r="AY21"/>
      <c s="551" r="AZ21"/>
      <c s="551" r="BA21"/>
      <c s="551" r="BB21"/>
      <c s="551" r="BC21"/>
      <c s="551" r="BD21"/>
      <c s="812" r="BE21"/>
      <c s="388" r="BF21"/>
      <c s="36" r="BG21"/>
      <c s="391" r="BH21"/>
      <c s="551" r="BI21"/>
      <c s="551" r="BJ21"/>
      <c s="551" r="BK21"/>
      <c s="551" r="BL21"/>
      <c s="551" r="BM21"/>
      <c s="551" r="BN21"/>
      <c s="551" r="BO21"/>
      <c s="551" r="BP21"/>
      <c s="551" r="BQ21"/>
      <c s="551" r="BR21"/>
      <c s="551" r="BS21"/>
      <c s="551" r="BT21"/>
      <c s="551" r="BU21"/>
      <c s="551" r="BV21"/>
      <c s="551" r="BW21"/>
      <c s="551" r="BX21"/>
      <c s="551" r="BY21"/>
      <c s="551" r="BZ21"/>
      <c s="551" r="CA21"/>
      <c s="551" r="CB21"/>
      <c s="812" r="CC21"/>
      <c s="388" r="CD21"/>
      <c s="36" r="CE21"/>
      <c s="391" r="CF21"/>
      <c s="551" r="CG21"/>
      <c s="551" r="CH21"/>
      <c s="551" r="CI21"/>
      <c s="551" r="CJ21"/>
      <c s="551" r="CK21"/>
      <c s="551" r="CL21"/>
      <c s="551" r="CM21"/>
      <c s="551" r="CN21"/>
      <c s="551" r="CO21"/>
      <c s="551" r="CP21"/>
      <c s="551" r="CQ21"/>
      <c s="551" r="CR21"/>
      <c s="551" r="CS21"/>
      <c s="551" r="CT21"/>
      <c s="551" r="CU21"/>
      <c s="551" r="CV21"/>
      <c s="551" r="CW21"/>
      <c s="551" r="CX21"/>
      <c s="551" r="CY21"/>
      <c s="551" r="CZ21"/>
      <c s="812" r="DA21"/>
      <c s="388" r="DB21"/>
      <c s="36" r="DC21"/>
      <c s="391" r="DD21"/>
      <c s="551" r="DE21"/>
      <c s="551" r="DF21"/>
      <c s="551" r="DG21"/>
      <c s="551" r="DH21"/>
      <c s="551" r="DI21"/>
      <c s="551" r="DJ21"/>
      <c s="551" r="DK21"/>
      <c s="551" r="DL21"/>
      <c s="551" r="DM21"/>
      <c s="551" r="DN21"/>
      <c s="551" r="DO21"/>
      <c s="551" r="DP21"/>
      <c s="551" r="DQ21"/>
      <c s="551" r="DR21"/>
      <c s="551" r="DS21"/>
      <c s="551" r="DT21"/>
      <c s="551" r="DU21"/>
      <c s="551" r="DV21"/>
      <c s="551" r="DW21"/>
      <c s="551" r="DX21"/>
      <c s="812" r="DY21"/>
      <c s="388" r="DZ21"/>
      <c s="36" r="EA21"/>
      <c s="391" r="EB21"/>
      <c s="551" r="EC21"/>
      <c s="551" r="ED21"/>
      <c s="551" r="EE21"/>
      <c s="551" r="EF21"/>
      <c s="551" r="EG21"/>
      <c s="551" r="EH21"/>
      <c s="551" r="EI21"/>
      <c s="551" r="EJ21"/>
      <c s="551" r="EK21"/>
      <c s="551" r="EL21"/>
      <c s="551" r="EM21"/>
      <c s="551" r="EN21"/>
      <c s="551" r="EO21"/>
      <c s="551" r="EP21"/>
      <c s="551" r="EQ21"/>
      <c s="551" r="ER21"/>
      <c s="551" r="ES21"/>
      <c s="551" r="ET21"/>
      <c s="551" r="EU21"/>
      <c s="551" r="EV21"/>
      <c s="812" r="EW21"/>
      <c s="388" r="EX21"/>
      <c s="36" r="EY21"/>
      <c s="391" r="EZ21"/>
      <c s="551" r="FA21"/>
      <c s="551" r="FB21"/>
      <c s="551" r="FC21"/>
      <c s="551" r="FD21"/>
      <c s="551" r="FE21"/>
      <c s="551" r="FF21"/>
      <c s="551" r="FG21"/>
      <c s="551" r="FH21"/>
      <c s="551" r="FI21"/>
      <c s="551" r="FJ21"/>
      <c s="551" r="FK21"/>
      <c s="551" r="FL21"/>
      <c s="551" r="FM21"/>
      <c s="551" r="FN21"/>
      <c s="551" r="FO21"/>
      <c s="551" r="FP21"/>
      <c s="551" r="FQ21"/>
      <c s="551" r="FR21"/>
      <c s="551" r="FS21"/>
      <c s="551" r="FT21"/>
      <c s="812" r="FU21"/>
      <c s="222" r="FV21"/>
      <c s="125" r="FW21"/>
      <c s="125" r="FX21"/>
      <c s="125" r="FY21"/>
      <c s="125" r="FZ21"/>
      <c s="125" r="GA21"/>
      <c s="125" r="GB21"/>
      <c s="125" r="GC21"/>
      <c s="125" r="GD21"/>
      <c s="125" r="GE21"/>
      <c s="125" r="GF21"/>
      <c s="125" r="GG21"/>
      <c s="125" r="GH21"/>
      <c s="125" r="GI21"/>
      <c s="125" r="GJ21"/>
      <c s="125" r="GK21"/>
      <c s="125" r="GL21"/>
      <c s="125" r="GM21"/>
      <c s="125" r="GN21"/>
      <c s="125" r="GO21"/>
      <c s="125" r="GP21"/>
      <c s="125" r="GQ21"/>
      <c s="125" r="GR21"/>
      <c s="125" r="GS21"/>
      <c s="125" r="GT21"/>
      <c s="125" r="GU21"/>
      <c s="125" r="GV21"/>
      <c s="125" r="GW21"/>
      <c s="125" r="GX21"/>
      <c s="125" r="GY21"/>
      <c s="125" r="GZ21"/>
      <c s="125" r="HA21"/>
      <c s="125" r="HB21"/>
    </row>
    <row r="22">
      <c s="822" r="A22"/>
      <c s="406" r="B22"/>
      <c t="s" s="729" r="C22">
        <v>560</v>
      </c>
      <c s="566" r="D22"/>
      <c s="566" r="E22"/>
      <c s="566" r="F22"/>
      <c t="s" s="529" r="G22">
        <v>76</v>
      </c>
      <c t="s" s="529" r="H22">
        <v>77</v>
      </c>
      <c s="418" r="I22"/>
      <c s="702" r="J22"/>
      <c s="36" r="K22"/>
      <c s="391" r="L22"/>
      <c s="551" r="M22"/>
      <c s="551" r="N22"/>
      <c s="551" r="O22"/>
      <c s="551" r="P22"/>
      <c s="551" r="Q22"/>
      <c s="551" r="R22"/>
      <c s="551" r="S22"/>
      <c s="551" r="T22"/>
      <c s="551" r="U22"/>
      <c s="551" r="V22"/>
      <c s="551" r="W22"/>
      <c s="551" r="X22"/>
      <c s="551" r="Y22"/>
      <c s="551" r="Z22"/>
      <c s="551" r="AA22"/>
      <c s="551" r="AB22"/>
      <c s="551" r="AC22"/>
      <c s="551" r="AD22"/>
      <c s="551" r="AE22"/>
      <c s="551" r="AF22"/>
      <c s="812" r="AG22"/>
      <c s="388" r="AH22"/>
      <c s="36" r="AI22"/>
      <c s="391" r="AJ22"/>
      <c s="551" r="AK22"/>
      <c s="551" r="AL22"/>
      <c s="551" r="AM22"/>
      <c s="551" r="AN22"/>
      <c s="551" r="AO22"/>
      <c s="551" r="AP22"/>
      <c s="551" r="AQ22"/>
      <c s="551" r="AR22"/>
      <c s="551" r="AS22"/>
      <c s="551" r="AT22"/>
      <c s="551" r="AU22"/>
      <c s="551" r="AV22"/>
      <c s="551" r="AW22"/>
      <c s="551" r="AX22"/>
      <c s="551" r="AY22"/>
      <c s="551" r="AZ22"/>
      <c s="551" r="BA22"/>
      <c s="551" r="BB22"/>
      <c s="551" r="BC22"/>
      <c s="551" r="BD22"/>
      <c s="812" r="BE22"/>
      <c s="388" r="BF22"/>
      <c s="36" r="BG22"/>
      <c s="391" r="BH22"/>
      <c s="551" r="BI22"/>
      <c s="551" r="BJ22"/>
      <c s="551" r="BK22"/>
      <c s="551" r="BL22"/>
      <c s="551" r="BM22"/>
      <c s="551" r="BN22"/>
      <c s="551" r="BO22"/>
      <c s="551" r="BP22"/>
      <c s="551" r="BQ22"/>
      <c s="551" r="BR22"/>
      <c s="551" r="BS22"/>
      <c s="551" r="BT22"/>
      <c s="551" r="BU22"/>
      <c s="551" r="BV22"/>
      <c s="551" r="BW22"/>
      <c s="551" r="BX22"/>
      <c s="551" r="BY22"/>
      <c s="551" r="BZ22"/>
      <c s="551" r="CA22"/>
      <c s="551" r="CB22"/>
      <c s="812" r="CC22"/>
      <c s="388" r="CD22"/>
      <c s="36" r="CE22"/>
      <c s="391" r="CF22"/>
      <c s="551" r="CG22"/>
      <c s="551" r="CH22"/>
      <c s="551" r="CI22"/>
      <c s="551" r="CJ22"/>
      <c s="551" r="CK22"/>
      <c s="551" r="CL22"/>
      <c s="551" r="CM22"/>
      <c s="551" r="CN22"/>
      <c s="551" r="CO22"/>
      <c s="551" r="CP22"/>
      <c s="551" r="CQ22"/>
      <c s="551" r="CR22"/>
      <c s="551" r="CS22"/>
      <c s="551" r="CT22"/>
      <c s="551" r="CU22"/>
      <c s="551" r="CV22"/>
      <c s="551" r="CW22"/>
      <c s="551" r="CX22"/>
      <c s="551" r="CY22"/>
      <c s="551" r="CZ22"/>
      <c s="812" r="DA22"/>
      <c s="388" r="DB22"/>
      <c s="36" r="DC22"/>
      <c s="391" r="DD22"/>
      <c s="551" r="DE22"/>
      <c s="551" r="DF22"/>
      <c s="551" r="DG22"/>
      <c s="551" r="DH22"/>
      <c s="551" r="DI22"/>
      <c s="551" r="DJ22"/>
      <c s="551" r="DK22"/>
      <c s="551" r="DL22"/>
      <c s="551" r="DM22"/>
      <c s="551" r="DN22"/>
      <c s="551" r="DO22"/>
      <c s="551" r="DP22"/>
      <c s="551" r="DQ22"/>
      <c s="551" r="DR22"/>
      <c s="551" r="DS22"/>
      <c s="551" r="DT22"/>
      <c s="551" r="DU22"/>
      <c s="551" r="DV22"/>
      <c s="551" r="DW22"/>
      <c s="551" r="DX22"/>
      <c s="812" r="DY22"/>
      <c s="388" r="DZ22"/>
      <c s="36" r="EA22"/>
      <c s="391" r="EB22"/>
      <c s="551" r="EC22"/>
      <c s="551" r="ED22"/>
      <c s="551" r="EE22"/>
      <c s="551" r="EF22"/>
      <c s="551" r="EG22"/>
      <c s="551" r="EH22"/>
      <c s="551" r="EI22"/>
      <c s="551" r="EJ22"/>
      <c s="551" r="EK22"/>
      <c s="551" r="EL22"/>
      <c s="551" r="EM22"/>
      <c s="551" r="EN22"/>
      <c s="551" r="EO22"/>
      <c s="551" r="EP22"/>
      <c s="551" r="EQ22"/>
      <c s="551" r="ER22"/>
      <c s="551" r="ES22"/>
      <c s="551" r="ET22"/>
      <c s="551" r="EU22"/>
      <c s="551" r="EV22"/>
      <c s="812" r="EW22"/>
      <c s="388" r="EX22"/>
      <c s="36" r="EY22"/>
      <c s="391" r="EZ22"/>
      <c s="551" r="FA22"/>
      <c s="551" r="FB22"/>
      <c s="551" r="FC22"/>
      <c s="551" r="FD22"/>
      <c s="551" r="FE22"/>
      <c s="551" r="FF22"/>
      <c s="551" r="FG22"/>
      <c s="551" r="FH22"/>
      <c s="551" r="FI22"/>
      <c s="551" r="FJ22"/>
      <c s="551" r="FK22"/>
      <c s="551" r="FL22"/>
      <c s="551" r="FM22"/>
      <c s="551" r="FN22"/>
      <c s="551" r="FO22"/>
      <c s="551" r="FP22"/>
      <c s="551" r="FQ22"/>
      <c s="551" r="FR22"/>
      <c s="551" r="FS22"/>
      <c s="551" r="FT22"/>
      <c s="812" r="FU22"/>
      <c s="222" r="FV22"/>
      <c s="125" r="FW22"/>
      <c s="125" r="FX22"/>
      <c s="125" r="FY22"/>
      <c s="125" r="FZ22"/>
      <c s="125" r="GA22"/>
      <c s="125" r="GB22"/>
      <c s="125" r="GC22"/>
      <c s="125" r="GD22"/>
      <c s="125" r="GE22"/>
      <c s="125" r="GF22"/>
      <c s="125" r="GG22"/>
      <c s="125" r="GH22"/>
      <c s="125" r="GI22"/>
      <c s="125" r="GJ22"/>
      <c s="125" r="GK22"/>
      <c s="125" r="GL22"/>
      <c s="125" r="GM22"/>
      <c s="125" r="GN22"/>
      <c s="125" r="GO22"/>
      <c s="125" r="GP22"/>
      <c s="125" r="GQ22"/>
      <c s="125" r="GR22"/>
      <c s="125" r="GS22"/>
      <c s="125" r="GT22"/>
      <c s="125" r="GU22"/>
      <c s="125" r="GV22"/>
      <c s="125" r="GW22"/>
      <c s="125" r="GX22"/>
      <c s="125" r="GY22"/>
      <c s="125" r="GZ22"/>
      <c s="125" r="HA22"/>
      <c s="125" r="HB22"/>
    </row>
    <row r="23">
      <c s="822" r="A23"/>
      <c s="406" r="B23"/>
      <c s="756" r="C23"/>
      <c t="s" s="7" r="D23">
        <v>357</v>
      </c>
      <c t="str" s="620" r="E23">
        <f>'Dimension Estimated Values'!$N$5</f>
        <v>---</v>
      </c>
      <c s="381" r="F23"/>
      <c s="756" r="G23"/>
      <c s="756" r="H23"/>
      <c s="418" r="I23"/>
      <c s="702" r="J23"/>
      <c s="36" r="K23"/>
      <c s="391" r="L23"/>
      <c s="551" r="M23"/>
      <c s="551" r="N23"/>
      <c s="551" r="O23"/>
      <c s="551" r="P23"/>
      <c s="551" r="Q23"/>
      <c s="551" r="R23"/>
      <c s="551" r="S23"/>
      <c s="551" r="T23"/>
      <c s="551" r="U23"/>
      <c s="551" r="V23"/>
      <c s="551" r="W23"/>
      <c s="551" r="X23"/>
      <c s="551" r="Y23"/>
      <c s="551" r="Z23"/>
      <c s="551" r="AA23"/>
      <c s="551" r="AB23"/>
      <c s="551" r="AC23"/>
      <c s="551" r="AD23"/>
      <c s="551" r="AE23"/>
      <c s="551" r="AF23"/>
      <c s="812" r="AG23"/>
      <c s="388" r="AH23"/>
      <c s="36" r="AI23"/>
      <c s="391" r="AJ23"/>
      <c s="551" r="AK23"/>
      <c s="551" r="AL23"/>
      <c s="551" r="AM23"/>
      <c s="551" r="AN23"/>
      <c s="551" r="AO23"/>
      <c s="551" r="AP23"/>
      <c s="551" r="AQ23"/>
      <c s="551" r="AR23"/>
      <c s="551" r="AS23"/>
      <c s="551" r="AT23"/>
      <c s="551" r="AU23"/>
      <c s="551" r="AV23"/>
      <c s="551" r="AW23"/>
      <c s="551" r="AX23"/>
      <c s="551" r="AY23"/>
      <c s="551" r="AZ23"/>
      <c s="551" r="BA23"/>
      <c s="551" r="BB23"/>
      <c s="551" r="BC23"/>
      <c s="551" r="BD23"/>
      <c s="812" r="BE23"/>
      <c s="388" r="BF23"/>
      <c s="36" r="BG23"/>
      <c s="391" r="BH23"/>
      <c s="551" r="BI23"/>
      <c s="551" r="BJ23"/>
      <c s="551" r="BK23"/>
      <c s="551" r="BL23"/>
      <c s="551" r="BM23"/>
      <c s="551" r="BN23"/>
      <c s="551" r="BO23"/>
      <c s="551" r="BP23"/>
      <c s="551" r="BQ23"/>
      <c s="551" r="BR23"/>
      <c s="551" r="BS23"/>
      <c s="551" r="BT23"/>
      <c s="551" r="BU23"/>
      <c s="551" r="BV23"/>
      <c s="551" r="BW23"/>
      <c s="551" r="BX23"/>
      <c s="551" r="BY23"/>
      <c s="551" r="BZ23"/>
      <c s="551" r="CA23"/>
      <c s="551" r="CB23"/>
      <c s="812" r="CC23"/>
      <c s="388" r="CD23"/>
      <c s="36" r="CE23"/>
      <c s="391" r="CF23"/>
      <c s="551" r="CG23"/>
      <c s="551" r="CH23"/>
      <c s="551" r="CI23"/>
      <c s="551" r="CJ23"/>
      <c s="551" r="CK23"/>
      <c s="551" r="CL23"/>
      <c s="551" r="CM23"/>
      <c s="551" r="CN23"/>
      <c s="551" r="CO23"/>
      <c s="551" r="CP23"/>
      <c s="551" r="CQ23"/>
      <c s="551" r="CR23"/>
      <c s="551" r="CS23"/>
      <c s="551" r="CT23"/>
      <c s="551" r="CU23"/>
      <c s="551" r="CV23"/>
      <c s="551" r="CW23"/>
      <c s="551" r="CX23"/>
      <c s="551" r="CY23"/>
      <c s="551" r="CZ23"/>
      <c s="812" r="DA23"/>
      <c s="388" r="DB23"/>
      <c s="36" r="DC23"/>
      <c s="391" r="DD23"/>
      <c s="551" r="DE23"/>
      <c s="551" r="DF23"/>
      <c s="551" r="DG23"/>
      <c s="551" r="DH23"/>
      <c s="551" r="DI23"/>
      <c s="551" r="DJ23"/>
      <c s="551" r="DK23"/>
      <c s="551" r="DL23"/>
      <c s="551" r="DM23"/>
      <c s="551" r="DN23"/>
      <c s="551" r="DO23"/>
      <c s="551" r="DP23"/>
      <c s="551" r="DQ23"/>
      <c s="551" r="DR23"/>
      <c s="551" r="DS23"/>
      <c s="551" r="DT23"/>
      <c s="551" r="DU23"/>
      <c s="551" r="DV23"/>
      <c s="551" r="DW23"/>
      <c s="551" r="DX23"/>
      <c s="812" r="DY23"/>
      <c s="388" r="DZ23"/>
      <c s="36" r="EA23"/>
      <c s="391" r="EB23"/>
      <c s="551" r="EC23"/>
      <c s="551" r="ED23"/>
      <c s="551" r="EE23"/>
      <c s="551" r="EF23"/>
      <c s="551" r="EG23"/>
      <c s="551" r="EH23"/>
      <c s="551" r="EI23"/>
      <c s="551" r="EJ23"/>
      <c s="551" r="EK23"/>
      <c s="551" r="EL23"/>
      <c s="551" r="EM23"/>
      <c s="551" r="EN23"/>
      <c s="551" r="EO23"/>
      <c s="551" r="EP23"/>
      <c s="551" r="EQ23"/>
      <c s="551" r="ER23"/>
      <c s="551" r="ES23"/>
      <c s="551" r="ET23"/>
      <c s="551" r="EU23"/>
      <c s="551" r="EV23"/>
      <c s="812" r="EW23"/>
      <c s="388" r="EX23"/>
      <c s="36" r="EY23"/>
      <c s="391" r="EZ23"/>
      <c s="551" r="FA23"/>
      <c s="551" r="FB23"/>
      <c s="551" r="FC23"/>
      <c s="551" r="FD23"/>
      <c s="551" r="FE23"/>
      <c s="551" r="FF23"/>
      <c s="551" r="FG23"/>
      <c s="551" r="FH23"/>
      <c s="551" r="FI23"/>
      <c s="551" r="FJ23"/>
      <c s="551" r="FK23"/>
      <c s="551" r="FL23"/>
      <c s="551" r="FM23"/>
      <c s="551" r="FN23"/>
      <c s="551" r="FO23"/>
      <c s="551" r="FP23"/>
      <c s="551" r="FQ23"/>
      <c s="551" r="FR23"/>
      <c s="551" r="FS23"/>
      <c s="551" r="FT23"/>
      <c s="812" r="FU23"/>
      <c s="222" r="FV23"/>
      <c s="125" r="FW23"/>
      <c s="125" r="FX23"/>
      <c s="125" r="FY23"/>
      <c s="125" r="FZ23"/>
      <c s="125" r="GA23"/>
      <c s="125" r="GB23"/>
      <c s="125" r="GC23"/>
      <c s="125" r="GD23"/>
      <c s="125" r="GE23"/>
      <c s="125" r="GF23"/>
      <c s="125" r="GG23"/>
      <c s="125" r="GH23"/>
      <c s="125" r="GI23"/>
      <c s="125" r="GJ23"/>
      <c s="125" r="GK23"/>
      <c s="125" r="GL23"/>
      <c s="125" r="GM23"/>
      <c s="125" r="GN23"/>
      <c s="125" r="GO23"/>
      <c s="125" r="GP23"/>
      <c s="125" r="GQ23"/>
      <c s="125" r="GR23"/>
      <c s="125" r="GS23"/>
      <c s="125" r="GT23"/>
      <c s="125" r="GU23"/>
      <c s="125" r="GV23"/>
      <c s="125" r="GW23"/>
      <c s="125" r="GX23"/>
      <c s="125" r="GY23"/>
      <c s="125" r="GZ23"/>
      <c s="125" r="HA23"/>
      <c s="125" r="HB23"/>
    </row>
    <row r="24">
      <c s="822" r="A24"/>
      <c s="406" r="B24"/>
      <c s="886" r="C24"/>
      <c s="886" r="D24"/>
      <c s="756" r="E24"/>
      <c s="886" r="F24"/>
      <c s="886" r="G24"/>
      <c s="886" r="H24"/>
      <c s="418" r="I24"/>
      <c s="702" r="J24"/>
      <c s="908" r="K24"/>
      <c s="551" r="L24"/>
      <c s="551" r="M24"/>
      <c s="551" r="N24"/>
      <c s="391" r="O24"/>
      <c s="391" r="P24"/>
      <c s="391" r="Q24"/>
      <c s="391" r="R24"/>
      <c s="391" r="S24"/>
      <c s="391" r="T24"/>
      <c s="391" r="U24"/>
      <c s="391" r="V24"/>
      <c s="391" r="W24"/>
      <c s="391" r="X24"/>
      <c s="391" r="Y24"/>
      <c s="391" r="Z24"/>
      <c s="551" r="AA24"/>
      <c s="551" r="AB24"/>
      <c s="551" r="AC24"/>
      <c s="551" r="AD24"/>
      <c s="551" r="AE24"/>
      <c s="551" r="AF24"/>
      <c s="812" r="AG24"/>
      <c t="s" s="388" r="AH24">
        <v>2</v>
      </c>
      <c s="908" r="AI24"/>
      <c s="551" r="AJ24"/>
      <c s="551" r="AK24"/>
      <c s="551" r="AL24"/>
      <c s="391" r="AM24"/>
      <c s="391" r="AN24"/>
      <c s="391" r="AO24"/>
      <c s="391" r="AP24"/>
      <c s="391" r="AQ24"/>
      <c s="391" r="AR24"/>
      <c s="391" r="AS24"/>
      <c s="391" r="AT24"/>
      <c s="391" r="AU24"/>
      <c s="391" r="AV24"/>
      <c s="391" r="AW24"/>
      <c s="391" r="AX24"/>
      <c s="551" r="AY24"/>
      <c s="551" r="AZ24"/>
      <c s="551" r="BA24"/>
      <c s="551" r="BB24"/>
      <c s="551" r="BC24"/>
      <c s="551" r="BD24"/>
      <c s="812" r="BE24"/>
      <c s="388" r="BF24"/>
      <c s="908" r="BG24"/>
      <c s="551" r="BH24"/>
      <c s="551" r="BI24"/>
      <c s="551" r="BJ24"/>
      <c s="391" r="BK24"/>
      <c s="391" r="BL24"/>
      <c s="391" r="BM24"/>
      <c s="391" r="BN24"/>
      <c s="391" r="BO24"/>
      <c s="391" r="BP24"/>
      <c s="391" r="BQ24"/>
      <c s="391" r="BR24"/>
      <c s="391" r="BS24"/>
      <c s="391" r="BT24"/>
      <c s="391" r="BU24"/>
      <c s="391" r="BV24"/>
      <c s="551" r="BW24"/>
      <c s="551" r="BX24"/>
      <c s="551" r="BY24"/>
      <c s="551" r="BZ24"/>
      <c s="551" r="CA24"/>
      <c s="551" r="CB24"/>
      <c s="812" r="CC24"/>
      <c s="388" r="CD24"/>
      <c s="908" r="CE24"/>
      <c s="551" r="CF24"/>
      <c s="551" r="CG24"/>
      <c s="551" r="CH24"/>
      <c s="391" r="CI24"/>
      <c s="391" r="CJ24"/>
      <c s="391" r="CK24"/>
      <c s="391" r="CL24"/>
      <c s="391" r="CM24"/>
      <c s="391" r="CN24"/>
      <c s="391" r="CO24"/>
      <c s="391" r="CP24"/>
      <c s="391" r="CQ24"/>
      <c s="391" r="CR24"/>
      <c s="391" r="CS24"/>
      <c s="391" r="CT24"/>
      <c s="551" r="CU24"/>
      <c s="551" r="CV24"/>
      <c s="551" r="CW24"/>
      <c s="551" r="CX24"/>
      <c s="551" r="CY24"/>
      <c s="551" r="CZ24"/>
      <c s="812" r="DA24"/>
      <c s="388" r="DB24"/>
      <c s="908" r="DC24"/>
      <c s="551" r="DD24"/>
      <c s="551" r="DE24"/>
      <c s="551" r="DF24"/>
      <c s="391" r="DG24"/>
      <c s="391" r="DH24"/>
      <c s="391" r="DI24"/>
      <c s="391" r="DJ24"/>
      <c s="391" r="DK24"/>
      <c s="391" r="DL24"/>
      <c s="391" r="DM24"/>
      <c s="391" r="DN24"/>
      <c s="391" r="DO24"/>
      <c s="391" r="DP24"/>
      <c s="391" r="DQ24"/>
      <c s="391" r="DR24"/>
      <c s="551" r="DS24"/>
      <c s="551" r="DT24"/>
      <c s="551" r="DU24"/>
      <c s="551" r="DV24"/>
      <c s="551" r="DW24"/>
      <c s="551" r="DX24"/>
      <c s="812" r="DY24"/>
      <c s="388" r="DZ24"/>
      <c s="908" r="EA24"/>
      <c s="551" r="EB24"/>
      <c s="551" r="EC24"/>
      <c s="551" r="ED24"/>
      <c s="391" r="EE24"/>
      <c s="391" r="EF24"/>
      <c s="391" r="EG24"/>
      <c s="391" r="EH24"/>
      <c s="391" r="EI24"/>
      <c s="391" r="EJ24"/>
      <c s="391" r="EK24"/>
      <c s="391" r="EL24"/>
      <c s="391" r="EM24"/>
      <c s="391" r="EN24"/>
      <c s="391" r="EO24"/>
      <c s="391" r="EP24"/>
      <c s="551" r="EQ24"/>
      <c s="551" r="ER24"/>
      <c s="551" r="ES24"/>
      <c s="551" r="ET24"/>
      <c s="551" r="EU24"/>
      <c s="551" r="EV24"/>
      <c s="812" r="EW24"/>
      <c s="388" r="EX24"/>
      <c s="908" r="EY24"/>
      <c s="551" r="EZ24"/>
      <c s="551" r="FA24"/>
      <c s="551" r="FB24"/>
      <c s="391" r="FC24"/>
      <c s="391" r="FD24"/>
      <c s="391" r="FE24"/>
      <c s="391" r="FF24"/>
      <c s="391" r="FG24"/>
      <c s="391" r="FH24"/>
      <c s="391" r="FI24"/>
      <c s="391" r="FJ24"/>
      <c s="391" r="FK24"/>
      <c s="391" r="FL24"/>
      <c s="391" r="FM24"/>
      <c s="391" r="FN24"/>
      <c s="551" r="FO24"/>
      <c s="551" r="FP24"/>
      <c s="551" r="FQ24"/>
      <c s="551" r="FR24"/>
      <c s="551" r="FS24"/>
      <c s="551" r="FT24"/>
      <c s="812" r="FU24"/>
      <c s="222" r="FV24"/>
      <c s="125" r="FW24"/>
      <c s="125" r="FX24"/>
      <c s="125" r="FY24"/>
      <c s="125" r="FZ24"/>
      <c s="125" r="GA24"/>
      <c s="125" r="GB24"/>
      <c s="125" r="GC24"/>
      <c s="125" r="GD24"/>
      <c s="125" r="GE24"/>
      <c s="125" r="GF24"/>
      <c s="125" r="GG24"/>
      <c s="125" r="GH24"/>
      <c s="125" r="GI24"/>
      <c s="125" r="GJ24"/>
      <c s="125" r="GK24"/>
      <c s="125" r="GL24"/>
      <c s="125" r="GM24"/>
      <c s="125" r="GN24"/>
      <c s="125" r="GO24"/>
      <c s="125" r="GP24"/>
      <c s="125" r="GQ24"/>
      <c s="125" r="GR24"/>
      <c s="125" r="GS24"/>
      <c s="125" r="GT24"/>
      <c s="125" r="GU24"/>
      <c s="125" r="GV24"/>
      <c s="125" r="GW24"/>
      <c s="125" r="GX24"/>
      <c s="125" r="GY24"/>
      <c s="125" r="GZ24"/>
      <c s="125" r="HA24"/>
      <c s="125" r="HB24"/>
    </row>
    <row customHeight="1" r="25" ht="14.25">
      <c s="822" r="A25"/>
      <c s="406" r="B25"/>
      <c s="886" r="C25"/>
      <c s="886" r="D25"/>
      <c s="566" r="E25"/>
      <c s="886" r="F25"/>
      <c s="886" r="G25"/>
      <c s="886" r="H25"/>
      <c s="418" r="I25"/>
      <c s="702" r="J25"/>
      <c s="908" r="K25"/>
      <c t="s" s="194" r="L25">
        <v>561</v>
      </c>
      <c s="414" r="M25"/>
      <c s="3" r="N25"/>
      <c s="391" r="O25"/>
      <c t="s" s="194" r="P25">
        <v>562</v>
      </c>
      <c s="478" r="Q25"/>
      <c s="478" r="R25"/>
      <c s="522" r="S25"/>
      <c t="s" s="194" r="T25">
        <v>563</v>
      </c>
      <c s="3" r="U25"/>
      <c s="414" r="V25"/>
      <c s="551" r="W25"/>
      <c s="551" r="X25"/>
      <c s="551" r="Y25"/>
      <c s="551" r="Z25"/>
      <c s="551" r="AA25"/>
      <c s="551" r="AB25"/>
      <c s="551" r="AC25"/>
      <c s="551" r="AD25"/>
      <c s="551" r="AE25"/>
      <c s="551" r="AF25"/>
      <c s="812" r="AG25"/>
      <c s="388" r="AH25"/>
      <c s="908" r="AI25"/>
      <c t="s" s="194" r="AJ25">
        <v>561</v>
      </c>
      <c s="414" r="AK25"/>
      <c s="3" r="AL25"/>
      <c s="391" r="AM25"/>
      <c t="s" s="194" r="AN25">
        <v>562</v>
      </c>
      <c s="478" r="AO25"/>
      <c s="478" r="AP25"/>
      <c s="522" r="AQ25"/>
      <c t="s" s="194" r="AR25">
        <v>563</v>
      </c>
      <c s="3" r="AS25"/>
      <c s="414" r="AT25"/>
      <c s="551" r="AU25"/>
      <c s="551" r="AV25"/>
      <c s="551" r="AW25"/>
      <c s="551" r="AX25"/>
      <c s="551" r="AY25"/>
      <c s="551" r="AZ25"/>
      <c s="551" r="BA25"/>
      <c s="551" r="BB25"/>
      <c s="551" r="BC25"/>
      <c s="551" r="BD25"/>
      <c s="812" r="BE25"/>
      <c s="388" r="BF25"/>
      <c s="908" r="BG25"/>
      <c t="s" s="194" r="BH25">
        <v>561</v>
      </c>
      <c s="414" r="BI25"/>
      <c s="3" r="BJ25"/>
      <c s="391" r="BK25"/>
      <c t="s" s="194" r="BL25">
        <v>562</v>
      </c>
      <c s="478" r="BM25"/>
      <c s="478" r="BN25"/>
      <c s="522" r="BO25"/>
      <c t="s" s="194" r="BP25">
        <v>563</v>
      </c>
      <c s="3" r="BQ25"/>
      <c s="414" r="BR25"/>
      <c s="551" r="BS25"/>
      <c s="551" r="BT25"/>
      <c s="551" r="BU25"/>
      <c s="551" r="BV25"/>
      <c s="551" r="BW25"/>
      <c s="551" r="BX25"/>
      <c s="551" r="BY25"/>
      <c s="551" r="BZ25"/>
      <c s="551" r="CA25"/>
      <c s="551" r="CB25"/>
      <c s="812" r="CC25"/>
      <c s="388" r="CD25"/>
      <c s="908" r="CE25"/>
      <c t="s" s="194" r="CF25">
        <v>561</v>
      </c>
      <c s="414" r="CG25"/>
      <c s="3" r="CH25"/>
      <c s="391" r="CI25"/>
      <c t="s" s="194" r="CJ25">
        <v>562</v>
      </c>
      <c s="478" r="CK25"/>
      <c s="478" r="CL25"/>
      <c s="522" r="CM25"/>
      <c t="s" s="194" r="CN25">
        <v>563</v>
      </c>
      <c s="3" r="CO25"/>
      <c s="414" r="CP25"/>
      <c s="551" r="CQ25"/>
      <c s="551" r="CR25"/>
      <c s="551" r="CS25"/>
      <c s="551" r="CT25"/>
      <c s="551" r="CU25"/>
      <c s="551" r="CV25"/>
      <c s="551" r="CW25"/>
      <c s="551" r="CX25"/>
      <c s="551" r="CY25"/>
      <c s="551" r="CZ25"/>
      <c s="812" r="DA25"/>
      <c s="388" r="DB25"/>
      <c s="908" r="DC25"/>
      <c t="s" s="194" r="DD25">
        <v>561</v>
      </c>
      <c s="414" r="DE25"/>
      <c s="3" r="DF25"/>
      <c s="391" r="DG25"/>
      <c t="s" s="194" r="DH25">
        <v>562</v>
      </c>
      <c s="478" r="DI25"/>
      <c s="478" r="DJ25"/>
      <c s="522" r="DK25"/>
      <c t="s" s="194" r="DL25">
        <v>563</v>
      </c>
      <c s="3" r="DM25"/>
      <c s="414" r="DN25"/>
      <c s="551" r="DO25"/>
      <c s="551" r="DP25"/>
      <c s="551" r="DQ25"/>
      <c s="551" r="DR25"/>
      <c s="551" r="DS25"/>
      <c s="551" r="DT25"/>
      <c s="551" r="DU25"/>
      <c s="551" r="DV25"/>
      <c s="551" r="DW25"/>
      <c s="551" r="DX25"/>
      <c s="812" r="DY25"/>
      <c s="388" r="DZ25"/>
      <c s="908" r="EA25"/>
      <c t="s" s="194" r="EB25">
        <v>561</v>
      </c>
      <c s="414" r="EC25"/>
      <c s="3" r="ED25"/>
      <c s="391" r="EE25"/>
      <c t="s" s="194" r="EF25">
        <v>562</v>
      </c>
      <c s="478" r="EG25"/>
      <c s="478" r="EH25"/>
      <c s="522" r="EI25"/>
      <c t="s" s="194" r="EJ25">
        <v>563</v>
      </c>
      <c s="3" r="EK25"/>
      <c s="414" r="EL25"/>
      <c s="551" r="EM25"/>
      <c s="551" r="EN25"/>
      <c s="551" r="EO25"/>
      <c s="551" r="EP25"/>
      <c s="551" r="EQ25"/>
      <c s="551" r="ER25"/>
      <c s="551" r="ES25"/>
      <c s="551" r="ET25"/>
      <c s="551" r="EU25"/>
      <c s="551" r="EV25"/>
      <c s="812" r="EW25"/>
      <c s="388" r="EX25"/>
      <c s="908" r="EY25"/>
      <c t="s" s="194" r="EZ25">
        <v>561</v>
      </c>
      <c s="414" r="FA25"/>
      <c s="3" r="FB25"/>
      <c s="391" r="FC25"/>
      <c t="s" s="194" r="FD25">
        <v>562</v>
      </c>
      <c s="478" r="FE25"/>
      <c s="478" r="FF25"/>
      <c s="522" r="FG25"/>
      <c t="s" s="194" r="FH25">
        <v>563</v>
      </c>
      <c s="3" r="FI25"/>
      <c s="414" r="FJ25"/>
      <c s="551" r="FK25"/>
      <c s="551" r="FL25"/>
      <c s="551" r="FM25"/>
      <c s="551" r="FN25"/>
      <c s="551" r="FO25"/>
      <c s="551" r="FP25"/>
      <c s="551" r="FQ25"/>
      <c s="551" r="FR25"/>
      <c s="551" r="FS25"/>
      <c s="551" r="FT25"/>
      <c s="812" r="FU25"/>
      <c s="222" r="FV25"/>
      <c s="125" r="FW25"/>
      <c s="125" r="FX25"/>
      <c s="125" r="FY25"/>
      <c s="125" r="FZ25"/>
      <c s="125" r="GA25"/>
      <c s="125" r="GB25"/>
      <c s="125" r="GC25"/>
      <c s="125" r="GD25"/>
      <c s="125" r="GE25"/>
      <c s="125" r="GF25"/>
      <c s="125" r="GG25"/>
      <c s="125" r="GH25"/>
      <c s="125" r="GI25"/>
      <c s="125" r="GJ25"/>
      <c s="125" r="GK25"/>
      <c s="125" r="GL25"/>
      <c s="125" r="GM25"/>
      <c s="125" r="GN25"/>
      <c s="125" r="GO25"/>
      <c s="125" r="GP25"/>
      <c s="125" r="GQ25"/>
      <c s="125" r="GR25"/>
      <c s="125" r="GS25"/>
      <c s="125" r="GT25"/>
      <c s="125" r="GU25"/>
      <c s="125" r="GV25"/>
      <c s="125" r="GW25"/>
      <c s="125" r="GX25"/>
      <c s="125" r="GY25"/>
      <c s="125" r="GZ25"/>
      <c s="125" r="HA25"/>
      <c s="125" r="HB25"/>
    </row>
    <row r="26">
      <c s="822" r="A26"/>
      <c s="367" r="B26"/>
      <c s="861" r="C26"/>
      <c t="s" s="836" r="D26">
        <v>564</v>
      </c>
      <c s="458" r="E26"/>
      <c s="309" r="F26"/>
      <c s="861" r="G26"/>
      <c s="861" r="H26"/>
      <c s="418" r="I26"/>
      <c s="702" r="J26"/>
      <c s="908" r="K26"/>
      <c s="485" r="L26">
        <f>IF(ISNUMBER(AA44),SUM(AC47:AC146),0)</f>
        <v>0</v>
      </c>
      <c t="str" s="693" r="M26">
        <f>IF((V148=2),"x-section area (m.sq.)","x-section area (ft.sq.)")</f>
        <v>x-section area (ft.sq.)</v>
      </c>
      <c s="640" r="N26"/>
      <c s="551" r="O26"/>
      <c t="str" s="485" r="P26">
        <f>IF(ISNUMBER(N60),N60,IF(ISNUMBER(O60),IF((AE46&gt;=2),IF((AE44&gt;=2),O60,"---"),"---"),"---"))</f>
        <v>---</v>
      </c>
      <c t="str" s="693" r="Q26">
        <f>IF((V148=2),"W flood prone area (m)","W flood prone area (ft)")</f>
        <v>W flood prone area (ft)</v>
      </c>
      <c s="368" r="R26"/>
      <c s="391" r="S26"/>
      <c t="str" s="736" r="T26">
        <f>IF(ISNUMBER(Materials!$E50),Materials!$E50,"---")</f>
        <v>---</v>
      </c>
      <c t="str" s="183" r="U26">
        <f>("D50 "&amp;Materials!$E$46)&amp;" (mm)"</f>
        <v>D50  (mm)</v>
      </c>
      <c s="640" r="V26"/>
      <c s="551" r="W26"/>
      <c s="551" r="X26"/>
      <c s="551" r="Y26"/>
      <c s="551" r="Z26"/>
      <c s="551" r="AA26"/>
      <c s="551" r="AB26"/>
      <c s="551" r="AC26"/>
      <c s="551" r="AD26"/>
      <c s="551" r="AE26"/>
      <c s="551" r="AF26"/>
      <c s="812" r="AG26"/>
      <c s="388" r="AH26"/>
      <c s="908" r="AI26"/>
      <c s="485" r="AJ26">
        <f>IF(ISNUMBER(AY44),SUM(BA47:BA146),0)</f>
        <v>0</v>
      </c>
      <c t="str" s="693" r="AK26">
        <f>IF((AT148=2),"x-section area (m.sq.)","x-section area (ft.sq.)")</f>
        <v>x-section area (ft.sq.)</v>
      </c>
      <c s="640" r="AL26"/>
      <c s="551" r="AM26"/>
      <c t="str" s="485" r="AN26">
        <f>IF(ISNUMBER(AL60),AL60,IF(ISNUMBER(AM60),IF((BC46&gt;=2),IF((BC44&gt;=2),AM60,"---"),"---"),"---"))</f>
        <v>---</v>
      </c>
      <c t="str" s="693" r="AO26">
        <f>IF((AT148=2),"W flood prone area (m)","W flood prone area (ft)")</f>
        <v>W flood prone area (ft)</v>
      </c>
      <c s="368" r="AP26"/>
      <c s="391" r="AQ26"/>
      <c t="str" s="736" r="AR26">
        <f>IF(ISNUMBER(Materials!$E50),Materials!$E50,"---")</f>
        <v>---</v>
      </c>
      <c t="str" s="183" r="AS26">
        <f>("D50 "&amp;Materials!$E$46)&amp;" (mm)"</f>
        <v>D50  (mm)</v>
      </c>
      <c s="640" r="AT26"/>
      <c s="551" r="AU26"/>
      <c s="551" r="AV26"/>
      <c s="551" r="AW26"/>
      <c s="551" r="AX26"/>
      <c s="551" r="AY26"/>
      <c s="551" r="AZ26"/>
      <c s="551" r="BA26"/>
      <c s="551" r="BB26"/>
      <c s="551" r="BC26"/>
      <c s="551" r="BD26"/>
      <c s="812" r="BE26"/>
      <c s="388" r="BF26"/>
      <c s="908" r="BG26"/>
      <c s="485" r="BH26">
        <f>IF(ISNUMBER(BW44),SUM(BY47:BY146),0)</f>
        <v>0</v>
      </c>
      <c t="str" s="693" r="BI26">
        <f>IF((BR148=2),"x-section area (m.sq.)","x-section area (ft.sq.)")</f>
        <v>x-section area (ft.sq.)</v>
      </c>
      <c s="640" r="BJ26"/>
      <c s="551" r="BK26"/>
      <c t="str" s="485" r="BL26">
        <f>IF(ISNUMBER(BJ60),BJ60,IF(ISNUMBER(BK60),IF((CA46&gt;=2),IF((CA44&gt;=2),BK60,"---"),"---"),"---"))</f>
        <v>---</v>
      </c>
      <c t="str" s="693" r="BM26">
        <f>IF((BR148=2),"W flood prone area (m)","W flood prone area (ft)")</f>
        <v>W flood prone area (ft)</v>
      </c>
      <c s="368" r="BN26"/>
      <c s="391" r="BO26"/>
      <c t="str" s="736" r="BP26">
        <f>IF(ISNUMBER(Materials!$E50),Materials!$E50,"---")</f>
        <v>---</v>
      </c>
      <c t="str" s="183" r="BQ26">
        <f>("D50 "&amp;Materials!$E$46)&amp;" (mm)"</f>
        <v>D50  (mm)</v>
      </c>
      <c s="640" r="BR26"/>
      <c s="551" r="BS26"/>
      <c s="551" r="BT26"/>
      <c s="551" r="BU26"/>
      <c s="551" r="BV26"/>
      <c s="551" r="BW26"/>
      <c s="551" r="BX26"/>
      <c s="551" r="BY26"/>
      <c s="551" r="BZ26"/>
      <c s="551" r="CA26"/>
      <c s="551" r="CB26"/>
      <c s="812" r="CC26"/>
      <c s="388" r="CD26"/>
      <c s="908" r="CE26"/>
      <c s="485" r="CF26">
        <f>IF(ISNUMBER(CU44),SUM(CW47:CW146),0)</f>
        <v>0</v>
      </c>
      <c t="str" s="693" r="CG26">
        <f>IF((CP148=2),"x-section area (m.sq.)","x-section area (ft.sq.)")</f>
        <v>x-section area (ft.sq.)</v>
      </c>
      <c s="640" r="CH26"/>
      <c s="551" r="CI26"/>
      <c t="str" s="485" r="CJ26">
        <f>IF(ISNUMBER(CH60),CH60,IF(ISNUMBER(CI60),IF((CY46&gt;=2),IF((CY44&gt;=2),CI60,"---"),"---"),"---"))</f>
        <v>---</v>
      </c>
      <c t="str" s="693" r="CK26">
        <f>IF((CP148=2),"W flood prone area (m)","W flood prone area (ft)")</f>
        <v>W flood prone area (ft)</v>
      </c>
      <c s="368" r="CL26"/>
      <c s="391" r="CM26"/>
      <c t="str" s="736" r="CN26">
        <f>IF(ISNUMBER(Materials!$E50),Materials!$E50,"---")</f>
        <v>---</v>
      </c>
      <c t="str" s="183" r="CO26">
        <f>("D50 "&amp;Materials!$E$46)&amp;" (mm)"</f>
        <v>D50  (mm)</v>
      </c>
      <c s="640" r="CP26"/>
      <c s="551" r="CQ26"/>
      <c s="551" r="CR26"/>
      <c s="551" r="CS26"/>
      <c s="551" r="CT26"/>
      <c s="551" r="CU26"/>
      <c s="551" r="CV26"/>
      <c s="551" r="CW26"/>
      <c s="551" r="CX26"/>
      <c s="551" r="CY26"/>
      <c s="551" r="CZ26"/>
      <c s="812" r="DA26"/>
      <c s="388" r="DB26"/>
      <c s="908" r="DC26"/>
      <c s="485" r="DD26">
        <f>IF(ISNUMBER(DS44),SUM(DU47:DU146),0)</f>
        <v>0</v>
      </c>
      <c t="str" s="693" r="DE26">
        <f>IF((DN148=2),"x-section area (m.sq.)","x-section area (ft.sq.)")</f>
        <v>x-section area (ft.sq.)</v>
      </c>
      <c s="640" r="DF26"/>
      <c s="551" r="DG26"/>
      <c t="str" s="485" r="DH26">
        <f>IF(ISNUMBER(DF60),DF60,IF(ISNUMBER(DG60),IF((DW46&gt;=2),IF((DW44&gt;=2),DG60,"---"),"---"),"---"))</f>
        <v>---</v>
      </c>
      <c t="str" s="693" r="DI26">
        <f>IF((DN148=2),"W flood prone area (m)","W flood prone area (ft)")</f>
        <v>W flood prone area (ft)</v>
      </c>
      <c s="368" r="DJ26"/>
      <c s="391" r="DK26"/>
      <c t="str" s="736" r="DL26">
        <f>IF(ISNUMBER(Materials!$E50),Materials!$E50,"---")</f>
        <v>---</v>
      </c>
      <c t="str" s="183" r="DM26">
        <f>("D50 "&amp;Materials!$E$46)&amp;" (mm)"</f>
        <v>D50  (mm)</v>
      </c>
      <c s="640" r="DN26"/>
      <c s="551" r="DO26"/>
      <c s="551" r="DP26"/>
      <c s="551" r="DQ26"/>
      <c s="551" r="DR26"/>
      <c s="551" r="DS26"/>
      <c s="551" r="DT26"/>
      <c s="551" r="DU26"/>
      <c s="551" r="DV26"/>
      <c s="551" r="DW26"/>
      <c s="551" r="DX26"/>
      <c s="812" r="DY26"/>
      <c s="388" r="DZ26"/>
      <c s="908" r="EA26"/>
      <c s="485" r="EB26">
        <f>IF(ISNUMBER(EQ44),SUM(ES47:ES146),0)</f>
        <v>0</v>
      </c>
      <c t="str" s="693" r="EC26">
        <f>IF((EL148=2),"x-section area (m.sq.)","x-section area (ft.sq.)")</f>
        <v>x-section area (ft.sq.)</v>
      </c>
      <c s="640" r="ED26"/>
      <c s="551" r="EE26"/>
      <c t="str" s="485" r="EF26">
        <f>IF(ISNUMBER(ED60),ED60,IF(ISNUMBER(EE60),IF((EU46&gt;=2),IF((EU44&gt;=2),EE60,"---"),"---"),"---"))</f>
        <v>---</v>
      </c>
      <c t="str" s="693" r="EG26">
        <f>IF((EL148=2),"W flood prone area (m)","W flood prone area (ft)")</f>
        <v>W flood prone area (ft)</v>
      </c>
      <c s="368" r="EH26"/>
      <c s="391" r="EI26"/>
      <c t="str" s="736" r="EJ26">
        <f>IF(ISNUMBER(Materials!$E50),Materials!$E50,"---")</f>
        <v>---</v>
      </c>
      <c t="str" s="183" r="EK26">
        <f>("D50 "&amp;Materials!$E$46)&amp;" (mm)"</f>
        <v>D50  (mm)</v>
      </c>
      <c s="640" r="EL26"/>
      <c s="551" r="EM26"/>
      <c s="551" r="EN26"/>
      <c s="551" r="EO26"/>
      <c s="551" r="EP26"/>
      <c s="551" r="EQ26"/>
      <c s="551" r="ER26"/>
      <c s="551" r="ES26"/>
      <c s="551" r="ET26"/>
      <c s="551" r="EU26"/>
      <c s="551" r="EV26"/>
      <c s="812" r="EW26"/>
      <c s="388" r="EX26"/>
      <c s="908" r="EY26"/>
      <c s="485" r="EZ26">
        <f>IF(ISNUMBER(FO44),SUM(FQ47:FQ146),0)</f>
        <v>0</v>
      </c>
      <c t="str" s="693" r="FA26">
        <f>IF((FJ148=2),"x-section area (m.sq.)","x-section area (ft.sq.)")</f>
        <v>x-section area (ft.sq.)</v>
      </c>
      <c s="640" r="FB26"/>
      <c s="551" r="FC26"/>
      <c t="str" s="485" r="FD26">
        <f>IF(ISNUMBER(FB60),FB60,IF(ISNUMBER(FC60),IF((FS46&gt;=2),IF((FS44&gt;=2),FC60,"---"),"---"),"---"))</f>
        <v>---</v>
      </c>
      <c t="str" s="693" r="FE26">
        <f>IF((FJ148=2),"W flood prone area (m)","W flood prone area (ft)")</f>
        <v>W flood prone area (ft)</v>
      </c>
      <c s="368" r="FF26"/>
      <c s="391" r="FG26"/>
      <c t="str" s="736" r="FH26">
        <f>IF(ISNUMBER(Materials!$E50),Materials!$E50,"---")</f>
        <v>---</v>
      </c>
      <c t="str" s="183" r="FI26">
        <f>("D50 "&amp;Materials!$E$46)&amp;" (mm)"</f>
        <v>D50  (mm)</v>
      </c>
      <c s="640" r="FJ26"/>
      <c s="551" r="FK26"/>
      <c s="551" r="FL26"/>
      <c s="551" r="FM26"/>
      <c s="551" r="FN26"/>
      <c s="551" r="FO26"/>
      <c s="551" r="FP26"/>
      <c s="551" r="FQ26"/>
      <c s="551" r="FR26"/>
      <c s="551" r="FS26"/>
      <c s="551" r="FT26"/>
      <c s="812" r="FU26"/>
      <c s="222" r="FV26"/>
      <c s="125" r="FW26"/>
      <c s="125" r="FX26"/>
      <c s="125" r="FY26"/>
      <c s="125" r="FZ26"/>
      <c s="125" r="GA26"/>
      <c s="125" r="GB26"/>
      <c s="125" r="GC26"/>
      <c s="125" r="GD26"/>
      <c s="125" r="GE26"/>
      <c s="125" r="GF26"/>
      <c s="125" r="GG26"/>
      <c s="125" r="GH26"/>
      <c s="125" r="GI26"/>
      <c s="125" r="GJ26"/>
      <c s="125" r="GK26"/>
      <c s="125" r="GL26"/>
      <c s="125" r="GM26"/>
      <c s="125" r="GN26"/>
      <c s="125" r="GO26"/>
      <c s="125" r="GP26"/>
      <c s="125" r="GQ26"/>
      <c s="125" r="GR26"/>
      <c s="125" r="GS26"/>
      <c s="125" r="GT26"/>
      <c s="125" r="GU26"/>
      <c s="125" r="GV26"/>
      <c s="125" r="GW26"/>
      <c s="125" r="GX26"/>
      <c s="125" r="GY26"/>
      <c s="125" r="GZ26"/>
      <c s="125" r="HA26"/>
      <c s="125" r="HB26"/>
    </row>
    <row r="27">
      <c s="822" r="A27"/>
      <c s="406" r="B27"/>
      <c s="886" r="C27"/>
      <c s="886" r="D27"/>
      <c t="str" s="100" r="E27">
        <f>'Dimension Estimated Values'!S5</f>
        <v>#VALUE!:cantParseText:---</v>
      </c>
      <c s="886" r="F27"/>
      <c s="886" r="G27"/>
      <c s="886" r="H27"/>
      <c s="418" r="I27"/>
      <c s="702" r="J27"/>
      <c s="908" r="K27"/>
      <c s="286" r="L27">
        <f>IF(ISNUMBER(AA44),SUM(AB47:AB146),0)</f>
        <v>0</v>
      </c>
      <c t="str" s="472" r="M27">
        <f>IF((V148=2),"width (m)","width (ft)")</f>
        <v>width (ft)</v>
      </c>
      <c s="551" r="N27"/>
      <c s="551" r="O27"/>
      <c t="str" s="286" r="P27">
        <f>IF((L27&lt;&gt;0),IF(ISNUMBER(P26),(P26/L27),"---"),"---")</f>
        <v>---</v>
      </c>
      <c t="s" s="677" r="Q27">
        <v>82</v>
      </c>
      <c s="391" r="R27"/>
      <c s="391" r="S27"/>
      <c t="str" s="52" r="T27">
        <f>IF(ISNUMBER(Materials!$E52),Materials!$E52,"---")</f>
        <v>---</v>
      </c>
      <c t="str" s="227" r="U27">
        <f>("D84 "&amp;Materials!$E$46)&amp;" (mm)"</f>
        <v>D84  (mm)</v>
      </c>
      <c s="551" r="V27"/>
      <c s="551" r="W27"/>
      <c s="551" r="X27"/>
      <c s="551" r="Y27"/>
      <c s="551" r="Z27"/>
      <c s="551" r="AA27"/>
      <c s="551" r="AB27"/>
      <c s="551" r="AC27"/>
      <c s="551" r="AD27"/>
      <c s="551" r="AE27"/>
      <c s="551" r="AF27"/>
      <c s="812" r="AG27"/>
      <c s="388" r="AH27"/>
      <c s="908" r="AI27"/>
      <c s="286" r="AJ27">
        <f>IF(ISNUMBER(AY44),SUM(AZ47:AZ146),0)</f>
        <v>0</v>
      </c>
      <c t="str" s="472" r="AK27">
        <f>IF((AT148=2),"width (m)","width (ft)")</f>
        <v>width (ft)</v>
      </c>
      <c s="551" r="AL27"/>
      <c s="551" r="AM27"/>
      <c t="str" s="286" r="AN27">
        <f>IF((AJ27&lt;&gt;0),IF(ISNUMBER(AN26),(AN26/AJ27),"---"),"---")</f>
        <v>---</v>
      </c>
      <c t="s" s="677" r="AO27">
        <v>82</v>
      </c>
      <c s="391" r="AP27"/>
      <c s="391" r="AQ27"/>
      <c t="str" s="52" r="AR27">
        <f>IF(ISNUMBER(Materials!$E52),Materials!$E52,"---")</f>
        <v>---</v>
      </c>
      <c t="str" s="227" r="AS27">
        <f>("D84 "&amp;Materials!$E$46)&amp;" (mm)"</f>
        <v>D84  (mm)</v>
      </c>
      <c s="551" r="AT27"/>
      <c s="551" r="AU27"/>
      <c s="551" r="AV27"/>
      <c s="551" r="AW27"/>
      <c s="551" r="AX27"/>
      <c s="551" r="AY27"/>
      <c s="551" r="AZ27"/>
      <c s="551" r="BA27"/>
      <c s="551" r="BB27"/>
      <c s="551" r="BC27"/>
      <c s="551" r="BD27"/>
      <c s="812" r="BE27"/>
      <c s="388" r="BF27"/>
      <c s="908" r="BG27"/>
      <c s="286" r="BH27">
        <f>IF(ISNUMBER(BW44),SUM(BX47:BX146),0)</f>
        <v>0</v>
      </c>
      <c t="str" s="472" r="BI27">
        <f>IF((BR148=2),"width (m)","width (ft)")</f>
        <v>width (ft)</v>
      </c>
      <c s="551" r="BJ27"/>
      <c s="551" r="BK27"/>
      <c t="str" s="286" r="BL27">
        <f>IF((BH27&lt;&gt;0),IF(ISNUMBER(BL26),(BL26/BH27),"---"),"---")</f>
        <v>---</v>
      </c>
      <c t="s" s="677" r="BM27">
        <v>82</v>
      </c>
      <c s="391" r="BN27"/>
      <c s="391" r="BO27"/>
      <c t="str" s="52" r="BP27">
        <f>IF(ISNUMBER(Materials!$E52),Materials!$E52,"---")</f>
        <v>---</v>
      </c>
      <c t="str" s="227" r="BQ27">
        <f>("D84 "&amp;Materials!$E$46)&amp;" (mm)"</f>
        <v>D84  (mm)</v>
      </c>
      <c s="551" r="BR27"/>
      <c s="551" r="BS27"/>
      <c s="551" r="BT27"/>
      <c s="551" r="BU27"/>
      <c s="551" r="BV27"/>
      <c s="551" r="BW27"/>
      <c s="551" r="BX27"/>
      <c s="551" r="BY27"/>
      <c s="551" r="BZ27"/>
      <c s="551" r="CA27"/>
      <c s="551" r="CB27"/>
      <c s="812" r="CC27"/>
      <c s="388" r="CD27"/>
      <c s="908" r="CE27"/>
      <c s="286" r="CF27">
        <f>IF(ISNUMBER(CU44),SUM(CV47:CV146),0)</f>
        <v>0</v>
      </c>
      <c t="str" s="472" r="CG27">
        <f>IF((CP148=2),"width (m)","width (ft)")</f>
        <v>width (ft)</v>
      </c>
      <c s="551" r="CH27"/>
      <c s="551" r="CI27"/>
      <c t="str" s="286" r="CJ27">
        <f>IF((CF27&lt;&gt;0),IF(ISNUMBER(CJ26),(CJ26/CF27),"---"),"---")</f>
        <v>---</v>
      </c>
      <c t="s" s="677" r="CK27">
        <v>82</v>
      </c>
      <c s="391" r="CL27"/>
      <c s="391" r="CM27"/>
      <c t="str" s="52" r="CN27">
        <f>IF(ISNUMBER(Materials!$E52),Materials!$E52,"---")</f>
        <v>---</v>
      </c>
      <c t="str" s="227" r="CO27">
        <f>("D84 "&amp;Materials!$E$46)&amp;" (mm)"</f>
        <v>D84  (mm)</v>
      </c>
      <c s="551" r="CP27"/>
      <c s="551" r="CQ27"/>
      <c s="551" r="CR27"/>
      <c s="551" r="CS27"/>
      <c s="551" r="CT27"/>
      <c s="551" r="CU27"/>
      <c s="551" r="CV27"/>
      <c s="551" r="CW27"/>
      <c s="551" r="CX27"/>
      <c s="551" r="CY27"/>
      <c s="551" r="CZ27"/>
      <c s="812" r="DA27"/>
      <c s="388" r="DB27"/>
      <c s="908" r="DC27"/>
      <c s="286" r="DD27">
        <f>IF(ISNUMBER(DS44),SUM(DT47:DT146),0)</f>
        <v>0</v>
      </c>
      <c t="str" s="472" r="DE27">
        <f>IF((DN148=2),"width (m)","width (ft)")</f>
        <v>width (ft)</v>
      </c>
      <c s="551" r="DF27"/>
      <c s="551" r="DG27"/>
      <c t="str" s="286" r="DH27">
        <f>IF((DD27&lt;&gt;0),IF(ISNUMBER(DH26),(DH26/DD27),"---"),"---")</f>
        <v>---</v>
      </c>
      <c t="s" s="677" r="DI27">
        <v>82</v>
      </c>
      <c s="391" r="DJ27"/>
      <c s="391" r="DK27"/>
      <c t="str" s="52" r="DL27">
        <f>IF(ISNUMBER(Materials!$E52),Materials!$E52,"---")</f>
        <v>---</v>
      </c>
      <c t="str" s="227" r="DM27">
        <f>("D84 "&amp;Materials!$E$46)&amp;" (mm)"</f>
        <v>D84  (mm)</v>
      </c>
      <c s="551" r="DN27"/>
      <c s="551" r="DO27"/>
      <c s="551" r="DP27"/>
      <c s="551" r="DQ27"/>
      <c s="551" r="DR27"/>
      <c s="551" r="DS27"/>
      <c s="551" r="DT27"/>
      <c s="551" r="DU27"/>
      <c s="551" r="DV27"/>
      <c s="551" r="DW27"/>
      <c s="551" r="DX27"/>
      <c s="812" r="DY27"/>
      <c s="388" r="DZ27"/>
      <c s="908" r="EA27"/>
      <c s="286" r="EB27">
        <f>IF(ISNUMBER(EQ44),SUM(ER47:ER146),0)</f>
        <v>0</v>
      </c>
      <c t="str" s="472" r="EC27">
        <f>IF((EL148=2),"width (m)","width (ft)")</f>
        <v>width (ft)</v>
      </c>
      <c s="551" r="ED27"/>
      <c s="551" r="EE27"/>
      <c t="str" s="286" r="EF27">
        <f>IF((EB27&lt;&gt;0),IF(ISNUMBER(EF26),(EF26/EB27),"---"),"---")</f>
        <v>---</v>
      </c>
      <c t="s" s="677" r="EG27">
        <v>82</v>
      </c>
      <c s="391" r="EH27"/>
      <c s="391" r="EI27"/>
      <c t="str" s="52" r="EJ27">
        <f>IF(ISNUMBER(Materials!$E52),Materials!$E52,"---")</f>
        <v>---</v>
      </c>
      <c t="str" s="227" r="EK27">
        <f>("D84 "&amp;Materials!$E$46)&amp;" (mm)"</f>
        <v>D84  (mm)</v>
      </c>
      <c s="551" r="EL27"/>
      <c s="551" r="EM27"/>
      <c s="551" r="EN27"/>
      <c s="551" r="EO27"/>
      <c s="551" r="EP27"/>
      <c s="551" r="EQ27"/>
      <c s="551" r="ER27"/>
      <c s="551" r="ES27"/>
      <c s="551" r="ET27"/>
      <c s="551" r="EU27"/>
      <c s="551" r="EV27"/>
      <c s="812" r="EW27"/>
      <c s="388" r="EX27"/>
      <c s="908" r="EY27"/>
      <c s="286" r="EZ27">
        <f>IF(ISNUMBER(FO44),SUM(FP47:FP146),0)</f>
        <v>0</v>
      </c>
      <c t="str" s="472" r="FA27">
        <f>IF((FJ148=2),"width (m)","width (ft)")</f>
        <v>width (ft)</v>
      </c>
      <c s="551" r="FB27"/>
      <c s="551" r="FC27"/>
      <c t="str" s="286" r="FD27">
        <f>IF((EZ27&lt;&gt;0),IF(ISNUMBER(FD26),(FD26/EZ27),"---"),"---")</f>
        <v>---</v>
      </c>
      <c t="s" s="677" r="FE27">
        <v>82</v>
      </c>
      <c s="391" r="FF27"/>
      <c s="391" r="FG27"/>
      <c t="str" s="52" r="FH27">
        <f>IF(ISNUMBER(Materials!$E52),Materials!$E52,"---")</f>
        <v>---</v>
      </c>
      <c t="str" s="227" r="FI27">
        <f>("D84 "&amp;Materials!$E$46)&amp;" (mm)"</f>
        <v>D84  (mm)</v>
      </c>
      <c s="551" r="FJ27"/>
      <c s="551" r="FK27"/>
      <c s="551" r="FL27"/>
      <c s="551" r="FM27"/>
      <c s="551" r="FN27"/>
      <c s="551" r="FO27"/>
      <c s="551" r="FP27"/>
      <c s="551" r="FQ27"/>
      <c s="551" r="FR27"/>
      <c s="551" r="FS27"/>
      <c s="551" r="FT27"/>
      <c s="812" r="FU27"/>
      <c s="222" r="FV27"/>
      <c s="125" r="FW27"/>
      <c s="125" r="FX27"/>
      <c s="125" r="FY27"/>
      <c s="125" r="FZ27"/>
      <c s="125" r="GA27"/>
      <c s="125" r="GB27"/>
      <c s="125" r="GC27"/>
      <c s="125" r="GD27"/>
      <c s="125" r="GE27"/>
      <c s="125" r="GF27"/>
      <c s="125" r="GG27"/>
      <c s="125" r="GH27"/>
      <c s="125" r="GI27"/>
      <c s="125" r="GJ27"/>
      <c s="125" r="GK27"/>
      <c s="125" r="GL27"/>
      <c s="125" r="GM27"/>
      <c s="125" r="GN27"/>
      <c s="125" r="GO27"/>
      <c s="125" r="GP27"/>
      <c s="125" r="GQ27"/>
      <c s="125" r="GR27"/>
      <c s="125" r="GS27"/>
      <c s="125" r="GT27"/>
      <c s="125" r="GU27"/>
      <c s="125" r="GV27"/>
      <c s="125" r="GW27"/>
      <c s="125" r="GX27"/>
      <c s="125" r="GY27"/>
      <c s="125" r="GZ27"/>
      <c s="125" r="HA27"/>
      <c s="125" r="HB27"/>
    </row>
    <row r="28">
      <c s="822" r="A28"/>
      <c s="406" r="B28"/>
      <c s="886" r="C28"/>
      <c s="886" r="D28"/>
      <c s="566" r="E28"/>
      <c s="886" r="F28"/>
      <c s="566" r="G28"/>
      <c s="566" r="H28"/>
      <c s="418" r="I28"/>
      <c s="702" r="J28"/>
      <c s="908" r="K28"/>
      <c s="286" r="L28">
        <f>IF((L27&lt;&gt;0),(L26/L27),0)</f>
        <v>0</v>
      </c>
      <c t="str" s="472" r="M28">
        <f>IF((V148=2),"mean depth (m)","mean depth (ft)")</f>
        <v>mean depth (ft)</v>
      </c>
      <c s="551" r="N28"/>
      <c s="551" r="O28"/>
      <c t="str" s="286" r="P28">
        <f>IF(AND((L29&gt;0),ISNUMBER(AG45),ISNUMBER(AA44)),(L29+(AG45-AA44)),"---")</f>
        <v>---</v>
      </c>
      <c t="str" s="472" r="Q28">
        <f>IF((V148=2),"low bank height (m)","low bank height (ft)")</f>
        <v>low bank height (ft)</v>
      </c>
      <c s="391" r="R28"/>
      <c s="391" r="S28"/>
      <c t="str" s="758" r="T28">
        <f>IF(ISNUMBER(T36),IF((V148=2),((T36/(((2650-1000)*9.81)*0.06))*1000),((T36/(((5.15-1.94)*32.2)*0.06))*304.8)),"---")</f>
        <v>---</v>
      </c>
      <c t="s" s="472" r="U28">
        <v>565</v>
      </c>
      <c s="551" r="V28"/>
      <c s="551" r="W28"/>
      <c s="551" r="X28"/>
      <c s="551" r="Y28"/>
      <c s="551" r="Z28"/>
      <c s="551" r="AA28"/>
      <c s="551" r="AB28"/>
      <c s="551" r="AC28"/>
      <c s="551" r="AD28"/>
      <c s="551" r="AE28"/>
      <c s="551" r="AF28"/>
      <c s="812" r="AG28"/>
      <c t="s" s="388" r="AH28">
        <v>2</v>
      </c>
      <c s="908" r="AI28"/>
      <c s="286" r="AJ28">
        <f>IF((AJ27&lt;&gt;0),(AJ26/AJ27),0)</f>
        <v>0</v>
      </c>
      <c t="str" s="472" r="AK28">
        <f>IF((AT148=2),"mean depth (m)","mean depth (ft)")</f>
        <v>mean depth (ft)</v>
      </c>
      <c s="551" r="AL28"/>
      <c s="551" r="AM28"/>
      <c t="str" s="286" r="AN28">
        <f>IF(AND((AJ29&gt;0),ISNUMBER(BE45),ISNUMBER(AY44)),(AJ29+(BE45-AY44)),"---")</f>
        <v>---</v>
      </c>
      <c t="str" s="472" r="AO28">
        <f>IF((AT148=2),"low bank height (m)","low bank height (ft)")</f>
        <v>low bank height (ft)</v>
      </c>
      <c s="391" r="AP28"/>
      <c s="391" r="AQ28"/>
      <c t="str" s="758" r="AR28">
        <f>IF(ISNUMBER(AR36),IF((AT148=2),((AR36/(((2650-1000)*9.81)*0.06))*1000),((AR36/(((5.15-1.94)*32.2)*0.06))*304.8)),"---")</f>
        <v>---</v>
      </c>
      <c t="s" s="472" r="AS28">
        <v>565</v>
      </c>
      <c s="551" r="AT28"/>
      <c s="551" r="AU28"/>
      <c s="551" r="AV28"/>
      <c s="551" r="AW28"/>
      <c s="551" r="AX28"/>
      <c s="551" r="AY28"/>
      <c s="551" r="AZ28"/>
      <c s="551" r="BA28"/>
      <c s="551" r="BB28"/>
      <c s="551" r="BC28"/>
      <c s="551" r="BD28"/>
      <c s="812" r="BE28"/>
      <c s="388" r="BF28"/>
      <c s="908" r="BG28"/>
      <c s="286" r="BH28">
        <f>IF((BH27&lt;&gt;0),(BH26/BH27),0)</f>
        <v>0</v>
      </c>
      <c t="str" s="472" r="BI28">
        <f>IF((BR148=2),"mean depth (m)","mean depth (ft)")</f>
        <v>mean depth (ft)</v>
      </c>
      <c s="551" r="BJ28"/>
      <c s="551" r="BK28"/>
      <c t="str" s="286" r="BL28">
        <f>IF(AND((BH29&gt;0),ISNUMBER(CC45),ISNUMBER(BW44)),(BH29+(CC45-BW44)),"---")</f>
        <v>---</v>
      </c>
      <c t="str" s="472" r="BM28">
        <f>IF((BR148=2),"low bank height (m)","low bank height (ft)")</f>
        <v>low bank height (ft)</v>
      </c>
      <c s="391" r="BN28"/>
      <c s="391" r="BO28"/>
      <c t="str" s="758" r="BP28">
        <f>IF(ISNUMBER(BP36),IF((BR148=2),((BP36/(((2650-1000)*9.81)*0.06))*1000),((BP36/(((5.15-1.94)*32.2)*0.06))*304.8)),"---")</f>
        <v>---</v>
      </c>
      <c t="s" s="472" r="BQ28">
        <v>565</v>
      </c>
      <c s="551" r="BR28"/>
      <c s="551" r="BS28"/>
      <c s="551" r="BT28"/>
      <c s="551" r="BU28"/>
      <c s="551" r="BV28"/>
      <c s="551" r="BW28"/>
      <c s="551" r="BX28"/>
      <c s="551" r="BY28"/>
      <c s="551" r="BZ28"/>
      <c s="551" r="CA28"/>
      <c s="551" r="CB28"/>
      <c s="812" r="CC28"/>
      <c s="388" r="CD28"/>
      <c s="908" r="CE28"/>
      <c s="286" r="CF28">
        <f>IF((CF27&lt;&gt;0),(CF26/CF27),0)</f>
        <v>0</v>
      </c>
      <c t="str" s="472" r="CG28">
        <f>IF((CP148=2),"mean depth (m)","mean depth (ft)")</f>
        <v>mean depth (ft)</v>
      </c>
      <c s="551" r="CH28"/>
      <c s="551" r="CI28"/>
      <c t="str" s="286" r="CJ28">
        <f>IF(AND((CF29&gt;0),ISNUMBER(DA45),ISNUMBER(CU44)),(CF29+(DA45-CU44)),"---")</f>
        <v>---</v>
      </c>
      <c t="str" s="472" r="CK28">
        <f>IF((CP148=2),"low bank height (m)","low bank height (ft)")</f>
        <v>low bank height (ft)</v>
      </c>
      <c s="391" r="CL28"/>
      <c s="391" r="CM28"/>
      <c t="str" s="758" r="CN28">
        <f>IF(ISNUMBER(CN36),IF((CP148=2),((CN36/(((2650-1000)*9.81)*0.06))*1000),((CN36/(((5.15-1.94)*32.2)*0.06))*304.8)),"---")</f>
        <v>---</v>
      </c>
      <c t="s" s="472" r="CO28">
        <v>565</v>
      </c>
      <c s="551" r="CP28"/>
      <c s="551" r="CQ28"/>
      <c s="551" r="CR28"/>
      <c s="551" r="CS28"/>
      <c s="551" r="CT28"/>
      <c s="551" r="CU28"/>
      <c s="551" r="CV28"/>
      <c s="551" r="CW28"/>
      <c s="551" r="CX28"/>
      <c s="551" r="CY28"/>
      <c s="551" r="CZ28"/>
      <c s="812" r="DA28"/>
      <c s="388" r="DB28"/>
      <c s="908" r="DC28"/>
      <c s="286" r="DD28">
        <f>IF((DD27&lt;&gt;0),(DD26/DD27),0)</f>
        <v>0</v>
      </c>
      <c t="str" s="472" r="DE28">
        <f>IF((DN148=2),"mean depth (m)","mean depth (ft)")</f>
        <v>mean depth (ft)</v>
      </c>
      <c s="551" r="DF28"/>
      <c s="551" r="DG28"/>
      <c t="str" s="286" r="DH28">
        <f>IF(AND((DD29&gt;0),ISNUMBER(DY45),ISNUMBER(DS44)),(DD29+(DY45-DS44)),"---")</f>
        <v>---</v>
      </c>
      <c t="str" s="472" r="DI28">
        <f>IF((DN148=2),"low bank height (m)","low bank height (ft)")</f>
        <v>low bank height (ft)</v>
      </c>
      <c s="391" r="DJ28"/>
      <c s="391" r="DK28"/>
      <c t="str" s="758" r="DL28">
        <f>IF(ISNUMBER(DL36),IF((DN148=2),((DL36/(((2650-1000)*9.81)*0.06))*1000),((DL36/(((5.15-1.94)*32.2)*0.06))*304.8)),"---")</f>
        <v>---</v>
      </c>
      <c t="s" s="472" r="DM28">
        <v>565</v>
      </c>
      <c s="551" r="DN28"/>
      <c s="551" r="DO28"/>
      <c s="551" r="DP28"/>
      <c s="551" r="DQ28"/>
      <c s="551" r="DR28"/>
      <c s="551" r="DS28"/>
      <c s="551" r="DT28"/>
      <c s="551" r="DU28"/>
      <c s="551" r="DV28"/>
      <c s="551" r="DW28"/>
      <c s="551" r="DX28"/>
      <c s="812" r="DY28"/>
      <c s="388" r="DZ28"/>
      <c s="908" r="EA28"/>
      <c s="286" r="EB28">
        <f>IF((EB27&lt;&gt;0),(EB26/EB27),0)</f>
        <v>0</v>
      </c>
      <c t="str" s="472" r="EC28">
        <f>IF((EL148=2),"mean depth (m)","mean depth (ft)")</f>
        <v>mean depth (ft)</v>
      </c>
      <c s="551" r="ED28"/>
      <c s="551" r="EE28"/>
      <c t="str" s="286" r="EF28">
        <f>IF(AND((EB29&gt;0),ISNUMBER(EW45),ISNUMBER(EQ44)),(EB29+(EW45-EQ44)),"---")</f>
        <v>---</v>
      </c>
      <c t="str" s="472" r="EG28">
        <f>IF((EL148=2),"low bank height (m)","low bank height (ft)")</f>
        <v>low bank height (ft)</v>
      </c>
      <c s="391" r="EH28"/>
      <c s="391" r="EI28"/>
      <c t="str" s="758" r="EJ28">
        <f>IF(ISNUMBER(EJ36),IF((EL148=2),((EJ36/(((2650-1000)*9.81)*0.06))*1000),((EJ36/(((5.15-1.94)*32.2)*0.06))*304.8)),"---")</f>
        <v>---</v>
      </c>
      <c t="s" s="472" r="EK28">
        <v>565</v>
      </c>
      <c s="551" r="EL28"/>
      <c s="551" r="EM28"/>
      <c s="551" r="EN28"/>
      <c s="551" r="EO28"/>
      <c s="551" r="EP28"/>
      <c s="551" r="EQ28"/>
      <c s="551" r="ER28"/>
      <c s="551" r="ES28"/>
      <c s="551" r="ET28"/>
      <c s="551" r="EU28"/>
      <c s="551" r="EV28"/>
      <c s="812" r="EW28"/>
      <c s="388" r="EX28"/>
      <c s="908" r="EY28"/>
      <c s="286" r="EZ28">
        <f>IF((EZ27&lt;&gt;0),(EZ26/EZ27),0)</f>
        <v>0</v>
      </c>
      <c t="str" s="472" r="FA28">
        <f>IF((FJ148=2),"mean depth (m)","mean depth (ft)")</f>
        <v>mean depth (ft)</v>
      </c>
      <c s="551" r="FB28"/>
      <c s="551" r="FC28"/>
      <c t="str" s="286" r="FD28">
        <f>IF(AND((EZ29&gt;0),ISNUMBER(FU45),ISNUMBER(FO44)),(EZ29+(FU45-FO44)),"---")</f>
        <v>---</v>
      </c>
      <c t="str" s="472" r="FE28">
        <f>IF((FJ148=2),"low bank height (m)","low bank height (ft)")</f>
        <v>low bank height (ft)</v>
      </c>
      <c s="391" r="FF28"/>
      <c s="391" r="FG28"/>
      <c t="str" s="758" r="FH28">
        <f>IF(ISNUMBER(FH36),IF((FJ148=2),((FH36/(((2650-1000)*9.81)*0.06))*1000),((FH36/(((5.15-1.94)*32.2)*0.06))*304.8)),"---")</f>
        <v>---</v>
      </c>
      <c t="s" s="472" r="FI28">
        <v>565</v>
      </c>
      <c s="551" r="FJ28"/>
      <c s="551" r="FK28"/>
      <c s="551" r="FL28"/>
      <c s="551" r="FM28"/>
      <c s="551" r="FN28"/>
      <c s="551" r="FO28"/>
      <c s="551" r="FP28"/>
      <c s="551" r="FQ28"/>
      <c s="551" r="FR28"/>
      <c s="551" r="FS28"/>
      <c s="551" r="FT28"/>
      <c s="812" r="FU28"/>
      <c s="222" r="FV28"/>
      <c s="125" r="FW28"/>
      <c s="125" r="FX28"/>
      <c s="125" r="FY28"/>
      <c s="125" r="FZ28"/>
      <c s="125" r="GA28"/>
      <c s="125" r="GB28"/>
      <c s="125" r="GC28"/>
      <c s="125" r="GD28"/>
      <c s="125" r="GE28"/>
      <c s="125" r="GF28"/>
      <c s="125" r="GG28"/>
      <c s="125" r="GH28"/>
      <c s="125" r="GI28"/>
      <c s="125" r="GJ28"/>
      <c s="125" r="GK28"/>
      <c s="125" r="GL28"/>
      <c s="125" r="GM28"/>
      <c s="125" r="GN28"/>
      <c s="125" r="GO28"/>
      <c s="125" r="GP28"/>
      <c s="125" r="GQ28"/>
      <c s="125" r="GR28"/>
      <c s="125" r="GS28"/>
      <c s="125" r="GT28"/>
      <c s="125" r="GU28"/>
      <c s="125" r="GV28"/>
      <c s="125" r="GW28"/>
      <c s="125" r="GX28"/>
      <c s="125" r="GY28"/>
      <c s="125" r="GZ28"/>
      <c s="125" r="HA28"/>
      <c s="125" r="HB28"/>
    </row>
    <row r="29">
      <c s="822" r="A29"/>
      <c s="406" r="B29"/>
      <c s="886" r="C29"/>
      <c t="s" s="384" r="D29">
        <v>239</v>
      </c>
      <c s="458" r="E29"/>
      <c s="734" r="F29"/>
      <c s="458" r="G29"/>
      <c s="458" r="H29"/>
      <c s="734" r="I29"/>
      <c s="388" r="J29"/>
      <c s="908" r="K29"/>
      <c s="286" r="L29">
        <f>IF(ISNUMBER(AA44),IF((SUM(T46:T146)&lt;&gt;0),(AA44-MIN(Z46:Z146)),0),0)</f>
        <v>0</v>
      </c>
      <c t="str" s="472" r="M29">
        <f>IF((V148=2),"max depth (m)","max depth (ft)")</f>
        <v>max depth (ft)</v>
      </c>
      <c s="551" r="N29"/>
      <c t="s" s="551" r="O29">
        <v>2</v>
      </c>
      <c t="str" s="286" r="P29">
        <f>IF(ISNUMBER((P28/L29)),(P28/L29),"---")</f>
        <v>---</v>
      </c>
      <c t="s" s="472" r="Q29">
        <v>566</v>
      </c>
      <c s="391" r="R29"/>
      <c s="391" r="S29"/>
      <c s="551" r="T29"/>
      <c s="551" r="U29"/>
      <c s="551" r="V29"/>
      <c s="551" r="W29"/>
      <c s="551" r="X29"/>
      <c s="551" r="Y29"/>
      <c s="551" r="Z29"/>
      <c s="551" r="AA29"/>
      <c s="551" r="AB29"/>
      <c s="551" r="AC29"/>
      <c s="551" r="AD29"/>
      <c s="551" r="AE29"/>
      <c s="551" r="AF29"/>
      <c s="812" r="AG29"/>
      <c s="388" r="AH29"/>
      <c s="908" r="AI29"/>
      <c s="286" r="AJ29">
        <f>IF(ISNUMBER(AY44),IF((SUM(AR46:AR146)&lt;&gt;0),(AY44-MIN(AX46:AX146)),0),0)</f>
        <v>0</v>
      </c>
      <c t="str" s="472" r="AK29">
        <f>IF((AT148=2),"max depth (m)","max depth (ft)")</f>
        <v>max depth (ft)</v>
      </c>
      <c s="551" r="AL29"/>
      <c t="s" s="551" r="AM29">
        <v>2</v>
      </c>
      <c t="str" s="286" r="AN29">
        <f>IF(ISNUMBER((AN28/AJ29)),(AN28/AJ29),"---")</f>
        <v>---</v>
      </c>
      <c t="s" s="472" r="AO29">
        <v>566</v>
      </c>
      <c s="391" r="AP29"/>
      <c s="391" r="AQ29"/>
      <c s="551" r="AR29"/>
      <c s="551" r="AS29"/>
      <c s="551" r="AT29"/>
      <c s="551" r="AU29"/>
      <c s="551" r="AV29"/>
      <c s="551" r="AW29"/>
      <c s="551" r="AX29"/>
      <c s="551" r="AY29"/>
      <c s="551" r="AZ29"/>
      <c s="551" r="BA29"/>
      <c s="551" r="BB29"/>
      <c s="551" r="BC29"/>
      <c s="551" r="BD29"/>
      <c s="812" r="BE29"/>
      <c s="388" r="BF29"/>
      <c s="908" r="BG29"/>
      <c s="286" r="BH29">
        <f>IF(ISNUMBER(BW44),IF((SUM(BP46:BP146)&lt;&gt;0),(BW44-MIN(BV46:BV146)),0),0)</f>
        <v>0</v>
      </c>
      <c t="str" s="472" r="BI29">
        <f>IF((BR148=2),"max depth (m)","max depth (ft)")</f>
        <v>max depth (ft)</v>
      </c>
      <c s="551" r="BJ29"/>
      <c t="s" s="551" r="BK29">
        <v>2</v>
      </c>
      <c t="str" s="286" r="BL29">
        <f>IF(ISNUMBER((BL28/BH29)),(BL28/BH29),"---")</f>
        <v>---</v>
      </c>
      <c t="s" s="472" r="BM29">
        <v>566</v>
      </c>
      <c s="391" r="BN29"/>
      <c s="391" r="BO29"/>
      <c s="551" r="BP29"/>
      <c s="551" r="BQ29"/>
      <c s="551" r="BR29"/>
      <c s="551" r="BS29"/>
      <c s="551" r="BT29"/>
      <c s="551" r="BU29"/>
      <c s="551" r="BV29"/>
      <c s="551" r="BW29"/>
      <c s="551" r="BX29"/>
      <c s="551" r="BY29"/>
      <c s="551" r="BZ29"/>
      <c s="551" r="CA29"/>
      <c s="551" r="CB29"/>
      <c s="812" r="CC29"/>
      <c s="388" r="CD29"/>
      <c s="908" r="CE29"/>
      <c s="286" r="CF29">
        <f>IF(ISNUMBER(CU44),IF((SUM(CN46:CN146)&lt;&gt;0),(CU44-MIN(CT46:CT146)),0),0)</f>
        <v>0</v>
      </c>
      <c t="str" s="472" r="CG29">
        <f>IF((CP148=2),"max depth (m)","max depth (ft)")</f>
        <v>max depth (ft)</v>
      </c>
      <c s="551" r="CH29"/>
      <c t="s" s="551" r="CI29">
        <v>2</v>
      </c>
      <c t="str" s="286" r="CJ29">
        <f>IF(ISNUMBER((CJ28/CF29)),(CJ28/CF29),"---")</f>
        <v>---</v>
      </c>
      <c t="s" s="472" r="CK29">
        <v>566</v>
      </c>
      <c s="391" r="CL29"/>
      <c s="391" r="CM29"/>
      <c s="551" r="CN29"/>
      <c s="551" r="CO29"/>
      <c s="551" r="CP29"/>
      <c s="551" r="CQ29"/>
      <c s="551" r="CR29"/>
      <c s="551" r="CS29"/>
      <c s="551" r="CT29"/>
      <c s="551" r="CU29"/>
      <c s="551" r="CV29"/>
      <c s="551" r="CW29"/>
      <c s="551" r="CX29"/>
      <c s="551" r="CY29"/>
      <c s="551" r="CZ29"/>
      <c s="812" r="DA29"/>
      <c s="388" r="DB29"/>
      <c s="908" r="DC29"/>
      <c s="286" r="DD29">
        <f>IF(ISNUMBER(DS44),IF((SUM(DL46:DL146)&lt;&gt;0),(DS44-MIN(DR46:DR146)),0),0)</f>
        <v>0</v>
      </c>
      <c t="str" s="472" r="DE29">
        <f>IF((DN148=2),"max depth (m)","max depth (ft)")</f>
        <v>max depth (ft)</v>
      </c>
      <c s="551" r="DF29"/>
      <c t="s" s="551" r="DG29">
        <v>2</v>
      </c>
      <c t="str" s="286" r="DH29">
        <f>IF(ISNUMBER((DH28/DD29)),(DH28/DD29),"---")</f>
        <v>---</v>
      </c>
      <c t="s" s="472" r="DI29">
        <v>566</v>
      </c>
      <c s="391" r="DJ29"/>
      <c s="391" r="DK29"/>
      <c s="551" r="DL29"/>
      <c s="551" r="DM29"/>
      <c s="551" r="DN29"/>
      <c s="551" r="DO29"/>
      <c s="551" r="DP29"/>
      <c s="551" r="DQ29"/>
      <c s="551" r="DR29"/>
      <c s="551" r="DS29"/>
      <c s="551" r="DT29"/>
      <c s="551" r="DU29"/>
      <c s="551" r="DV29"/>
      <c s="551" r="DW29"/>
      <c s="551" r="DX29"/>
      <c s="812" r="DY29"/>
      <c s="388" r="DZ29"/>
      <c s="908" r="EA29"/>
      <c s="286" r="EB29">
        <f>IF(ISNUMBER(EQ44),IF((SUM(EJ46:EJ146)&lt;&gt;0),(EQ44-MIN(EP46:EP146)),0),0)</f>
        <v>0</v>
      </c>
      <c t="str" s="472" r="EC29">
        <f>IF((EL148=2),"max depth (m)","max depth (ft)")</f>
        <v>max depth (ft)</v>
      </c>
      <c s="551" r="ED29"/>
      <c t="s" s="551" r="EE29">
        <v>2</v>
      </c>
      <c t="str" s="286" r="EF29">
        <f>IF(ISNUMBER((EF28/EB29)),(EF28/EB29),"---")</f>
        <v>---</v>
      </c>
      <c t="s" s="472" r="EG29">
        <v>566</v>
      </c>
      <c s="391" r="EH29"/>
      <c s="391" r="EI29"/>
      <c s="551" r="EJ29"/>
      <c s="551" r="EK29"/>
      <c s="551" r="EL29"/>
      <c s="551" r="EM29"/>
      <c s="551" r="EN29"/>
      <c s="551" r="EO29"/>
      <c s="551" r="EP29"/>
      <c s="551" r="EQ29"/>
      <c s="551" r="ER29"/>
      <c s="551" r="ES29"/>
      <c s="551" r="ET29"/>
      <c s="551" r="EU29"/>
      <c s="551" r="EV29"/>
      <c s="812" r="EW29"/>
      <c s="388" r="EX29"/>
      <c s="908" r="EY29"/>
      <c s="286" r="EZ29">
        <f>IF(ISNUMBER(FO44),IF((SUM(FH46:FH146)&lt;&gt;0),(FO44-MIN(FN46:FN146)),0),0)</f>
        <v>0</v>
      </c>
      <c t="str" s="472" r="FA29">
        <f>IF((FJ148=2),"max depth (m)","max depth (ft)")</f>
        <v>max depth (ft)</v>
      </c>
      <c s="551" r="FB29"/>
      <c t="s" s="551" r="FC29">
        <v>2</v>
      </c>
      <c t="str" s="286" r="FD29">
        <f>IF(ISNUMBER((FD28/EZ29)),(FD28/EZ29),"---")</f>
        <v>---</v>
      </c>
      <c t="s" s="472" r="FE29">
        <v>566</v>
      </c>
      <c s="391" r="FF29"/>
      <c s="391" r="FG29"/>
      <c s="551" r="FH29"/>
      <c s="551" r="FI29"/>
      <c s="551" r="FJ29"/>
      <c s="551" r="FK29"/>
      <c s="551" r="FL29"/>
      <c s="551" r="FM29"/>
      <c s="551" r="FN29"/>
      <c s="551" r="FO29"/>
      <c s="551" r="FP29"/>
      <c s="551" r="FQ29"/>
      <c s="551" r="FR29"/>
      <c s="551" r="FS29"/>
      <c s="551" r="FT29"/>
      <c s="812" r="FU29"/>
      <c s="222" r="FV29"/>
      <c s="125" r="FW29"/>
      <c s="125" r="FX29"/>
      <c s="125" r="FY29"/>
      <c s="125" r="FZ29"/>
      <c s="125" r="GA29"/>
      <c s="125" r="GB29"/>
      <c s="125" r="GC29"/>
      <c s="125" r="GD29"/>
      <c s="125" r="GE29"/>
      <c s="125" r="GF29"/>
      <c s="125" r="GG29"/>
      <c s="125" r="GH29"/>
      <c s="125" r="GI29"/>
      <c s="125" r="GJ29"/>
      <c s="125" r="GK29"/>
      <c s="125" r="GL29"/>
      <c s="125" r="GM29"/>
      <c s="125" r="GN29"/>
      <c s="125" r="GO29"/>
      <c s="125" r="GP29"/>
      <c s="125" r="GQ29"/>
      <c s="125" r="GR29"/>
      <c s="125" r="GS29"/>
      <c s="125" r="GT29"/>
      <c s="125" r="GU29"/>
      <c s="125" r="GV29"/>
      <c s="125" r="GW29"/>
      <c s="125" r="GX29"/>
      <c s="125" r="GY29"/>
      <c s="125" r="GZ29"/>
      <c s="125" r="HA29"/>
      <c s="125" r="HB29"/>
    </row>
    <row r="30">
      <c s="822" r="A30"/>
      <c s="406" r="B30"/>
      <c s="886" r="C30"/>
      <c s="886" r="D30"/>
      <c t="str" s="654" r="E30">
        <f>'Dimension Estimated Values'!K5</f>
        <v>#VALUE!:cantParseText:---</v>
      </c>
      <c s="886" r="F30"/>
      <c t="str" s="248" r="G30">
        <f>'Dimension Estimated Values'!K6</f>
        <v>---</v>
      </c>
      <c t="str" s="248" r="H30">
        <f>'Dimension Estimated Values'!K7</f>
        <v>---</v>
      </c>
      <c s="418" r="I30"/>
      <c s="388" r="J30"/>
      <c s="908" r="K30"/>
      <c s="286" r="L30">
        <f>IF(ISNUMBER(AA44),SUM(AD47:AD146),0)</f>
        <v>0</v>
      </c>
      <c t="str" s="472" r="M30">
        <f>IF((V148=2),"wetted parimeter (m)","wetted parimeter (ft)")</f>
        <v>wetted parimeter (ft)</v>
      </c>
      <c s="551" r="N30"/>
      <c s="551" r="O30"/>
      <c s="286" r="P30"/>
      <c s="472" r="Q30"/>
      <c s="391" r="R30"/>
      <c s="391" r="S30"/>
      <c s="551" r="T30"/>
      <c s="551" r="U30"/>
      <c s="551" r="V30"/>
      <c s="551" r="W30"/>
      <c s="551" r="X30"/>
      <c s="551" r="Y30"/>
      <c s="551" r="Z30"/>
      <c s="551" r="AA30"/>
      <c s="551" r="AB30"/>
      <c s="551" r="AC30"/>
      <c s="551" r="AD30"/>
      <c s="551" r="AE30"/>
      <c s="551" r="AF30"/>
      <c s="812" r="AG30"/>
      <c s="388" r="AH30"/>
      <c s="908" r="AI30"/>
      <c s="286" r="AJ30">
        <f>IF(ISNUMBER(AY44),SUM(BB47:BB146),0)</f>
        <v>0</v>
      </c>
      <c t="str" s="472" r="AK30">
        <f>IF((AT148=2),"wetted parimeter (m)","wetted parimeter (ft)")</f>
        <v>wetted parimeter (ft)</v>
      </c>
      <c s="551" r="AL30"/>
      <c s="551" r="AM30"/>
      <c s="286" r="AN30"/>
      <c s="472" r="AO30"/>
      <c s="391" r="AP30"/>
      <c s="391" r="AQ30"/>
      <c s="551" r="AR30"/>
      <c s="551" r="AS30"/>
      <c s="551" r="AT30"/>
      <c s="551" r="AU30"/>
      <c s="551" r="AV30"/>
      <c s="551" r="AW30"/>
      <c s="551" r="AX30"/>
      <c s="551" r="AY30"/>
      <c s="551" r="AZ30"/>
      <c s="551" r="BA30"/>
      <c s="551" r="BB30"/>
      <c s="551" r="BC30"/>
      <c s="551" r="BD30"/>
      <c s="812" r="BE30"/>
      <c s="388" r="BF30"/>
      <c s="908" r="BG30"/>
      <c s="286" r="BH30">
        <f>IF(ISNUMBER(BW44),SUM(BZ47:BZ146),0)</f>
        <v>0</v>
      </c>
      <c t="str" s="472" r="BI30">
        <f>IF((BR148=2),"wetted parimeter (m)","wetted parimeter (ft)")</f>
        <v>wetted parimeter (ft)</v>
      </c>
      <c s="551" r="BJ30"/>
      <c s="551" r="BK30"/>
      <c s="286" r="BL30"/>
      <c s="472" r="BM30"/>
      <c s="391" r="BN30"/>
      <c s="391" r="BO30"/>
      <c s="551" r="BP30"/>
      <c s="551" r="BQ30"/>
      <c s="551" r="BR30"/>
      <c s="551" r="BS30"/>
      <c s="551" r="BT30"/>
      <c s="551" r="BU30"/>
      <c s="551" r="BV30"/>
      <c s="551" r="BW30"/>
      <c s="551" r="BX30"/>
      <c s="551" r="BY30"/>
      <c s="551" r="BZ30"/>
      <c s="551" r="CA30"/>
      <c s="551" r="CB30"/>
      <c s="812" r="CC30"/>
      <c s="388" r="CD30"/>
      <c s="908" r="CE30"/>
      <c s="286" r="CF30">
        <f>IF(ISNUMBER(CU44),SUM(CX47:CX146),0)</f>
        <v>0</v>
      </c>
      <c t="str" s="472" r="CG30">
        <f>IF((CP148=2),"wetted parimeter (m)","wetted parimeter (ft)")</f>
        <v>wetted parimeter (ft)</v>
      </c>
      <c s="551" r="CH30"/>
      <c s="551" r="CI30"/>
      <c s="286" r="CJ30"/>
      <c s="472" r="CK30"/>
      <c s="391" r="CL30"/>
      <c s="391" r="CM30"/>
      <c s="551" r="CN30"/>
      <c s="551" r="CO30"/>
      <c s="551" r="CP30"/>
      <c s="551" r="CQ30"/>
      <c s="551" r="CR30"/>
      <c s="551" r="CS30"/>
      <c s="551" r="CT30"/>
      <c s="551" r="CU30"/>
      <c s="551" r="CV30"/>
      <c s="551" r="CW30"/>
      <c s="551" r="CX30"/>
      <c s="551" r="CY30"/>
      <c s="551" r="CZ30"/>
      <c s="812" r="DA30"/>
      <c s="388" r="DB30"/>
      <c s="908" r="DC30"/>
      <c s="286" r="DD30">
        <f>IF(ISNUMBER(DS44),SUM(DV47:DV146),0)</f>
        <v>0</v>
      </c>
      <c t="str" s="472" r="DE30">
        <f>IF((DN148=2),"wetted parimeter (m)","wetted parimeter (ft)")</f>
        <v>wetted parimeter (ft)</v>
      </c>
      <c s="551" r="DF30"/>
      <c s="551" r="DG30"/>
      <c s="286" r="DH30"/>
      <c s="472" r="DI30"/>
      <c s="391" r="DJ30"/>
      <c s="391" r="DK30"/>
      <c s="551" r="DL30"/>
      <c s="551" r="DM30"/>
      <c s="551" r="DN30"/>
      <c s="551" r="DO30"/>
      <c s="551" r="DP30"/>
      <c s="551" r="DQ30"/>
      <c s="551" r="DR30"/>
      <c s="551" r="DS30"/>
      <c s="551" r="DT30"/>
      <c s="551" r="DU30"/>
      <c s="551" r="DV30"/>
      <c s="551" r="DW30"/>
      <c s="551" r="DX30"/>
      <c s="812" r="DY30"/>
      <c s="388" r="DZ30"/>
      <c s="908" r="EA30"/>
      <c s="286" r="EB30">
        <f>IF(ISNUMBER(EQ44),SUM(ET47:ET146),0)</f>
        <v>0</v>
      </c>
      <c t="str" s="472" r="EC30">
        <f>IF((EL148=2),"wetted parimeter (m)","wetted parimeter (ft)")</f>
        <v>wetted parimeter (ft)</v>
      </c>
      <c s="551" r="ED30"/>
      <c s="551" r="EE30"/>
      <c s="286" r="EF30"/>
      <c s="472" r="EG30"/>
      <c s="391" r="EH30"/>
      <c s="391" r="EI30"/>
      <c s="551" r="EJ30"/>
      <c s="551" r="EK30"/>
      <c s="551" r="EL30"/>
      <c s="551" r="EM30"/>
      <c s="551" r="EN30"/>
      <c s="551" r="EO30"/>
      <c s="551" r="EP30"/>
      <c s="551" r="EQ30"/>
      <c s="551" r="ER30"/>
      <c s="551" r="ES30"/>
      <c s="551" r="ET30"/>
      <c s="551" r="EU30"/>
      <c s="551" r="EV30"/>
      <c s="812" r="EW30"/>
      <c s="388" r="EX30"/>
      <c s="908" r="EY30"/>
      <c s="286" r="EZ30">
        <f>IF(ISNUMBER(FO44),SUM(FR47:FR146),0)</f>
        <v>0</v>
      </c>
      <c t="str" s="472" r="FA30">
        <f>IF((FJ148=2),"wetted parimeter (m)","wetted parimeter (ft)")</f>
        <v>wetted parimeter (ft)</v>
      </c>
      <c s="551" r="FB30"/>
      <c s="551" r="FC30"/>
      <c s="286" r="FD30"/>
      <c s="472" r="FE30"/>
      <c s="391" r="FF30"/>
      <c s="391" r="FG30"/>
      <c s="551" r="FH30"/>
      <c s="551" r="FI30"/>
      <c s="551" r="FJ30"/>
      <c s="551" r="FK30"/>
      <c s="551" r="FL30"/>
      <c s="551" r="FM30"/>
      <c s="551" r="FN30"/>
      <c s="551" r="FO30"/>
      <c s="551" r="FP30"/>
      <c s="551" r="FQ30"/>
      <c s="551" r="FR30"/>
      <c s="551" r="FS30"/>
      <c s="551" r="FT30"/>
      <c s="812" r="FU30"/>
      <c s="222" r="FV30"/>
      <c s="125" r="FW30"/>
      <c s="125" r="FX30"/>
      <c s="125" r="FY30"/>
      <c s="125" r="FZ30"/>
      <c s="125" r="GA30"/>
      <c s="125" r="GB30"/>
      <c s="125" r="GC30"/>
      <c s="125" r="GD30"/>
      <c s="125" r="GE30"/>
      <c s="125" r="GF30"/>
      <c s="125" r="GG30"/>
      <c s="125" r="GH30"/>
      <c s="125" r="GI30"/>
      <c s="125" r="GJ30"/>
      <c s="125" r="GK30"/>
      <c s="125" r="GL30"/>
      <c s="125" r="GM30"/>
      <c s="125" r="GN30"/>
      <c s="125" r="GO30"/>
      <c s="125" r="GP30"/>
      <c s="125" r="GQ30"/>
      <c s="125" r="GR30"/>
      <c s="125" r="GS30"/>
      <c s="125" r="GT30"/>
      <c s="125" r="GU30"/>
      <c s="125" r="GV30"/>
      <c s="125" r="GW30"/>
      <c s="125" r="GX30"/>
      <c s="125" r="GY30"/>
      <c s="125" r="GZ30"/>
      <c s="125" r="HA30"/>
      <c s="125" r="HB30"/>
    </row>
    <row r="31">
      <c s="822" r="A31"/>
      <c s="406" r="B31"/>
      <c s="886" r="C31"/>
      <c s="886" r="D31"/>
      <c s="566" r="E31"/>
      <c s="886" r="F31"/>
      <c s="566" r="G31"/>
      <c s="566" r="H31"/>
      <c s="418" r="I31"/>
      <c s="388" r="J31"/>
      <c s="908" r="K31"/>
      <c s="286" r="L31">
        <f>IF((L30&lt;&gt;0),(L26/L30),0)</f>
        <v>0</v>
      </c>
      <c t="str" s="472" r="M31">
        <f>IF((V148=2),"hyd radi (m)","hyd radi (ft)")</f>
        <v>hyd radi (ft)</v>
      </c>
      <c s="551" r="N31"/>
      <c s="551" r="O31"/>
      <c s="286" r="P31"/>
      <c s="677" r="Q31"/>
      <c s="391" r="R31"/>
      <c s="391" r="S31"/>
      <c s="551" r="T31"/>
      <c s="551" r="U31"/>
      <c s="551" r="V31"/>
      <c s="551" r="W31"/>
      <c s="551" r="X31"/>
      <c s="551" r="Y31"/>
      <c s="551" r="Z31"/>
      <c s="551" r="AA31"/>
      <c s="551" r="AB31"/>
      <c s="551" r="AC31"/>
      <c s="551" r="AD31"/>
      <c s="551" r="AE31"/>
      <c s="551" r="AF31"/>
      <c s="812" r="AG31"/>
      <c t="s" s="388" r="AH31">
        <v>2</v>
      </c>
      <c s="908" r="AI31"/>
      <c s="286" r="AJ31">
        <f>IF((AJ30&lt;&gt;0),(AJ26/AJ30),0)</f>
        <v>0</v>
      </c>
      <c t="str" s="472" r="AK31">
        <f>IF((AT148=2),"hyd radi (m)","hyd radi (ft)")</f>
        <v>hyd radi (ft)</v>
      </c>
      <c s="551" r="AL31"/>
      <c s="551" r="AM31"/>
      <c s="286" r="AN31"/>
      <c s="677" r="AO31"/>
      <c s="391" r="AP31"/>
      <c s="391" r="AQ31"/>
      <c s="551" r="AR31"/>
      <c s="551" r="AS31"/>
      <c s="551" r="AT31"/>
      <c s="551" r="AU31"/>
      <c s="551" r="AV31"/>
      <c s="551" r="AW31"/>
      <c s="551" r="AX31"/>
      <c s="551" r="AY31"/>
      <c s="551" r="AZ31"/>
      <c s="551" r="BA31"/>
      <c s="551" r="BB31"/>
      <c s="551" r="BC31"/>
      <c s="551" r="BD31"/>
      <c s="812" r="BE31"/>
      <c s="388" r="BF31"/>
      <c s="908" r="BG31"/>
      <c s="286" r="BH31">
        <f>IF((BH30&lt;&gt;0),(BH26/BH30),0)</f>
        <v>0</v>
      </c>
      <c t="str" s="472" r="BI31">
        <f>IF((BR148=2),"hyd radi (m)","hyd radi (ft)")</f>
        <v>hyd radi (ft)</v>
      </c>
      <c s="551" r="BJ31"/>
      <c s="551" r="BK31"/>
      <c s="286" r="BL31"/>
      <c s="677" r="BM31"/>
      <c s="391" r="BN31"/>
      <c s="391" r="BO31"/>
      <c s="551" r="BP31"/>
      <c s="551" r="BQ31"/>
      <c s="551" r="BR31"/>
      <c s="551" r="BS31"/>
      <c s="551" r="BT31"/>
      <c s="551" r="BU31"/>
      <c s="551" r="BV31"/>
      <c s="551" r="BW31"/>
      <c s="551" r="BX31"/>
      <c s="551" r="BY31"/>
      <c s="551" r="BZ31"/>
      <c s="551" r="CA31"/>
      <c s="551" r="CB31"/>
      <c s="812" r="CC31"/>
      <c s="388" r="CD31"/>
      <c s="908" r="CE31"/>
      <c s="286" r="CF31">
        <f>IF((CF30&lt;&gt;0),(CF26/CF30),0)</f>
        <v>0</v>
      </c>
      <c t="str" s="472" r="CG31">
        <f>IF((CP148=2),"hyd radi (m)","hyd radi (ft)")</f>
        <v>hyd radi (ft)</v>
      </c>
      <c s="551" r="CH31"/>
      <c s="551" r="CI31"/>
      <c s="286" r="CJ31"/>
      <c s="677" r="CK31"/>
      <c s="391" r="CL31"/>
      <c s="391" r="CM31"/>
      <c s="551" r="CN31"/>
      <c s="551" r="CO31"/>
      <c s="551" r="CP31"/>
      <c s="551" r="CQ31"/>
      <c s="551" r="CR31"/>
      <c s="551" r="CS31"/>
      <c s="551" r="CT31"/>
      <c s="551" r="CU31"/>
      <c s="551" r="CV31"/>
      <c s="551" r="CW31"/>
      <c s="551" r="CX31"/>
      <c s="551" r="CY31"/>
      <c s="551" r="CZ31"/>
      <c s="812" r="DA31"/>
      <c s="388" r="DB31"/>
      <c s="908" r="DC31"/>
      <c s="286" r="DD31">
        <f>IF((DD30&lt;&gt;0),(DD26/DD30),0)</f>
        <v>0</v>
      </c>
      <c t="str" s="472" r="DE31">
        <f>IF((DN148=2),"hyd radi (m)","hyd radi (ft)")</f>
        <v>hyd radi (ft)</v>
      </c>
      <c s="551" r="DF31"/>
      <c s="551" r="DG31"/>
      <c s="286" r="DH31"/>
      <c s="677" r="DI31"/>
      <c s="391" r="DJ31"/>
      <c s="391" r="DK31"/>
      <c s="551" r="DL31"/>
      <c s="551" r="DM31"/>
      <c s="551" r="DN31"/>
      <c s="551" r="DO31"/>
      <c s="551" r="DP31"/>
      <c s="551" r="DQ31"/>
      <c s="551" r="DR31"/>
      <c s="551" r="DS31"/>
      <c s="551" r="DT31"/>
      <c s="551" r="DU31"/>
      <c s="551" r="DV31"/>
      <c s="551" r="DW31"/>
      <c s="551" r="DX31"/>
      <c s="812" r="DY31"/>
      <c s="388" r="DZ31"/>
      <c s="908" r="EA31"/>
      <c s="286" r="EB31">
        <f>IF((EB30&lt;&gt;0),(EB26/EB30),0)</f>
        <v>0</v>
      </c>
      <c t="str" s="472" r="EC31">
        <f>IF((EL148=2),"hyd radi (m)","hyd radi (ft)")</f>
        <v>hyd radi (ft)</v>
      </c>
      <c s="551" r="ED31"/>
      <c s="551" r="EE31"/>
      <c s="286" r="EF31"/>
      <c s="677" r="EG31"/>
      <c s="391" r="EH31"/>
      <c s="391" r="EI31"/>
      <c s="551" r="EJ31"/>
      <c s="551" r="EK31"/>
      <c s="551" r="EL31"/>
      <c s="551" r="EM31"/>
      <c s="551" r="EN31"/>
      <c s="551" r="EO31"/>
      <c s="551" r="EP31"/>
      <c s="551" r="EQ31"/>
      <c s="551" r="ER31"/>
      <c s="551" r="ES31"/>
      <c s="551" r="ET31"/>
      <c s="551" r="EU31"/>
      <c s="551" r="EV31"/>
      <c s="812" r="EW31"/>
      <c s="388" r="EX31"/>
      <c s="908" r="EY31"/>
      <c s="286" r="EZ31">
        <f>IF((EZ30&lt;&gt;0),(EZ26/EZ30),0)</f>
        <v>0</v>
      </c>
      <c t="str" s="472" r="FA31">
        <f>IF((FJ148=2),"hyd radi (m)","hyd radi (ft)")</f>
        <v>hyd radi (ft)</v>
      </c>
      <c s="551" r="FB31"/>
      <c s="551" r="FC31"/>
      <c s="286" r="FD31"/>
      <c s="677" r="FE31"/>
      <c s="391" r="FF31"/>
      <c s="391" r="FG31"/>
      <c s="551" r="FH31"/>
      <c s="551" r="FI31"/>
      <c s="551" r="FJ31"/>
      <c s="551" r="FK31"/>
      <c s="551" r="FL31"/>
      <c s="551" r="FM31"/>
      <c s="551" r="FN31"/>
      <c s="551" r="FO31"/>
      <c s="551" r="FP31"/>
      <c s="551" r="FQ31"/>
      <c s="551" r="FR31"/>
      <c s="551" r="FS31"/>
      <c s="551" r="FT31"/>
      <c s="812" r="FU31"/>
      <c s="222" r="FV31"/>
      <c t="s" s="125" r="FW31">
        <v>2</v>
      </c>
      <c s="125" r="FX31"/>
      <c s="125" r="FY31"/>
      <c s="125" r="FZ31"/>
      <c s="125" r="GA31"/>
      <c s="125" r="GB31"/>
      <c s="125" r="GC31"/>
      <c s="125" r="GD31"/>
      <c s="125" r="GE31"/>
      <c s="125" r="GF31"/>
      <c s="125" r="GG31"/>
      <c s="125" r="GH31"/>
      <c s="125" r="GI31"/>
      <c s="125" r="GJ31"/>
      <c s="125" r="GK31"/>
      <c s="125" r="GL31"/>
      <c s="125" r="GM31"/>
      <c s="125" r="GN31"/>
      <c s="125" r="GO31"/>
      <c s="125" r="GP31"/>
      <c s="125" r="GQ31"/>
      <c s="125" r="GR31"/>
      <c s="125" r="GS31"/>
      <c s="125" r="GT31"/>
      <c s="125" r="GU31"/>
      <c s="125" r="GV31"/>
      <c s="125" r="GW31"/>
      <c s="125" r="GX31"/>
      <c s="125" r="GY31"/>
      <c s="125" r="GZ31"/>
      <c s="125" r="HA31"/>
      <c s="125" r="HB31"/>
    </row>
    <row r="32">
      <c s="822" r="A32"/>
      <c s="406" r="B32"/>
      <c s="886" r="C32"/>
      <c t="s" s="836" r="D32">
        <v>242</v>
      </c>
      <c s="458" r="E32"/>
      <c s="734" r="F32"/>
      <c s="458" r="G32"/>
      <c s="458" r="H32"/>
      <c s="734" r="I32"/>
      <c t="s" s="702" r="J32">
        <v>2</v>
      </c>
      <c s="908" r="K32"/>
      <c s="286" r="L32">
        <f>IF((L28&lt;&gt;0),(L27/L28),0)</f>
        <v>0</v>
      </c>
      <c t="s" s="677" r="M32">
        <v>567</v>
      </c>
      <c s="551" r="N32"/>
      <c s="551" r="O32"/>
      <c s="551" r="P32"/>
      <c s="551" r="Q32"/>
      <c s="551" r="R32"/>
      <c s="551" r="S32"/>
      <c s="551" r="T32"/>
      <c s="551" r="U32"/>
      <c s="551" r="V32"/>
      <c s="551" r="W32"/>
      <c s="551" r="X32"/>
      <c s="551" r="Y32"/>
      <c s="551" r="Z32"/>
      <c s="551" r="AA32"/>
      <c s="551" r="AB32"/>
      <c s="551" r="AC32"/>
      <c s="551" r="AD32"/>
      <c s="551" r="AE32"/>
      <c s="551" r="AF32"/>
      <c s="812" r="AG32"/>
      <c s="388" r="AH32"/>
      <c s="908" r="AI32"/>
      <c s="286" r="AJ32">
        <f>IF((AJ28&lt;&gt;0),(AJ27/AJ28),0)</f>
        <v>0</v>
      </c>
      <c t="s" s="677" r="AK32">
        <v>567</v>
      </c>
      <c s="551" r="AL32"/>
      <c s="551" r="AM32"/>
      <c s="551" r="AN32"/>
      <c s="551" r="AO32"/>
      <c s="551" r="AP32"/>
      <c s="551" r="AQ32"/>
      <c s="551" r="AR32"/>
      <c s="551" r="AS32"/>
      <c s="551" r="AT32"/>
      <c s="551" r="AU32"/>
      <c s="551" r="AV32"/>
      <c s="551" r="AW32"/>
      <c s="551" r="AX32"/>
      <c s="551" r="AY32"/>
      <c s="551" r="AZ32"/>
      <c s="551" r="BA32"/>
      <c s="551" r="BB32"/>
      <c s="551" r="BC32"/>
      <c s="551" r="BD32"/>
      <c s="812" r="BE32"/>
      <c s="388" r="BF32"/>
      <c s="908" r="BG32"/>
      <c s="286" r="BH32">
        <f>IF((BH28&lt;&gt;0),(BH27/BH28),0)</f>
        <v>0</v>
      </c>
      <c t="s" s="677" r="BI32">
        <v>567</v>
      </c>
      <c s="551" r="BJ32"/>
      <c s="551" r="BK32"/>
      <c s="551" r="BL32"/>
      <c s="551" r="BM32"/>
      <c s="551" r="BN32"/>
      <c s="551" r="BO32"/>
      <c s="551" r="BP32"/>
      <c s="551" r="BQ32"/>
      <c s="551" r="BR32"/>
      <c s="551" r="BS32"/>
      <c s="551" r="BT32"/>
      <c s="551" r="BU32"/>
      <c s="551" r="BV32"/>
      <c s="551" r="BW32"/>
      <c s="551" r="BX32"/>
      <c s="551" r="BY32"/>
      <c s="551" r="BZ32"/>
      <c s="551" r="CA32"/>
      <c s="551" r="CB32"/>
      <c s="812" r="CC32"/>
      <c s="388" r="CD32"/>
      <c s="908" r="CE32"/>
      <c s="286" r="CF32">
        <f>IF((CF28&lt;&gt;0),(CF27/CF28),0)</f>
        <v>0</v>
      </c>
      <c t="s" s="677" r="CG32">
        <v>567</v>
      </c>
      <c s="551" r="CH32"/>
      <c s="551" r="CI32"/>
      <c s="551" r="CJ32"/>
      <c s="551" r="CK32"/>
      <c s="551" r="CL32"/>
      <c s="551" r="CM32"/>
      <c s="551" r="CN32"/>
      <c s="551" r="CO32"/>
      <c s="551" r="CP32"/>
      <c s="551" r="CQ32"/>
      <c s="551" r="CR32"/>
      <c s="551" r="CS32"/>
      <c s="551" r="CT32"/>
      <c s="551" r="CU32"/>
      <c s="551" r="CV32"/>
      <c s="551" r="CW32"/>
      <c s="551" r="CX32"/>
      <c s="551" r="CY32"/>
      <c s="551" r="CZ32"/>
      <c s="812" r="DA32"/>
      <c s="388" r="DB32"/>
      <c s="908" r="DC32"/>
      <c s="286" r="DD32">
        <f>IF((DD28&lt;&gt;0),(DD27/DD28),0)</f>
        <v>0</v>
      </c>
      <c t="s" s="677" r="DE32">
        <v>567</v>
      </c>
      <c s="551" r="DF32"/>
      <c s="551" r="DG32"/>
      <c s="551" r="DH32"/>
      <c s="551" r="DI32"/>
      <c s="551" r="DJ32"/>
      <c s="551" r="DK32"/>
      <c s="551" r="DL32"/>
      <c s="551" r="DM32"/>
      <c s="551" r="DN32"/>
      <c s="551" r="DO32"/>
      <c s="551" r="DP32"/>
      <c s="551" r="DQ32"/>
      <c s="551" r="DR32"/>
      <c s="551" r="DS32"/>
      <c s="551" r="DT32"/>
      <c s="551" r="DU32"/>
      <c s="551" r="DV32"/>
      <c s="551" r="DW32"/>
      <c s="551" r="DX32"/>
      <c s="812" r="DY32"/>
      <c s="388" r="DZ32"/>
      <c s="908" r="EA32"/>
      <c s="286" r="EB32">
        <f>IF((EB28&lt;&gt;0),(EB27/EB28),0)</f>
        <v>0</v>
      </c>
      <c t="s" s="677" r="EC32">
        <v>567</v>
      </c>
      <c s="551" r="ED32"/>
      <c s="551" r="EE32"/>
      <c s="551" r="EF32"/>
      <c s="551" r="EG32"/>
      <c s="551" r="EH32"/>
      <c s="551" r="EI32"/>
      <c s="551" r="EJ32"/>
      <c s="551" r="EK32"/>
      <c s="551" r="EL32"/>
      <c s="551" r="EM32"/>
      <c s="551" r="EN32"/>
      <c s="551" r="EO32"/>
      <c s="551" r="EP32"/>
      <c s="551" r="EQ32"/>
      <c s="551" r="ER32"/>
      <c s="551" r="ES32"/>
      <c s="551" r="ET32"/>
      <c s="551" r="EU32"/>
      <c s="551" r="EV32"/>
      <c s="812" r="EW32"/>
      <c s="388" r="EX32"/>
      <c s="908" r="EY32"/>
      <c s="286" r="EZ32">
        <f>IF((EZ28&lt;&gt;0),(EZ27/EZ28),0)</f>
        <v>0</v>
      </c>
      <c t="s" s="677" r="FA32">
        <v>567</v>
      </c>
      <c s="551" r="FB32"/>
      <c s="551" r="FC32"/>
      <c s="551" r="FD32"/>
      <c s="551" r="FE32"/>
      <c s="551" r="FF32"/>
      <c s="551" r="FG32"/>
      <c s="551" r="FH32"/>
      <c s="551" r="FI32"/>
      <c s="551" r="FJ32"/>
      <c s="551" r="FK32"/>
      <c s="551" r="FL32"/>
      <c s="551" r="FM32"/>
      <c s="551" r="FN32"/>
      <c s="551" r="FO32"/>
      <c s="551" r="FP32"/>
      <c s="551" r="FQ32"/>
      <c s="551" r="FR32"/>
      <c s="551" r="FS32"/>
      <c s="551" r="FT32"/>
      <c s="812" r="FU32"/>
      <c s="222" r="FV32"/>
      <c s="125" r="FW32"/>
      <c s="125" r="FX32"/>
      <c s="125" r="FY32"/>
      <c s="125" r="FZ32"/>
      <c s="125" r="GA32"/>
      <c s="125" r="GB32"/>
      <c s="125" r="GC32"/>
      <c s="125" r="GD32"/>
      <c s="125" r="GE32"/>
      <c s="125" r="GF32"/>
      <c s="125" r="GG32"/>
      <c s="125" r="GH32"/>
      <c s="125" r="GI32"/>
      <c s="125" r="GJ32"/>
      <c s="125" r="GK32"/>
      <c s="125" r="GL32"/>
      <c s="125" r="GM32"/>
      <c s="125" r="GN32"/>
      <c s="125" r="GO32"/>
      <c s="125" r="GP32"/>
      <c s="125" r="GQ32"/>
      <c s="125" r="GR32"/>
      <c s="125" r="GS32"/>
      <c s="125" r="GT32"/>
      <c s="125" r="GU32"/>
      <c s="125" r="GV32"/>
      <c s="125" r="GW32"/>
      <c s="125" r="GX32"/>
      <c s="125" r="GY32"/>
      <c s="125" r="GZ32"/>
      <c s="125" r="HA32"/>
      <c s="125" r="HB32"/>
    </row>
    <row r="33">
      <c s="822" r="A33"/>
      <c s="406" r="B33"/>
      <c s="886" r="C33"/>
      <c s="886" r="D33"/>
      <c t="str" s="654" r="E33">
        <f>'Dimension Estimated Values'!M5</f>
        <v>#VALUE!:cantParseText:---</v>
      </c>
      <c s="886" r="F33"/>
      <c t="str" s="248" r="G33">
        <f>'Dimension Estimated Values'!M6</f>
        <v>---</v>
      </c>
      <c t="str" s="248" r="H33">
        <f>'Dimension Estimated Values'!M7</f>
        <v>---</v>
      </c>
      <c s="418" r="I33"/>
      <c s="702" r="J33"/>
      <c s="908" r="K33"/>
      <c s="677" r="L33"/>
      <c s="677" r="M33"/>
      <c s="52" r="N33"/>
      <c s="551" r="O33"/>
      <c s="551" r="P33"/>
      <c s="551" r="Q33"/>
      <c s="551" r="R33"/>
      <c s="551" r="S33"/>
      <c s="551" r="T33"/>
      <c s="551" r="U33"/>
      <c s="551" r="V33"/>
      <c s="551" r="W33"/>
      <c s="551" r="X33"/>
      <c s="551" r="Y33"/>
      <c s="551" r="Z33"/>
      <c s="551" r="AA33"/>
      <c s="551" r="AB33"/>
      <c s="551" r="AC33"/>
      <c s="551" r="AD33"/>
      <c s="551" r="AE33"/>
      <c s="551" r="AF33"/>
      <c s="812" r="AG33"/>
      <c t="s" s="388" r="AH33">
        <v>2</v>
      </c>
      <c s="908" r="AI33"/>
      <c s="677" r="AJ33"/>
      <c s="677" r="AK33"/>
      <c s="52" r="AL33"/>
      <c s="551" r="AM33"/>
      <c s="551" r="AN33"/>
      <c s="551" r="AO33"/>
      <c s="551" r="AP33"/>
      <c s="551" r="AQ33"/>
      <c s="551" r="AR33"/>
      <c s="551" r="AS33"/>
      <c s="551" r="AT33"/>
      <c s="551" r="AU33"/>
      <c s="551" r="AV33"/>
      <c s="551" r="AW33"/>
      <c s="551" r="AX33"/>
      <c s="551" r="AY33"/>
      <c s="551" r="AZ33"/>
      <c s="551" r="BA33"/>
      <c s="551" r="BB33"/>
      <c s="551" r="BC33"/>
      <c s="551" r="BD33"/>
      <c s="812" r="BE33"/>
      <c s="388" r="BF33"/>
      <c s="908" r="BG33"/>
      <c s="677" r="BH33"/>
      <c s="677" r="BI33"/>
      <c s="52" r="BJ33"/>
      <c s="551" r="BK33"/>
      <c s="551" r="BL33"/>
      <c s="551" r="BM33"/>
      <c s="551" r="BN33"/>
      <c s="551" r="BO33"/>
      <c s="551" r="BP33"/>
      <c s="551" r="BQ33"/>
      <c s="551" r="BR33"/>
      <c s="551" r="BS33"/>
      <c s="551" r="BT33"/>
      <c s="551" r="BU33"/>
      <c s="551" r="BV33"/>
      <c s="551" r="BW33"/>
      <c s="551" r="BX33"/>
      <c s="551" r="BY33"/>
      <c s="551" r="BZ33"/>
      <c s="551" r="CA33"/>
      <c s="551" r="CB33"/>
      <c s="812" r="CC33"/>
      <c s="388" r="CD33"/>
      <c s="908" r="CE33"/>
      <c s="677" r="CF33"/>
      <c s="677" r="CG33"/>
      <c s="52" r="CH33"/>
      <c s="551" r="CI33"/>
      <c s="551" r="CJ33"/>
      <c s="551" r="CK33"/>
      <c s="551" r="CL33"/>
      <c s="551" r="CM33"/>
      <c s="551" r="CN33"/>
      <c s="551" r="CO33"/>
      <c s="551" r="CP33"/>
      <c s="551" r="CQ33"/>
      <c s="551" r="CR33"/>
      <c s="551" r="CS33"/>
      <c s="551" r="CT33"/>
      <c s="551" r="CU33"/>
      <c s="551" r="CV33"/>
      <c s="551" r="CW33"/>
      <c s="551" r="CX33"/>
      <c s="551" r="CY33"/>
      <c s="551" r="CZ33"/>
      <c s="812" r="DA33"/>
      <c s="388" r="DB33"/>
      <c s="908" r="DC33"/>
      <c s="677" r="DD33"/>
      <c s="677" r="DE33"/>
      <c s="52" r="DF33"/>
      <c s="551" r="DG33"/>
      <c s="551" r="DH33"/>
      <c s="551" r="DI33"/>
      <c s="551" r="DJ33"/>
      <c s="551" r="DK33"/>
      <c s="551" r="DL33"/>
      <c s="551" r="DM33"/>
      <c s="551" r="DN33"/>
      <c s="551" r="DO33"/>
      <c s="551" r="DP33"/>
      <c s="551" r="DQ33"/>
      <c s="551" r="DR33"/>
      <c s="551" r="DS33"/>
      <c s="551" r="DT33"/>
      <c s="551" r="DU33"/>
      <c s="551" r="DV33"/>
      <c s="551" r="DW33"/>
      <c s="551" r="DX33"/>
      <c s="812" r="DY33"/>
      <c s="388" r="DZ33"/>
      <c s="908" r="EA33"/>
      <c s="677" r="EB33"/>
      <c s="677" r="EC33"/>
      <c s="52" r="ED33"/>
      <c s="551" r="EE33"/>
      <c s="551" r="EF33"/>
      <c s="551" r="EG33"/>
      <c s="551" r="EH33"/>
      <c s="551" r="EI33"/>
      <c s="551" r="EJ33"/>
      <c s="551" r="EK33"/>
      <c s="551" r="EL33"/>
      <c s="551" r="EM33"/>
      <c s="551" r="EN33"/>
      <c s="551" r="EO33"/>
      <c s="551" r="EP33"/>
      <c s="551" r="EQ33"/>
      <c s="551" r="ER33"/>
      <c s="551" r="ES33"/>
      <c s="551" r="ET33"/>
      <c s="551" r="EU33"/>
      <c s="551" r="EV33"/>
      <c s="812" r="EW33"/>
      <c s="388" r="EX33"/>
      <c s="908" r="EY33"/>
      <c s="677" r="EZ33"/>
      <c s="677" r="FA33"/>
      <c s="52" r="FB33"/>
      <c s="551" r="FC33"/>
      <c s="551" r="FD33"/>
      <c s="551" r="FE33"/>
      <c s="551" r="FF33"/>
      <c s="551" r="FG33"/>
      <c s="551" r="FH33"/>
      <c s="551" r="FI33"/>
      <c s="551" r="FJ33"/>
      <c s="551" r="FK33"/>
      <c s="551" r="FL33"/>
      <c s="551" r="FM33"/>
      <c s="551" r="FN33"/>
      <c s="551" r="FO33"/>
      <c s="551" r="FP33"/>
      <c s="551" r="FQ33"/>
      <c s="551" r="FR33"/>
      <c s="551" r="FS33"/>
      <c s="551" r="FT33"/>
      <c s="812" r="FU33"/>
      <c s="222" r="FV33"/>
      <c s="125" r="FW33"/>
      <c s="125" r="FX33"/>
      <c s="125" r="FY33"/>
      <c s="125" r="FZ33"/>
      <c s="125" r="GA33"/>
      <c s="125" r="GB33"/>
      <c s="125" r="GC33"/>
      <c s="125" r="GD33"/>
      <c s="125" r="GE33"/>
      <c s="125" r="GF33"/>
      <c s="125" r="GG33"/>
      <c s="125" r="GH33"/>
      <c s="125" r="GI33"/>
      <c s="125" r="GJ33"/>
      <c s="125" r="GK33"/>
      <c s="125" r="GL33"/>
      <c s="125" r="GM33"/>
      <c s="125" r="GN33"/>
      <c s="125" r="GO33"/>
      <c s="125" r="GP33"/>
      <c s="125" r="GQ33"/>
      <c s="125" r="GR33"/>
      <c s="125" r="GS33"/>
      <c s="125" r="GT33"/>
      <c s="125" r="GU33"/>
      <c s="125" r="GV33"/>
      <c s="125" r="GW33"/>
      <c s="125" r="GX33"/>
      <c s="125" r="GY33"/>
      <c s="125" r="GZ33"/>
      <c s="125" r="HA33"/>
      <c s="125" r="HB33"/>
    </row>
    <row customHeight="1" r="34" ht="14.25">
      <c s="822" r="A34"/>
      <c s="406" r="B34"/>
      <c s="886" r="C34"/>
      <c s="886" r="D34"/>
      <c s="886" r="E34"/>
      <c s="886" r="F34"/>
      <c s="886" r="G34"/>
      <c s="886" r="H34"/>
      <c s="418" r="I34"/>
      <c s="702" r="J34"/>
      <c s="908" r="K34"/>
      <c t="s" s="194" r="L34">
        <v>568</v>
      </c>
      <c s="680" r="M34"/>
      <c s="414" r="N34"/>
      <c s="551" r="O34"/>
      <c t="s" s="194" r="P34">
        <v>569</v>
      </c>
      <c s="414" r="Q34"/>
      <c s="414" r="R34"/>
      <c s="551" r="S34"/>
      <c t="s" s="194" r="T34">
        <v>570</v>
      </c>
      <c s="414" r="U34"/>
      <c s="414" r="V34"/>
      <c s="551" r="W34"/>
      <c s="551" r="X34"/>
      <c s="551" r="Y34"/>
      <c s="551" r="Z34"/>
      <c s="551" r="AA34"/>
      <c s="551" r="AB34"/>
      <c s="551" r="AC34"/>
      <c s="551" r="AD34"/>
      <c s="551" r="AE34"/>
      <c s="551" r="AF34"/>
      <c s="812" r="AG34"/>
      <c t="s" s="388" r="AH34">
        <v>2</v>
      </c>
      <c s="908" r="AI34"/>
      <c t="s" s="194" r="AJ34">
        <v>568</v>
      </c>
      <c s="680" r="AK34"/>
      <c s="414" r="AL34"/>
      <c s="551" r="AM34"/>
      <c t="s" s="194" r="AN34">
        <v>569</v>
      </c>
      <c s="414" r="AO34"/>
      <c s="414" r="AP34"/>
      <c s="551" r="AQ34"/>
      <c t="s" s="194" r="AR34">
        <v>570</v>
      </c>
      <c s="414" r="AS34"/>
      <c s="414" r="AT34"/>
      <c s="551" r="AU34"/>
      <c s="551" r="AV34"/>
      <c s="551" r="AW34"/>
      <c s="551" r="AX34"/>
      <c s="551" r="AY34"/>
      <c s="551" r="AZ34"/>
      <c s="551" r="BA34"/>
      <c s="551" r="BB34"/>
      <c s="551" r="BC34"/>
      <c s="551" r="BD34"/>
      <c s="812" r="BE34"/>
      <c s="388" r="BF34"/>
      <c s="908" r="BG34"/>
      <c t="s" s="194" r="BH34">
        <v>568</v>
      </c>
      <c s="680" r="BI34"/>
      <c s="414" r="BJ34"/>
      <c s="551" r="BK34"/>
      <c t="s" s="194" r="BL34">
        <v>569</v>
      </c>
      <c s="414" r="BM34"/>
      <c s="414" r="BN34"/>
      <c s="551" r="BO34"/>
      <c t="s" s="194" r="BP34">
        <v>570</v>
      </c>
      <c s="414" r="BQ34"/>
      <c s="414" r="BR34"/>
      <c s="551" r="BS34"/>
      <c s="551" r="BT34"/>
      <c s="551" r="BU34"/>
      <c s="551" r="BV34"/>
      <c s="551" r="BW34"/>
      <c s="551" r="BX34"/>
      <c s="551" r="BY34"/>
      <c s="551" r="BZ34"/>
      <c s="551" r="CA34"/>
      <c s="551" r="CB34"/>
      <c s="812" r="CC34"/>
      <c s="388" r="CD34"/>
      <c s="908" r="CE34"/>
      <c t="s" s="194" r="CF34">
        <v>568</v>
      </c>
      <c s="680" r="CG34"/>
      <c s="414" r="CH34"/>
      <c s="551" r="CI34"/>
      <c t="s" s="194" r="CJ34">
        <v>569</v>
      </c>
      <c s="414" r="CK34"/>
      <c s="414" r="CL34"/>
      <c s="551" r="CM34"/>
      <c t="s" s="194" r="CN34">
        <v>570</v>
      </c>
      <c s="414" r="CO34"/>
      <c s="414" r="CP34"/>
      <c s="551" r="CQ34"/>
      <c s="551" r="CR34"/>
      <c s="551" r="CS34"/>
      <c s="551" r="CT34"/>
      <c s="551" r="CU34"/>
      <c s="551" r="CV34"/>
      <c s="551" r="CW34"/>
      <c s="551" r="CX34"/>
      <c s="551" r="CY34"/>
      <c s="551" r="CZ34"/>
      <c s="812" r="DA34"/>
      <c s="388" r="DB34"/>
      <c s="908" r="DC34"/>
      <c t="s" s="194" r="DD34">
        <v>568</v>
      </c>
      <c s="680" r="DE34"/>
      <c s="414" r="DF34"/>
      <c s="551" r="DG34"/>
      <c t="s" s="194" r="DH34">
        <v>569</v>
      </c>
      <c s="414" r="DI34"/>
      <c s="414" r="DJ34"/>
      <c s="551" r="DK34"/>
      <c t="s" s="194" r="DL34">
        <v>570</v>
      </c>
      <c s="414" r="DM34"/>
      <c s="414" r="DN34"/>
      <c s="551" r="DO34"/>
      <c s="551" r="DP34"/>
      <c s="551" r="DQ34"/>
      <c s="551" r="DR34"/>
      <c s="551" r="DS34"/>
      <c s="551" r="DT34"/>
      <c s="551" r="DU34"/>
      <c s="551" r="DV34"/>
      <c s="551" r="DW34"/>
      <c s="551" r="DX34"/>
      <c s="812" r="DY34"/>
      <c s="388" r="DZ34"/>
      <c s="908" r="EA34"/>
      <c t="s" s="194" r="EB34">
        <v>568</v>
      </c>
      <c s="680" r="EC34"/>
      <c s="414" r="ED34"/>
      <c s="551" r="EE34"/>
      <c t="s" s="194" r="EF34">
        <v>569</v>
      </c>
      <c s="414" r="EG34"/>
      <c s="414" r="EH34"/>
      <c s="551" r="EI34"/>
      <c t="s" s="194" r="EJ34">
        <v>570</v>
      </c>
      <c s="414" r="EK34"/>
      <c s="414" r="EL34"/>
      <c s="551" r="EM34"/>
      <c s="551" r="EN34"/>
      <c s="551" r="EO34"/>
      <c s="551" r="EP34"/>
      <c s="551" r="EQ34"/>
      <c s="551" r="ER34"/>
      <c s="551" r="ES34"/>
      <c s="551" r="ET34"/>
      <c s="551" r="EU34"/>
      <c s="551" r="EV34"/>
      <c s="812" r="EW34"/>
      <c s="388" r="EX34"/>
      <c s="908" r="EY34"/>
      <c t="s" s="194" r="EZ34">
        <v>568</v>
      </c>
      <c s="680" r="FA34"/>
      <c s="414" r="FB34"/>
      <c s="551" r="FC34"/>
      <c t="s" s="194" r="FD34">
        <v>569</v>
      </c>
      <c s="414" r="FE34"/>
      <c s="414" r="FF34"/>
      <c s="551" r="FG34"/>
      <c t="s" s="194" r="FH34">
        <v>570</v>
      </c>
      <c s="414" r="FI34"/>
      <c s="414" r="FJ34"/>
      <c s="551" r="FK34"/>
      <c s="551" r="FL34"/>
      <c s="551" r="FM34"/>
      <c s="551" r="FN34"/>
      <c s="551" r="FO34"/>
      <c s="551" r="FP34"/>
      <c s="551" r="FQ34"/>
      <c s="551" r="FR34"/>
      <c s="551" r="FS34"/>
      <c s="551" r="FT34"/>
      <c s="812" r="FU34"/>
      <c s="222" r="FV34"/>
      <c s="125" r="FW34"/>
      <c s="125" r="FX34"/>
      <c s="125" r="FY34"/>
      <c s="125" r="FZ34"/>
      <c s="125" r="GA34"/>
      <c s="125" r="GB34"/>
      <c s="125" r="GC34"/>
      <c s="125" r="GD34"/>
      <c s="125" r="GE34"/>
      <c s="125" r="GF34"/>
      <c s="125" r="GG34"/>
      <c s="125" r="GH34"/>
      <c s="125" r="GI34"/>
      <c s="125" r="GJ34"/>
      <c s="125" r="GK34"/>
      <c s="125" r="GL34"/>
      <c s="125" r="GM34"/>
      <c s="125" r="GN34"/>
      <c s="125" r="GO34"/>
      <c s="125" r="GP34"/>
      <c s="125" r="GQ34"/>
      <c s="125" r="GR34"/>
      <c s="125" r="GS34"/>
      <c s="125" r="GT34"/>
      <c s="125" r="GU34"/>
      <c s="125" r="GV34"/>
      <c s="125" r="GW34"/>
      <c s="125" r="GX34"/>
      <c s="125" r="GY34"/>
      <c s="125" r="GZ34"/>
      <c s="125" r="HA34"/>
      <c s="125" r="HB34"/>
    </row>
    <row r="35">
      <c s="822" r="A35"/>
      <c s="406" r="B35"/>
      <c s="886" r="C35"/>
      <c s="886" r="D35"/>
      <c s="886" r="E35"/>
      <c s="886" r="F35"/>
      <c s="886" r="G35"/>
      <c s="886" r="H35"/>
      <c s="418" r="I35"/>
      <c s="702" r="J35"/>
      <c s="908" r="K35"/>
      <c t="str" s="485" r="L35">
        <f>IF(OR((L31=0),ISERROR((T35*P35))),"---",(((IF((V148=2),1,1.49)*((L31)^0.666))*((T35/100)^0.5))/P35))</f>
        <v>---</v>
      </c>
      <c t="str" s="693" r="M35">
        <f>IF((V148=2),"velocity (m/s)","velocity (ft/s)")</f>
        <v>velocity (ft/s)</v>
      </c>
      <c s="640" r="N35"/>
      <c s="451" r="O35"/>
      <c t="str" s="856" r="P35">
        <f>IF(ISNUMBER(N67),((IF((V148=2),1,1.49)*(L31^(1/6)))*((N67/(8*IF((V148=2),9.81,32.2)))^0.5)),IF(ISNUMBER(N66),N66,IF(ISNUMBER(O67),((IF((V148=2),1,1.49)*(L31^(1/6)))/(P37*(IF((V148=2),9.81,32.2)^0.5))),"---")))</f>
        <v>---</v>
      </c>
      <c t="s" s="693" r="Q35">
        <v>571</v>
      </c>
      <c s="245" r="R35"/>
      <c s="551" r="S35"/>
      <c t="str" s="736" r="T35">
        <f>IF(ISNUMBER(N63),N63,IF(ISNUMBER(O63),O63,"---"))</f>
        <v>---</v>
      </c>
      <c t="s" s="693" r="U35">
        <v>96</v>
      </c>
      <c s="640" r="V35"/>
      <c s="551" r="W35"/>
      <c s="52" r="X35"/>
      <c s="52" r="Y35"/>
      <c s="52" r="Z35"/>
      <c s="551" r="AA35"/>
      <c s="551" r="AB35"/>
      <c s="551" r="AC35"/>
      <c s="551" r="AD35"/>
      <c s="551" r="AE35"/>
      <c s="551" r="AF35"/>
      <c s="671" r="AG35"/>
      <c s="388" r="AH35"/>
      <c s="908" r="AI35"/>
      <c t="str" s="485" r="AJ35">
        <f>IF(OR((AJ31=0),ISERROR((AR35*AN35))),"---",(((IF((AT148=2),1,1.49)*((AJ31)^0.666))*((AR35/100)^0.5))/AN35))</f>
        <v>---</v>
      </c>
      <c t="str" s="693" r="AK35">
        <f>IF((AT148=2),"velocity (m/s)","velocity (ft/s)")</f>
        <v>velocity (ft/s)</v>
      </c>
      <c s="640" r="AL35"/>
      <c s="451" r="AM35"/>
      <c t="str" s="856" r="AN35">
        <f>IF(ISNUMBER(AL67),((IF((AT148=2),1,1.49)*(AJ31^(1/6)))*((AL67/(8*IF((AT148=2),9.81,32.2)))^0.5)),IF(ISNUMBER(AL66),AL66,IF(ISNUMBER(AM67),((IF((AT148=2),1,1.49)*(AJ31^(1/6)))/(AN37*(IF((AT148=2),9.81,32.2)^0.5))),"---")))</f>
        <v>---</v>
      </c>
      <c t="s" s="693" r="AO35">
        <v>571</v>
      </c>
      <c s="245" r="AP35"/>
      <c s="551" r="AQ35"/>
      <c t="str" s="736" r="AR35">
        <f>IF(ISNUMBER(AL63),AL63,IF(ISNUMBER(AM63),AM63,"---"))</f>
        <v>---</v>
      </c>
      <c t="s" s="693" r="AS35">
        <v>96</v>
      </c>
      <c s="640" r="AT35"/>
      <c s="551" r="AU35"/>
      <c s="52" r="AV35"/>
      <c s="52" r="AW35"/>
      <c s="52" r="AX35"/>
      <c s="551" r="AY35"/>
      <c s="551" r="AZ35"/>
      <c s="551" r="BA35"/>
      <c s="551" r="BB35"/>
      <c s="551" r="BC35"/>
      <c s="551" r="BD35"/>
      <c s="671" r="BE35"/>
      <c s="388" r="BF35"/>
      <c s="908" r="BG35"/>
      <c t="str" s="485" r="BH35">
        <f>IF(OR((BH31=0),ISERROR((BP35*BL35))),"---",(((IF((BR148=2),1,1.49)*((BH31)^0.666))*((BP35/100)^0.5))/BL35))</f>
        <v>---</v>
      </c>
      <c t="str" s="693" r="BI35">
        <f>IF((BR148=2),"velocity (m/s)","velocity (ft/s)")</f>
        <v>velocity (ft/s)</v>
      </c>
      <c s="640" r="BJ35"/>
      <c s="451" r="BK35"/>
      <c t="str" s="856" r="BL35">
        <f>IF(ISNUMBER(BJ67),((IF((BR148=2),1,1.49)*(BH31^(1/6)))*((BJ67/(8*IF((BR148=2),9.81,32.2)))^0.5)),IF(ISNUMBER(BJ66),BJ66,IF(ISNUMBER(BK67),((IF((BR148=2),1,1.49)*(BH31^(1/6)))/(BL37*(IF((BR148=2),9.81,32.2)^0.5))),"---")))</f>
        <v>---</v>
      </c>
      <c t="s" s="693" r="BM35">
        <v>571</v>
      </c>
      <c s="245" r="BN35"/>
      <c s="551" r="BO35"/>
      <c t="str" s="736" r="BP35">
        <f>IF(ISNUMBER(BJ63),BJ63,IF(ISNUMBER(BK63),BK63,"---"))</f>
        <v>---</v>
      </c>
      <c t="s" s="693" r="BQ35">
        <v>96</v>
      </c>
      <c s="640" r="BR35"/>
      <c s="551" r="BS35"/>
      <c s="52" r="BT35"/>
      <c s="52" r="BU35"/>
      <c s="52" r="BV35"/>
      <c s="551" r="BW35"/>
      <c s="551" r="BX35"/>
      <c s="551" r="BY35"/>
      <c s="551" r="BZ35"/>
      <c s="551" r="CA35"/>
      <c s="551" r="CB35"/>
      <c s="671" r="CC35"/>
      <c s="388" r="CD35"/>
      <c s="908" r="CE35"/>
      <c t="str" s="485" r="CF35">
        <f>IF(OR((CF31=0),ISERROR((CN35*CJ35))),"---",(((IF((CP148=2),1,1.49)*((CF31)^0.666))*((CN35/100)^0.5))/CJ35))</f>
        <v>---</v>
      </c>
      <c t="str" s="693" r="CG35">
        <f>IF((CP148=2),"velocity (m/s)","velocity (ft/s)")</f>
        <v>velocity (ft/s)</v>
      </c>
      <c s="640" r="CH35"/>
      <c s="451" r="CI35"/>
      <c t="str" s="856" r="CJ35">
        <f>IF(ISNUMBER(CH67),((IF((CP148=2),1,1.49)*(CF31^(1/6)))*((CH67/(8*IF((CP148=2),9.81,32.2)))^0.5)),IF(ISNUMBER(CH66),CH66,IF(ISNUMBER(CI67),((IF((CP148=2),1,1.49)*(CF31^(1/6)))/(CJ37*(IF((CP148=2),9.81,32.2)^0.5))),"---")))</f>
        <v>---</v>
      </c>
      <c t="s" s="693" r="CK35">
        <v>571</v>
      </c>
      <c s="245" r="CL35"/>
      <c s="551" r="CM35"/>
      <c t="str" s="736" r="CN35">
        <f>IF(ISNUMBER(CH63),CH63,IF(ISNUMBER(CI63),CI63,"---"))</f>
        <v>---</v>
      </c>
      <c t="s" s="693" r="CO35">
        <v>96</v>
      </c>
      <c s="640" r="CP35"/>
      <c s="551" r="CQ35"/>
      <c s="52" r="CR35"/>
      <c s="52" r="CS35"/>
      <c s="52" r="CT35"/>
      <c s="551" r="CU35"/>
      <c s="551" r="CV35"/>
      <c s="551" r="CW35"/>
      <c s="551" r="CX35"/>
      <c s="551" r="CY35"/>
      <c s="551" r="CZ35"/>
      <c s="671" r="DA35"/>
      <c s="388" r="DB35"/>
      <c s="908" r="DC35"/>
      <c t="str" s="485" r="DD35">
        <f>IF(OR((DD31=0),ISERROR((DL35*DH35))),"---",(((IF((DN148=2),1,1.49)*((DD31)^0.666))*((DL35/100)^0.5))/DH35))</f>
        <v>---</v>
      </c>
      <c t="str" s="693" r="DE35">
        <f>IF((DN148=2),"velocity (m/s)","velocity (ft/s)")</f>
        <v>velocity (ft/s)</v>
      </c>
      <c s="640" r="DF35"/>
      <c s="451" r="DG35"/>
      <c t="str" s="856" r="DH35">
        <f>IF(ISNUMBER(DF67),((IF((DN148=2),1,1.49)*(DD31^(1/6)))*((DF67/(8*IF((DN148=2),9.81,32.2)))^0.5)),IF(ISNUMBER(DF66),DF66,IF(ISNUMBER(DG67),((IF((DN148=2),1,1.49)*(DD31^(1/6)))/(DH37*(IF((DN148=2),9.81,32.2)^0.5))),"---")))</f>
        <v>---</v>
      </c>
      <c t="s" s="693" r="DI35">
        <v>571</v>
      </c>
      <c s="245" r="DJ35"/>
      <c s="551" r="DK35"/>
      <c t="str" s="736" r="DL35">
        <f>IF(ISNUMBER(DF63),DF63,IF(ISNUMBER(DG63),DG63,"---"))</f>
        <v>---</v>
      </c>
      <c t="s" s="693" r="DM35">
        <v>96</v>
      </c>
      <c s="640" r="DN35"/>
      <c s="551" r="DO35"/>
      <c s="52" r="DP35"/>
      <c s="52" r="DQ35"/>
      <c s="52" r="DR35"/>
      <c s="551" r="DS35"/>
      <c s="551" r="DT35"/>
      <c s="551" r="DU35"/>
      <c s="551" r="DV35"/>
      <c s="551" r="DW35"/>
      <c s="551" r="DX35"/>
      <c s="671" r="DY35"/>
      <c s="388" r="DZ35"/>
      <c s="908" r="EA35"/>
      <c t="str" s="485" r="EB35">
        <f>IF(OR((EB31=0),ISERROR((EJ35*EF35))),"---",(((IF((EL148=2),1,1.49)*((EB31)^0.666))*((EJ35/100)^0.5))/EF35))</f>
        <v>---</v>
      </c>
      <c t="str" s="693" r="EC35">
        <f>IF((EL148=2),"velocity (m/s)","velocity (ft/s)")</f>
        <v>velocity (ft/s)</v>
      </c>
      <c s="640" r="ED35"/>
      <c s="451" r="EE35"/>
      <c t="str" s="856" r="EF35">
        <f>IF(ISNUMBER(ED67),((IF((EL148=2),1,1.49)*(EB31^(1/6)))*((ED67/(8*IF((EL148=2),9.81,32.2)))^0.5)),IF(ISNUMBER(ED66),ED66,IF(ISNUMBER(EE67),((IF((EL148=2),1,1.49)*(EB31^(1/6)))/(EF37*(IF((EL148=2),9.81,32.2)^0.5))),"---")))</f>
        <v>---</v>
      </c>
      <c t="s" s="693" r="EG35">
        <v>571</v>
      </c>
      <c s="245" r="EH35"/>
      <c s="551" r="EI35"/>
      <c t="str" s="736" r="EJ35">
        <f>IF(ISNUMBER(ED63),ED63,IF(ISNUMBER(EE63),EE63,"---"))</f>
        <v>---</v>
      </c>
      <c t="s" s="693" r="EK35">
        <v>96</v>
      </c>
      <c s="640" r="EL35"/>
      <c s="551" r="EM35"/>
      <c s="52" r="EN35"/>
      <c s="52" r="EO35"/>
      <c s="52" r="EP35"/>
      <c s="551" r="EQ35"/>
      <c s="551" r="ER35"/>
      <c s="551" r="ES35"/>
      <c s="551" r="ET35"/>
      <c s="551" r="EU35"/>
      <c s="551" r="EV35"/>
      <c s="671" r="EW35"/>
      <c s="388" r="EX35"/>
      <c s="908" r="EY35"/>
      <c t="str" s="485" r="EZ35">
        <f>IF(OR((EZ31=0),ISERROR((FH35*FD35))),"---",(((IF((FJ148=2),1,1.49)*((EZ31)^0.666))*((FH35/100)^0.5))/FD35))</f>
        <v>---</v>
      </c>
      <c t="str" s="693" r="FA35">
        <f>IF((FJ148=2),"velocity (m/s)","velocity (ft/s)")</f>
        <v>velocity (ft/s)</v>
      </c>
      <c s="640" r="FB35"/>
      <c s="451" r="FC35"/>
      <c t="str" s="856" r="FD35">
        <f>IF(ISNUMBER(FB67),((IF((FJ148=2),1,1.49)*(EZ31^(1/6)))*((FB67/(8*IF((FJ148=2),9.81,32.2)))^0.5)),IF(ISNUMBER(FB66),FB66,IF(ISNUMBER(FC67),((IF((FJ148=2),1,1.49)*(EZ31^(1/6)))/(FD37*(IF((FJ148=2),9.81,32.2)^0.5))),"---")))</f>
        <v>---</v>
      </c>
      <c t="s" s="693" r="FE35">
        <v>571</v>
      </c>
      <c s="245" r="FF35"/>
      <c s="551" r="FG35"/>
      <c t="str" s="736" r="FH35">
        <f>IF(ISNUMBER(FB63),FB63,IF(ISNUMBER(FC63),FC63,"---"))</f>
        <v>---</v>
      </c>
      <c t="s" s="693" r="FI35">
        <v>96</v>
      </c>
      <c s="640" r="FJ35"/>
      <c s="551" r="FK35"/>
      <c s="52" r="FL35"/>
      <c s="52" r="FM35"/>
      <c s="52" r="FN35"/>
      <c s="551" r="FO35"/>
      <c s="551" r="FP35"/>
      <c s="551" r="FQ35"/>
      <c s="551" r="FR35"/>
      <c s="551" r="FS35"/>
      <c s="551" r="FT35"/>
      <c s="671" r="FU35"/>
      <c s="222" r="FV35"/>
      <c s="125" r="FW35"/>
      <c s="125" r="FX35"/>
      <c s="125" r="FY35"/>
      <c s="125" r="FZ35"/>
      <c s="125" r="GA35"/>
      <c s="125" r="GB35"/>
      <c s="125" r="GC35"/>
      <c s="125" r="GD35"/>
      <c s="125" r="GE35"/>
      <c s="125" r="GF35"/>
      <c s="125" r="GG35"/>
      <c s="125" r="GH35"/>
      <c s="125" r="GI35"/>
      <c s="125" r="GJ35"/>
      <c s="125" r="GK35"/>
      <c s="125" r="GL35"/>
      <c s="125" r="GM35"/>
      <c s="125" r="GN35"/>
      <c s="125" r="GO35"/>
      <c s="125" r="GP35"/>
      <c s="125" r="GQ35"/>
      <c s="125" r="GR35"/>
      <c s="125" r="GS35"/>
      <c s="125" r="GT35"/>
      <c s="125" r="GU35"/>
      <c s="125" r="GV35"/>
      <c s="125" r="GW35"/>
      <c s="125" r="GX35"/>
      <c s="125" r="GY35"/>
      <c s="125" r="GZ35"/>
      <c s="125" r="HA35"/>
      <c s="125" r="HB35"/>
    </row>
    <row r="36">
      <c s="822" r="A36"/>
      <c s="406" r="B36"/>
      <c t="s" s="729" r="C36">
        <v>572</v>
      </c>
      <c s="566" r="D36"/>
      <c s="566" r="E36"/>
      <c s="566" r="F36"/>
      <c t="s" s="529" r="G36">
        <v>76</v>
      </c>
      <c t="s" s="529" r="H36">
        <v>77</v>
      </c>
      <c s="418" r="I36"/>
      <c t="s" s="702" r="J36">
        <v>2</v>
      </c>
      <c s="908" r="K36"/>
      <c t="str" s="286" r="L36">
        <f>IF(ISNUMBER(L35),(L35*L26),"---")</f>
        <v>---</v>
      </c>
      <c t="str" s="472" r="M36">
        <f>IF((V148=2),"discharge rate (cms)","discharge rate (cfs)")</f>
        <v>discharge rate (cfs)</v>
      </c>
      <c s="551" r="N36"/>
      <c s="451" r="O36"/>
      <c t="str" s="605" r="P36">
        <f>IF(ISNUMBER(N67),N67,IF(ISNUMBER(((N66/L31)/N66)),(((8*32.2)*(N66^2))/((1.49^2)*(L31^0.333))),IF(ISNUMBER(O67),O67,"---")))</f>
        <v>---</v>
      </c>
      <c t="s" s="472" r="Q36">
        <v>573</v>
      </c>
      <c s="677" r="R36"/>
      <c s="358" r="S36"/>
      <c t="str" s="605" r="T36">
        <f>IF(ISNUMBER(((L26/L30)*T35)),(((IF((V148=2),(1000*9.81),62.4)*(L26/L30))*T35)/100),"---")</f>
        <v>---</v>
      </c>
      <c t="str" s="472" r="U36">
        <f>IF((V148=2),"shear stress (N/sq.m.)","shear stress (lb/sq.ft.)")</f>
        <v>shear stress (lb/sq.ft.)</v>
      </c>
      <c s="551" r="V36"/>
      <c s="551" r="W36"/>
      <c s="52" r="X36"/>
      <c s="52" r="Y36"/>
      <c s="52" r="Z36"/>
      <c s="551" r="AA36"/>
      <c s="551" r="AB36"/>
      <c s="551" r="AC36"/>
      <c s="551" r="AD36"/>
      <c s="551" r="AE36"/>
      <c s="551" r="AF36"/>
      <c s="671" r="AG36"/>
      <c s="388" r="AH36"/>
      <c s="908" r="AI36"/>
      <c t="str" s="286" r="AJ36">
        <f>IF(ISNUMBER(AJ35),(AJ35*AJ26),"---")</f>
        <v>---</v>
      </c>
      <c t="str" s="472" r="AK36">
        <f>IF((AT148=2),"discharge rate (cms)","discharge rate (cfs)")</f>
        <v>discharge rate (cfs)</v>
      </c>
      <c s="551" r="AL36"/>
      <c s="451" r="AM36"/>
      <c t="str" s="605" r="AN36">
        <f>IF(ISNUMBER(AL67),AL67,IF(ISNUMBER(((AL66/AJ31)/AL66)),(((8*32.2)*(AL66^2))/((1.49^2)*(AJ31^0.333))),IF(ISNUMBER(AM67),AM67,"---")))</f>
        <v>---</v>
      </c>
      <c t="s" s="472" r="AO36">
        <v>573</v>
      </c>
      <c s="677" r="AP36"/>
      <c s="358" r="AQ36"/>
      <c t="str" s="605" r="AR36">
        <f>IF(ISNUMBER(((AJ26/AJ30)*AR35)),(((IF((AT148=2),(1000*9.81),62.4)*(AJ26/AJ30))*AR35)/100),"---")</f>
        <v>---</v>
      </c>
      <c t="str" s="472" r="AS36">
        <f>IF((AT148=2),"shear stress (N/sq.m.)","shear stress (lb/sq.ft.)")</f>
        <v>shear stress (lb/sq.ft.)</v>
      </c>
      <c s="551" r="AT36"/>
      <c s="551" r="AU36"/>
      <c s="52" r="AV36"/>
      <c s="52" r="AW36"/>
      <c s="52" r="AX36"/>
      <c s="551" r="AY36"/>
      <c s="551" r="AZ36"/>
      <c s="551" r="BA36"/>
      <c s="551" r="BB36"/>
      <c s="551" r="BC36"/>
      <c s="551" r="BD36"/>
      <c s="671" r="BE36"/>
      <c s="388" r="BF36"/>
      <c s="908" r="BG36"/>
      <c t="str" s="286" r="BH36">
        <f>IF(ISNUMBER(BH35),(BH35*BH26),"---")</f>
        <v>---</v>
      </c>
      <c t="str" s="472" r="BI36">
        <f>IF((BR148=2),"discharge rate (cms)","discharge rate (cfs)")</f>
        <v>discharge rate (cfs)</v>
      </c>
      <c s="551" r="BJ36"/>
      <c s="451" r="BK36"/>
      <c t="str" s="605" r="BL36">
        <f>IF(ISNUMBER(BJ67),BJ67,IF(ISNUMBER(((BJ66/BH31)/BJ66)),(((8*32.2)*(BJ66^2))/((1.49^2)*(BH31^0.333))),IF(ISNUMBER(BK67),BK67,"---")))</f>
        <v>---</v>
      </c>
      <c t="s" s="472" r="BM36">
        <v>573</v>
      </c>
      <c s="677" r="BN36"/>
      <c s="358" r="BO36"/>
      <c t="str" s="605" r="BP36">
        <f>IF(ISNUMBER(((BH26/BH30)*BP35)),(((IF((BR148=2),(1000*9.81),62.4)*(BH26/BH30))*BP35)/100),"---")</f>
        <v>---</v>
      </c>
      <c t="str" s="472" r="BQ36">
        <f>IF((BR148=2),"shear stress (N/sq.m.)","shear stress (lb/sq.ft.)")</f>
        <v>shear stress (lb/sq.ft.)</v>
      </c>
      <c s="551" r="BR36"/>
      <c s="551" r="BS36"/>
      <c s="52" r="BT36"/>
      <c s="52" r="BU36"/>
      <c s="52" r="BV36"/>
      <c s="551" r="BW36"/>
      <c s="551" r="BX36"/>
      <c s="551" r="BY36"/>
      <c s="551" r="BZ36"/>
      <c s="551" r="CA36"/>
      <c s="551" r="CB36"/>
      <c s="671" r="CC36"/>
      <c s="388" r="CD36"/>
      <c s="908" r="CE36"/>
      <c t="str" s="286" r="CF36">
        <f>IF(ISNUMBER(CF35),(CF35*CF26),"---")</f>
        <v>---</v>
      </c>
      <c t="str" s="472" r="CG36">
        <f>IF((CP148=2),"discharge rate (cms)","discharge rate (cfs)")</f>
        <v>discharge rate (cfs)</v>
      </c>
      <c s="551" r="CH36"/>
      <c s="451" r="CI36"/>
      <c t="str" s="605" r="CJ36">
        <f>IF(ISNUMBER(CH67),CH67,IF(ISNUMBER(((CH66/CF31)/CH66)),(((8*32.2)*(CH66^2))/((1.49^2)*(CF31^0.333))),IF(ISNUMBER(CI67),CI67,"---")))</f>
        <v>---</v>
      </c>
      <c t="s" s="472" r="CK36">
        <v>573</v>
      </c>
      <c s="677" r="CL36"/>
      <c s="358" r="CM36"/>
      <c t="str" s="605" r="CN36">
        <f>IF(ISNUMBER(((CF26/CF30)*CN35)),(((IF((CP148=2),(1000*9.81),62.4)*(CF26/CF30))*CN35)/100),"---")</f>
        <v>---</v>
      </c>
      <c t="str" s="472" r="CO36">
        <f>IF((CP148=2),"shear stress (N/sq.m.)","shear stress (lb/sq.ft.)")</f>
        <v>shear stress (lb/sq.ft.)</v>
      </c>
      <c s="551" r="CP36"/>
      <c s="551" r="CQ36"/>
      <c s="52" r="CR36"/>
      <c s="52" r="CS36"/>
      <c s="52" r="CT36"/>
      <c s="551" r="CU36"/>
      <c s="551" r="CV36"/>
      <c s="551" r="CW36"/>
      <c s="551" r="CX36"/>
      <c s="551" r="CY36"/>
      <c s="551" r="CZ36"/>
      <c s="671" r="DA36"/>
      <c s="388" r="DB36"/>
      <c s="908" r="DC36"/>
      <c t="str" s="286" r="DD36">
        <f>IF(ISNUMBER(DD35),(DD35*DD26),"---")</f>
        <v>---</v>
      </c>
      <c t="str" s="472" r="DE36">
        <f>IF((DN148=2),"discharge rate (cms)","discharge rate (cfs)")</f>
        <v>discharge rate (cfs)</v>
      </c>
      <c s="551" r="DF36"/>
      <c s="451" r="DG36"/>
      <c t="str" s="605" r="DH36">
        <f>IF(ISNUMBER(DF67),DF67,IF(ISNUMBER(((DF66/DD31)/DF66)),(((8*32.2)*(DF66^2))/((1.49^2)*(DD31^0.333))),IF(ISNUMBER(DG67),DG67,"---")))</f>
        <v>---</v>
      </c>
      <c t="s" s="472" r="DI36">
        <v>573</v>
      </c>
      <c s="677" r="DJ36"/>
      <c s="358" r="DK36"/>
      <c t="str" s="605" r="DL36">
        <f>IF(ISNUMBER(((DD26/DD30)*DL35)),(((IF((DN148=2),(1000*9.81),62.4)*(DD26/DD30))*DL35)/100),"---")</f>
        <v>---</v>
      </c>
      <c t="str" s="472" r="DM36">
        <f>IF((DN148=2),"shear stress (N/sq.m.)","shear stress (lb/sq.ft.)")</f>
        <v>shear stress (lb/sq.ft.)</v>
      </c>
      <c s="551" r="DN36"/>
      <c s="551" r="DO36"/>
      <c s="52" r="DP36"/>
      <c s="52" r="DQ36"/>
      <c s="52" r="DR36"/>
      <c s="551" r="DS36"/>
      <c s="551" r="DT36"/>
      <c s="551" r="DU36"/>
      <c s="551" r="DV36"/>
      <c s="551" r="DW36"/>
      <c s="551" r="DX36"/>
      <c s="671" r="DY36"/>
      <c s="388" r="DZ36"/>
      <c s="908" r="EA36"/>
      <c t="str" s="286" r="EB36">
        <f>IF(ISNUMBER(EB35),(EB35*EB26),"---")</f>
        <v>---</v>
      </c>
      <c t="str" s="472" r="EC36">
        <f>IF((EL148=2),"discharge rate (cms)","discharge rate (cfs)")</f>
        <v>discharge rate (cfs)</v>
      </c>
      <c s="551" r="ED36"/>
      <c s="451" r="EE36"/>
      <c t="str" s="605" r="EF36">
        <f>IF(ISNUMBER(ED67),ED67,IF(ISNUMBER(((ED66/EB31)/ED66)),(((8*32.2)*(ED66^2))/((1.49^2)*(EB31^0.333))),IF(ISNUMBER(EE67),EE67,"---")))</f>
        <v>---</v>
      </c>
      <c t="s" s="472" r="EG36">
        <v>573</v>
      </c>
      <c s="677" r="EH36"/>
      <c s="358" r="EI36"/>
      <c t="str" s="605" r="EJ36">
        <f>IF(ISNUMBER(((EB26/EB30)*EJ35)),(((IF((EL148=2),(1000*9.81),62.4)*(EB26/EB30))*EJ35)/100),"---")</f>
        <v>---</v>
      </c>
      <c t="str" s="472" r="EK36">
        <f>IF((EL148=2),"shear stress (N/sq.m.)","shear stress (lb/sq.ft.)")</f>
        <v>shear stress (lb/sq.ft.)</v>
      </c>
      <c s="551" r="EL36"/>
      <c s="551" r="EM36"/>
      <c s="52" r="EN36"/>
      <c s="52" r="EO36"/>
      <c s="52" r="EP36"/>
      <c s="551" r="EQ36"/>
      <c s="551" r="ER36"/>
      <c s="551" r="ES36"/>
      <c s="551" r="ET36"/>
      <c s="551" r="EU36"/>
      <c s="551" r="EV36"/>
      <c s="671" r="EW36"/>
      <c s="388" r="EX36"/>
      <c s="908" r="EY36"/>
      <c t="str" s="286" r="EZ36">
        <f>IF(ISNUMBER(EZ35),(EZ35*EZ26),"---")</f>
        <v>---</v>
      </c>
      <c t="str" s="472" r="FA36">
        <f>IF((FJ148=2),"discharge rate (cms)","discharge rate (cfs)")</f>
        <v>discharge rate (cfs)</v>
      </c>
      <c s="551" r="FB36"/>
      <c s="451" r="FC36"/>
      <c t="str" s="605" r="FD36">
        <f>IF(ISNUMBER(FB67),FB67,IF(ISNUMBER(((FB66/EZ31)/FB66)),(((8*32.2)*(FB66^2))/((1.49^2)*(EZ31^0.333))),IF(ISNUMBER(FC67),FC67,"---")))</f>
        <v>---</v>
      </c>
      <c t="s" s="472" r="FE36">
        <v>573</v>
      </c>
      <c s="677" r="FF36"/>
      <c s="358" r="FG36"/>
      <c t="str" s="605" r="FH36">
        <f>IF(ISNUMBER(((EZ26/EZ30)*FH35)),(((IF((FJ148=2),(1000*9.81),62.4)*(EZ26/EZ30))*FH35)/100),"---")</f>
        <v>---</v>
      </c>
      <c t="str" s="472" r="FI36">
        <f>IF((FJ148=2),"shear stress (N/sq.m.)","shear stress (lb/sq.ft.)")</f>
        <v>shear stress (lb/sq.ft.)</v>
      </c>
      <c s="551" r="FJ36"/>
      <c s="551" r="FK36"/>
      <c s="52" r="FL36"/>
      <c s="52" r="FM36"/>
      <c s="52" r="FN36"/>
      <c s="551" r="FO36"/>
      <c s="551" r="FP36"/>
      <c s="551" r="FQ36"/>
      <c s="551" r="FR36"/>
      <c s="551" r="FS36"/>
      <c s="551" r="FT36"/>
      <c s="671" r="FU36"/>
      <c s="222" r="FV36"/>
      <c t="s" s="125" r="FW36">
        <v>2</v>
      </c>
      <c s="125" r="FX36"/>
      <c s="125" r="FY36"/>
      <c s="125" r="FZ36"/>
      <c s="125" r="GA36"/>
      <c s="125" r="GB36"/>
      <c s="125" r="GC36"/>
      <c s="125" r="GD36"/>
      <c s="125" r="GE36"/>
      <c s="125" r="GF36"/>
      <c s="125" r="GG36"/>
      <c s="125" r="GH36"/>
      <c s="125" r="GI36"/>
      <c s="125" r="GJ36"/>
      <c s="125" r="GK36"/>
      <c s="125" r="GL36"/>
      <c s="125" r="GM36"/>
      <c s="125" r="GN36"/>
      <c s="125" r="GO36"/>
      <c s="125" r="GP36"/>
      <c s="125" r="GQ36"/>
      <c s="125" r="GR36"/>
      <c s="125" r="GS36"/>
      <c s="125" r="GT36"/>
      <c s="125" r="GU36"/>
      <c s="125" r="GV36"/>
      <c s="125" r="GW36"/>
      <c s="125" r="GX36"/>
      <c s="125" r="GY36"/>
      <c s="125" r="GZ36"/>
      <c s="125" r="HA36"/>
      <c s="125" r="HB36"/>
    </row>
    <row r="37">
      <c s="822" r="A37"/>
      <c s="406" r="B37"/>
      <c s="756" r="C37"/>
      <c t="s" s="7" r="D37">
        <v>250</v>
      </c>
      <c s="458" r="E37"/>
      <c s="510" r="F37"/>
      <c s="458" r="G37"/>
      <c s="458" r="H37"/>
      <c s="734" r="I37"/>
      <c t="s" s="702" r="J37">
        <v>2</v>
      </c>
      <c s="908" r="K37"/>
      <c t="str" s="605" r="L37">
        <f>IF(ISNUMBER((L35*L31)),(L35/((IF((V148=2),9.81,32.2)*L31)^0.5)),"---")</f>
        <v>---</v>
      </c>
      <c t="s" s="472" r="M37">
        <v>101</v>
      </c>
      <c s="551" r="N37"/>
      <c s="551" r="O37"/>
      <c t="str" s="286" r="P37">
        <f>IF(ISNUMBER(((L31/L29)/T27)),(5.75*LOG((((11.1*((L31/L29)^-0.314))*L31)/((3.5*T27)/IF((V148=2),1000,304.9))))),"---")</f>
        <v>---</v>
      </c>
      <c t="s" s="472" r="Q37">
        <v>574</v>
      </c>
      <c s="677" r="R37"/>
      <c s="358" r="S37"/>
      <c t="str" s="605" r="T37">
        <f>IF(ISNUMBER(((L26/L30)*T35)),((((IF((V148=2),9.81,32.2)*(L26/L30))*T35)/100)^0.5),"---")</f>
        <v>---</v>
      </c>
      <c t="str" s="472" r="U37">
        <f>IF((V148=2),"shear velocity (m/s)","shear velocity (ft/s)")</f>
        <v>shear velocity (ft/s)</v>
      </c>
      <c s="551" r="V37"/>
      <c s="551" r="W37"/>
      <c s="286" r="X37"/>
      <c s="286" r="Y37"/>
      <c s="286" r="Z37"/>
      <c s="551" r="AA37"/>
      <c s="551" r="AB37"/>
      <c s="551" r="AC37"/>
      <c s="551" r="AD37"/>
      <c s="551" r="AE37"/>
      <c s="551" r="AF37"/>
      <c s="671" r="AG37"/>
      <c s="388" r="AH37"/>
      <c s="908" r="AI37"/>
      <c t="str" s="605" r="AJ37">
        <f>IF(ISNUMBER((AJ35*AJ31)),(AJ35/((IF((AT148=2),9.81,32.2)*AJ31)^0.5)),"---")</f>
        <v>---</v>
      </c>
      <c t="s" s="472" r="AK37">
        <v>101</v>
      </c>
      <c s="551" r="AL37"/>
      <c s="551" r="AM37"/>
      <c t="str" s="286" r="AN37">
        <f>IF(ISNUMBER(((AJ31/AJ29)/AR27)),(5.75*LOG((((11.1*((AJ31/AJ29)^-0.314))*AJ31)/((3.5*AR27)/IF((AT148=2),1000,304.9))))),"---")</f>
        <v>---</v>
      </c>
      <c t="s" s="472" r="AO37">
        <v>574</v>
      </c>
      <c s="677" r="AP37"/>
      <c s="358" r="AQ37"/>
      <c t="str" s="605" r="AR37">
        <f>IF(ISNUMBER(((AJ26/AJ30)*AR35)),((((IF((AT148=2),9.81,32.2)*(AJ26/AJ30))*AR35)/100)^0.5),"---")</f>
        <v>---</v>
      </c>
      <c t="str" s="472" r="AS37">
        <f>IF((AT148=2),"shear velocity (m/s)","shear velocity (ft/s)")</f>
        <v>shear velocity (ft/s)</v>
      </c>
      <c s="551" r="AT37"/>
      <c s="551" r="AU37"/>
      <c s="286" r="AV37"/>
      <c s="286" r="AW37"/>
      <c s="286" r="AX37"/>
      <c s="551" r="AY37"/>
      <c s="551" r="AZ37"/>
      <c s="551" r="BA37"/>
      <c s="551" r="BB37"/>
      <c s="551" r="BC37"/>
      <c s="551" r="BD37"/>
      <c s="671" r="BE37"/>
      <c s="388" r="BF37"/>
      <c s="908" r="BG37"/>
      <c t="str" s="605" r="BH37">
        <f>IF(ISNUMBER((BH35*BH31)),(BH35/((IF((BR148=2),9.81,32.2)*BH31)^0.5)),"---")</f>
        <v>---</v>
      </c>
      <c t="s" s="472" r="BI37">
        <v>101</v>
      </c>
      <c s="551" r="BJ37"/>
      <c s="551" r="BK37"/>
      <c t="str" s="286" r="BL37">
        <f>IF(ISNUMBER(((BH31/BH29)/BP27)),(5.75*LOG((((11.1*((BH31/BH29)^-0.314))*BH31)/((3.5*BP27)/IF((BR148=2),1000,304.9))))),"---")</f>
        <v>---</v>
      </c>
      <c t="s" s="472" r="BM37">
        <v>574</v>
      </c>
      <c s="677" r="BN37"/>
      <c s="358" r="BO37"/>
      <c t="str" s="605" r="BP37">
        <f>IF(ISNUMBER(((BH26/BH30)*BP35)),((((IF((BR148=2),9.81,32.2)*(BH26/BH30))*BP35)/100)^0.5),"---")</f>
        <v>---</v>
      </c>
      <c t="str" s="472" r="BQ37">
        <f>IF((BR148=2),"shear velocity (m/s)","shear velocity (ft/s)")</f>
        <v>shear velocity (ft/s)</v>
      </c>
      <c s="551" r="BR37"/>
      <c s="551" r="BS37"/>
      <c s="286" r="BT37"/>
      <c s="286" r="BU37"/>
      <c s="286" r="BV37"/>
      <c s="551" r="BW37"/>
      <c s="551" r="BX37"/>
      <c s="551" r="BY37"/>
      <c s="551" r="BZ37"/>
      <c s="551" r="CA37"/>
      <c s="551" r="CB37"/>
      <c s="671" r="CC37"/>
      <c s="388" r="CD37"/>
      <c s="908" r="CE37"/>
      <c t="str" s="605" r="CF37">
        <f>IF(ISNUMBER((CF35*CF31)),(CF35/((IF((CP148=2),9.81,32.2)*CF31)^0.5)),"---")</f>
        <v>---</v>
      </c>
      <c t="s" s="472" r="CG37">
        <v>101</v>
      </c>
      <c s="551" r="CH37"/>
      <c s="551" r="CI37"/>
      <c t="str" s="286" r="CJ37">
        <f>IF(ISNUMBER(((CF31/CF29)/CN27)),(5.75*LOG((((11.1*((CF31/CF29)^-0.314))*CF31)/((3.5*CN27)/IF((CP148=2),1000,304.9))))),"---")</f>
        <v>---</v>
      </c>
      <c t="s" s="472" r="CK37">
        <v>574</v>
      </c>
      <c s="677" r="CL37"/>
      <c s="358" r="CM37"/>
      <c t="str" s="605" r="CN37">
        <f>IF(ISNUMBER(((CF26/CF30)*CN35)),((((IF((CP148=2),9.81,32.2)*(CF26/CF30))*CN35)/100)^0.5),"---")</f>
        <v>---</v>
      </c>
      <c t="str" s="472" r="CO37">
        <f>IF((CP148=2),"shear velocity (m/s)","shear velocity (ft/s)")</f>
        <v>shear velocity (ft/s)</v>
      </c>
      <c s="551" r="CP37"/>
      <c s="551" r="CQ37"/>
      <c s="286" r="CR37"/>
      <c s="286" r="CS37"/>
      <c s="286" r="CT37"/>
      <c s="551" r="CU37"/>
      <c s="551" r="CV37"/>
      <c s="551" r="CW37"/>
      <c s="551" r="CX37"/>
      <c s="551" r="CY37"/>
      <c s="551" r="CZ37"/>
      <c s="671" r="DA37"/>
      <c s="388" r="DB37"/>
      <c s="908" r="DC37"/>
      <c t="str" s="605" r="DD37">
        <f>IF(ISNUMBER((DD35*DD31)),(DD35/((IF((DN148=2),9.81,32.2)*DD31)^0.5)),"---")</f>
        <v>---</v>
      </c>
      <c t="s" s="472" r="DE37">
        <v>101</v>
      </c>
      <c s="551" r="DF37"/>
      <c s="551" r="DG37"/>
      <c t="str" s="286" r="DH37">
        <f>IF(ISNUMBER(((DD31/DD29)/DL27)),(5.75*LOG((((11.1*((DD31/DD29)^-0.314))*DD31)/((3.5*DL27)/IF((DN148=2),1000,304.9))))),"---")</f>
        <v>---</v>
      </c>
      <c t="s" s="472" r="DI37">
        <v>574</v>
      </c>
      <c s="677" r="DJ37"/>
      <c s="358" r="DK37"/>
      <c t="str" s="605" r="DL37">
        <f>IF(ISNUMBER(((DD26/DD30)*DL35)),((((IF((DN148=2),9.81,32.2)*(DD26/DD30))*DL35)/100)^0.5),"---")</f>
        <v>---</v>
      </c>
      <c t="str" s="472" r="DM37">
        <f>IF((DN148=2),"shear velocity (m/s)","shear velocity (ft/s)")</f>
        <v>shear velocity (ft/s)</v>
      </c>
      <c s="551" r="DN37"/>
      <c s="551" r="DO37"/>
      <c s="286" r="DP37"/>
      <c s="286" r="DQ37"/>
      <c s="286" r="DR37"/>
      <c s="551" r="DS37"/>
      <c s="551" r="DT37"/>
      <c s="551" r="DU37"/>
      <c s="551" r="DV37"/>
      <c s="551" r="DW37"/>
      <c s="551" r="DX37"/>
      <c s="671" r="DY37"/>
      <c s="388" r="DZ37"/>
      <c s="908" r="EA37"/>
      <c t="str" s="605" r="EB37">
        <f>IF(ISNUMBER((EB35*EB31)),(EB35/((IF((EL148=2),9.81,32.2)*EB31)^0.5)),"---")</f>
        <v>---</v>
      </c>
      <c t="s" s="472" r="EC37">
        <v>101</v>
      </c>
      <c s="551" r="ED37"/>
      <c s="551" r="EE37"/>
      <c t="str" s="286" r="EF37">
        <f>IF(ISNUMBER(((EB31/EB29)/EJ27)),(5.75*LOG((((11.1*((EB31/EB29)^-0.314))*EB31)/((3.5*EJ27)/IF((EL148=2),1000,304.9))))),"---")</f>
        <v>---</v>
      </c>
      <c t="s" s="472" r="EG37">
        <v>574</v>
      </c>
      <c s="677" r="EH37"/>
      <c s="358" r="EI37"/>
      <c t="str" s="605" r="EJ37">
        <f>IF(ISNUMBER(((EB26/EB30)*EJ35)),((((IF((EL148=2),9.81,32.2)*(EB26/EB30))*EJ35)/100)^0.5),"---")</f>
        <v>---</v>
      </c>
      <c t="str" s="472" r="EK37">
        <f>IF((EL148=2),"shear velocity (m/s)","shear velocity (ft/s)")</f>
        <v>shear velocity (ft/s)</v>
      </c>
      <c s="551" r="EL37"/>
      <c s="551" r="EM37"/>
      <c s="286" r="EN37"/>
      <c s="286" r="EO37"/>
      <c s="286" r="EP37"/>
      <c s="551" r="EQ37"/>
      <c s="551" r="ER37"/>
      <c s="551" r="ES37"/>
      <c s="551" r="ET37"/>
      <c s="551" r="EU37"/>
      <c s="551" r="EV37"/>
      <c s="671" r="EW37"/>
      <c s="388" r="EX37"/>
      <c s="908" r="EY37"/>
      <c t="str" s="605" r="EZ37">
        <f>IF(ISNUMBER((EZ35*EZ31)),(EZ35/((IF((FJ148=2),9.81,32.2)*EZ31)^0.5)),"---")</f>
        <v>---</v>
      </c>
      <c t="s" s="472" r="FA37">
        <v>101</v>
      </c>
      <c s="551" r="FB37"/>
      <c s="551" r="FC37"/>
      <c t="str" s="286" r="FD37">
        <f>IF(ISNUMBER(((EZ31/EZ29)/FH27)),(5.75*LOG((((11.1*((EZ31/EZ29)^-0.314))*EZ31)/((3.5*FH27)/IF((FJ148=2),1000,304.9))))),"---")</f>
        <v>---</v>
      </c>
      <c t="s" s="472" r="FE37">
        <v>574</v>
      </c>
      <c s="677" r="FF37"/>
      <c s="358" r="FG37"/>
      <c t="str" s="605" r="FH37">
        <f>IF(ISNUMBER(((EZ26/EZ30)*FH35)),((((IF((FJ148=2),9.81,32.2)*(EZ26/EZ30))*FH35)/100)^0.5),"---")</f>
        <v>---</v>
      </c>
      <c t="str" s="472" r="FI37">
        <f>IF((FJ148=2),"shear velocity (m/s)","shear velocity (ft/s)")</f>
        <v>shear velocity (ft/s)</v>
      </c>
      <c s="551" r="FJ37"/>
      <c s="551" r="FK37"/>
      <c s="286" r="FL37"/>
      <c s="286" r="FM37"/>
      <c s="286" r="FN37"/>
      <c s="551" r="FO37"/>
      <c s="551" r="FP37"/>
      <c s="551" r="FQ37"/>
      <c s="551" r="FR37"/>
      <c s="551" r="FS37"/>
      <c s="551" r="FT37"/>
      <c s="671" r="FU37"/>
      <c s="222" r="FV37"/>
      <c s="125" r="FW37"/>
      <c s="125" r="FX37"/>
      <c s="125" r="FY37"/>
      <c s="125" r="FZ37"/>
      <c s="125" r="GA37"/>
      <c s="125" r="GB37"/>
      <c s="125" r="GC37"/>
      <c s="125" r="GD37"/>
      <c s="125" r="GE37"/>
      <c s="125" r="GF37"/>
      <c s="125" r="GG37"/>
      <c s="125" r="GH37"/>
      <c s="125" r="GI37"/>
      <c s="125" r="GJ37"/>
      <c s="125" r="GK37"/>
      <c s="125" r="GL37"/>
      <c s="125" r="GM37"/>
      <c s="125" r="GN37"/>
      <c s="125" r="GO37"/>
      <c s="125" r="GP37"/>
      <c s="125" r="GQ37"/>
      <c s="125" r="GR37"/>
      <c s="125" r="GS37"/>
      <c s="125" r="GT37"/>
      <c s="125" r="GU37"/>
      <c s="125" r="GV37"/>
      <c s="125" r="GW37"/>
      <c s="125" r="GX37"/>
      <c s="125" r="GY37"/>
      <c s="125" r="GZ37"/>
      <c s="125" r="HA37"/>
      <c s="125" r="HB37"/>
    </row>
    <row customHeight="1" r="38" ht="13.5">
      <c s="822" r="A38"/>
      <c s="406" r="B38"/>
      <c s="886" r="C38"/>
      <c s="886" r="D38"/>
      <c t="str" s="654" r="E38">
        <f>'Dimension Estimated Values'!D5</f>
        <v>#VALUE!:cantParseText:---</v>
      </c>
      <c s="226" r="F38"/>
      <c t="str" s="654" r="G38">
        <f>'Dimension Estimated Values'!D6</f>
        <v>---</v>
      </c>
      <c t="str" s="654" r="H38">
        <f>'Dimension Estimated Values'!D7</f>
        <v>---</v>
      </c>
      <c s="418" r="I38"/>
      <c t="s" s="702" r="J38">
        <v>2</v>
      </c>
      <c s="409" r="K38"/>
      <c s="52" r="L38"/>
      <c s="692" r="M38"/>
      <c s="551" r="N38"/>
      <c s="551" r="O38"/>
      <c t="str" s="286" r="P38">
        <f>IF(AND(ISNUMBER(T27),(L28&gt;0)),(L28/(T27*IF((V148=2),0.001,0.003281))),"---")</f>
        <v>---</v>
      </c>
      <c t="s" s="472" r="Q38">
        <v>107</v>
      </c>
      <c s="677" r="R38"/>
      <c s="78" r="S38"/>
      <c t="str" s="52" r="T38">
        <f>IF(ISNUMBER(U148),ROUND(U148,IF((U148&gt;20),0,IF((U148&gt;2),1,(ABS(TRUNC(LOG(U148)))+2)))),"---")</f>
        <v>---</v>
      </c>
      <c t="str" s="472" r="U38">
        <f>IF((V148=2),"unit strm power (watts/sq.m.)","unit strm power (lb/ft/s)")</f>
        <v>unit strm power (lb/ft/s)</v>
      </c>
      <c s="551" r="V38"/>
      <c s="551" r="W38"/>
      <c s="706" r="X38"/>
      <c s="706" r="Y38"/>
      <c s="706" r="Z38"/>
      <c s="551" r="AA38"/>
      <c s="551" r="AB38"/>
      <c s="551" r="AC38"/>
      <c s="551" r="AD38"/>
      <c s="551" r="AE38"/>
      <c s="551" r="AF38"/>
      <c s="671" r="AG38"/>
      <c s="388" r="AH38"/>
      <c s="409" r="AI38"/>
      <c s="52" r="AJ38"/>
      <c s="692" r="AK38"/>
      <c s="551" r="AL38"/>
      <c s="551" r="AM38"/>
      <c t="str" s="286" r="AN38">
        <f>IF(AND(ISNUMBER(AR27),(AJ28&gt;0)),(AJ28/(AR27*IF((AT148=2),0.001,0.003281))),"---")</f>
        <v>---</v>
      </c>
      <c t="s" s="472" r="AO38">
        <v>107</v>
      </c>
      <c s="677" r="AP38"/>
      <c s="78" r="AQ38"/>
      <c t="str" s="52" r="AR38">
        <f>IF(ISNUMBER(AS148),ROUND(AS148,IF((AS148&gt;20),0,IF((AS148&gt;2),1,(ABS(TRUNC(LOG(AS148)))+2)))),"---")</f>
        <v>---</v>
      </c>
      <c t="str" s="472" r="AS38">
        <f>IF((AT148=2),"unit strm power (watts/sq.m.)","unit strm power (lb/ft/s)")</f>
        <v>unit strm power (lb/ft/s)</v>
      </c>
      <c s="551" r="AT38"/>
      <c s="551" r="AU38"/>
      <c s="706" r="AV38"/>
      <c s="706" r="AW38"/>
      <c s="706" r="AX38"/>
      <c s="551" r="AY38"/>
      <c s="551" r="AZ38"/>
      <c s="551" r="BA38"/>
      <c s="551" r="BB38"/>
      <c s="551" r="BC38"/>
      <c s="551" r="BD38"/>
      <c s="671" r="BE38"/>
      <c s="388" r="BF38"/>
      <c s="409" r="BG38"/>
      <c s="52" r="BH38"/>
      <c s="692" r="BI38"/>
      <c s="551" r="BJ38"/>
      <c s="551" r="BK38"/>
      <c t="str" s="286" r="BL38">
        <f>IF(AND(ISNUMBER(BP27),(BH28&gt;0)),(BH28/(BP27*IF((BR148=2),0.001,0.003281))),"---")</f>
        <v>---</v>
      </c>
      <c t="s" s="472" r="BM38">
        <v>107</v>
      </c>
      <c s="677" r="BN38"/>
      <c s="78" r="BO38"/>
      <c t="str" s="52" r="BP38">
        <f>IF(ISNUMBER(BQ148),ROUND(BQ148,IF((BQ148&gt;20),0,IF((BQ148&gt;2),1,(ABS(TRUNC(LOG(BQ148)))+2)))),"---")</f>
        <v>---</v>
      </c>
      <c t="str" s="472" r="BQ38">
        <f>IF((BR148=2),"unit strm power (watts/sq.m.)","unit strm power (lb/ft/s)")</f>
        <v>unit strm power (lb/ft/s)</v>
      </c>
      <c s="551" r="BR38"/>
      <c s="551" r="BS38"/>
      <c s="706" r="BT38"/>
      <c s="706" r="BU38"/>
      <c s="706" r="BV38"/>
      <c s="551" r="BW38"/>
      <c s="551" r="BX38"/>
      <c s="551" r="BY38"/>
      <c s="551" r="BZ38"/>
      <c s="551" r="CA38"/>
      <c s="551" r="CB38"/>
      <c s="671" r="CC38"/>
      <c s="388" r="CD38"/>
      <c s="409" r="CE38"/>
      <c s="52" r="CF38"/>
      <c s="692" r="CG38"/>
      <c s="551" r="CH38"/>
      <c s="551" r="CI38"/>
      <c t="str" s="286" r="CJ38">
        <f>IF(AND(ISNUMBER(CN27),(CF28&gt;0)),(CF28/(CN27*IF((CP148=2),0.001,0.003281))),"---")</f>
        <v>---</v>
      </c>
      <c t="s" s="472" r="CK38">
        <v>107</v>
      </c>
      <c s="677" r="CL38"/>
      <c s="78" r="CM38"/>
      <c t="str" s="52" r="CN38">
        <f>IF(ISNUMBER(CO148),ROUND(CO148,IF((CO148&gt;20),0,IF((CO148&gt;2),1,(ABS(TRUNC(LOG(CO148)))+2)))),"---")</f>
        <v>---</v>
      </c>
      <c t="str" s="472" r="CO38">
        <f>IF((CP148=2),"unit strm power (watts/sq.m.)","unit strm power (lb/ft/s)")</f>
        <v>unit strm power (lb/ft/s)</v>
      </c>
      <c s="551" r="CP38"/>
      <c s="551" r="CQ38"/>
      <c s="706" r="CR38"/>
      <c s="706" r="CS38"/>
      <c s="706" r="CT38"/>
      <c s="551" r="CU38"/>
      <c s="551" r="CV38"/>
      <c s="551" r="CW38"/>
      <c s="551" r="CX38"/>
      <c s="551" r="CY38"/>
      <c s="551" r="CZ38"/>
      <c s="671" r="DA38"/>
      <c s="388" r="DB38"/>
      <c s="409" r="DC38"/>
      <c s="52" r="DD38"/>
      <c s="692" r="DE38"/>
      <c s="551" r="DF38"/>
      <c s="551" r="DG38"/>
      <c t="str" s="286" r="DH38">
        <f>IF(AND(ISNUMBER(DL27),(DD28&gt;0)),(DD28/(DL27*IF((DN148=2),0.001,0.003281))),"---")</f>
        <v>---</v>
      </c>
      <c t="s" s="472" r="DI38">
        <v>107</v>
      </c>
      <c s="677" r="DJ38"/>
      <c s="78" r="DK38"/>
      <c t="str" s="52" r="DL38">
        <f>IF(ISNUMBER(DM148),ROUND(DM148,IF((DM148&gt;20),0,IF((DM148&gt;2),1,(ABS(TRUNC(LOG(DM148)))+2)))),"---")</f>
        <v>---</v>
      </c>
      <c t="str" s="472" r="DM38">
        <f>IF((DN148=2),"unit strm power (watts/sq.m.)","unit strm power (lb/ft/s)")</f>
        <v>unit strm power (lb/ft/s)</v>
      </c>
      <c s="551" r="DN38"/>
      <c s="551" r="DO38"/>
      <c s="706" r="DP38"/>
      <c s="706" r="DQ38"/>
      <c s="706" r="DR38"/>
      <c s="551" r="DS38"/>
      <c s="551" r="DT38"/>
      <c s="551" r="DU38"/>
      <c s="551" r="DV38"/>
      <c s="551" r="DW38"/>
      <c s="551" r="DX38"/>
      <c s="671" r="DY38"/>
      <c s="388" r="DZ38"/>
      <c s="409" r="EA38"/>
      <c s="52" r="EB38"/>
      <c s="692" r="EC38"/>
      <c s="551" r="ED38"/>
      <c s="551" r="EE38"/>
      <c t="str" s="286" r="EF38">
        <f>IF(AND(ISNUMBER(EJ27),(EB28&gt;0)),(EB28/(EJ27*IF((EL148=2),0.001,0.003281))),"---")</f>
        <v>---</v>
      </c>
      <c t="s" s="472" r="EG38">
        <v>107</v>
      </c>
      <c s="677" r="EH38"/>
      <c s="78" r="EI38"/>
      <c t="str" s="52" r="EJ38">
        <f>IF(ISNUMBER(EK148),ROUND(EK148,IF((EK148&gt;20),0,IF((EK148&gt;2),1,(ABS(TRUNC(LOG(EK148)))+2)))),"---")</f>
        <v>---</v>
      </c>
      <c t="str" s="472" r="EK38">
        <f>IF((EL148=2),"unit strm power (watts/sq.m.)","unit strm power (lb/ft/s)")</f>
        <v>unit strm power (lb/ft/s)</v>
      </c>
      <c s="551" r="EL38"/>
      <c s="551" r="EM38"/>
      <c s="706" r="EN38"/>
      <c s="706" r="EO38"/>
      <c s="706" r="EP38"/>
      <c s="551" r="EQ38"/>
      <c s="551" r="ER38"/>
      <c s="551" r="ES38"/>
      <c s="551" r="ET38"/>
      <c s="551" r="EU38"/>
      <c s="551" r="EV38"/>
      <c s="671" r="EW38"/>
      <c s="388" r="EX38"/>
      <c s="409" r="EY38"/>
      <c s="52" r="EZ38"/>
      <c s="692" r="FA38"/>
      <c s="551" r="FB38"/>
      <c s="551" r="FC38"/>
      <c t="str" s="286" r="FD38">
        <f>IF(AND(ISNUMBER(FH27),(EZ28&gt;0)),(EZ28/(FH27*IF((FJ148=2),0.001,0.003281))),"---")</f>
        <v>---</v>
      </c>
      <c t="s" s="472" r="FE38">
        <v>107</v>
      </c>
      <c s="677" r="FF38"/>
      <c s="78" r="FG38"/>
      <c t="str" s="52" r="FH38">
        <f>IF(ISNUMBER(FI148),ROUND(FI148,IF((FI148&gt;20),0,IF((FI148&gt;2),1,(ABS(TRUNC(LOG(FI148)))+2)))),"---")</f>
        <v>---</v>
      </c>
      <c t="str" s="472" r="FI38">
        <f>IF((FJ148=2),"unit strm power (watts/sq.m.)","unit strm power (lb/ft/s)")</f>
        <v>unit strm power (lb/ft/s)</v>
      </c>
      <c s="551" r="FJ38"/>
      <c s="551" r="FK38"/>
      <c s="706" r="FL38"/>
      <c s="706" r="FM38"/>
      <c s="706" r="FN38"/>
      <c s="551" r="FO38"/>
      <c s="551" r="FP38"/>
      <c s="551" r="FQ38"/>
      <c s="551" r="FR38"/>
      <c s="551" r="FS38"/>
      <c s="551" r="FT38"/>
      <c s="671" r="FU38"/>
      <c s="222" r="FV38"/>
      <c s="125" r="FW38"/>
      <c s="125" r="FX38"/>
      <c s="125" r="FY38"/>
      <c s="125" r="FZ38"/>
      <c s="125" r="GA38"/>
      <c s="125" r="GB38"/>
      <c s="125" r="GC38"/>
      <c s="125" r="GD38"/>
      <c s="125" r="GE38"/>
      <c s="125" r="GF38"/>
      <c s="125" r="GG38"/>
      <c s="125" r="GH38"/>
      <c s="125" r="GI38"/>
      <c s="125" r="GJ38"/>
      <c s="125" r="GK38"/>
      <c s="125" r="GL38"/>
      <c s="125" r="GM38"/>
      <c s="125" r="GN38"/>
      <c s="125" r="GO38"/>
      <c s="125" r="GP38"/>
      <c s="125" r="GQ38"/>
      <c s="125" r="GR38"/>
      <c s="125" r="GS38"/>
      <c s="125" r="GT38"/>
      <c s="125" r="GU38"/>
      <c s="125" r="GV38"/>
      <c s="125" r="GW38"/>
      <c s="125" r="GX38"/>
      <c s="125" r="GY38"/>
      <c s="125" r="GZ38"/>
      <c s="125" r="HA38"/>
      <c s="125" r="HB38"/>
    </row>
    <row customHeight="1" r="39" ht="13.5">
      <c s="822" r="A39"/>
      <c s="406" r="B39"/>
      <c s="886" r="C39"/>
      <c s="886" r="D39"/>
      <c s="566" r="E39"/>
      <c s="886" r="F39"/>
      <c s="566" r="G39"/>
      <c s="566" r="H39"/>
      <c s="418" r="I39"/>
      <c t="s" s="702" r="J39">
        <v>2</v>
      </c>
      <c s="409" r="K39"/>
      <c s="214" r="L39"/>
      <c s="214" r="M39"/>
      <c s="472" r="N39"/>
      <c s="551" r="O39"/>
      <c s="551" r="P39"/>
      <c s="551" r="Q39"/>
      <c s="677" r="R39"/>
      <c s="551" r="S39"/>
      <c s="551" r="T39"/>
      <c s="551" r="U39"/>
      <c s="551" r="V39"/>
      <c s="551" r="W39"/>
      <c s="605" r="X39"/>
      <c s="605" r="Y39"/>
      <c s="605" r="Z39"/>
      <c s="551" r="AA39"/>
      <c s="551" r="AB39"/>
      <c s="551" r="AC39"/>
      <c s="551" r="AD39"/>
      <c s="551" r="AE39"/>
      <c s="551" r="AF39"/>
      <c s="671" r="AG39"/>
      <c t="s" s="388" r="AH39">
        <v>2</v>
      </c>
      <c s="409" r="AI39"/>
      <c s="214" r="AJ39"/>
      <c s="214" r="AK39"/>
      <c s="472" r="AL39"/>
      <c s="551" r="AM39"/>
      <c s="551" r="AN39"/>
      <c s="551" r="AO39"/>
      <c s="677" r="AP39"/>
      <c s="551" r="AQ39"/>
      <c s="551" r="AR39"/>
      <c s="551" r="AS39"/>
      <c s="551" r="AT39"/>
      <c s="551" r="AU39"/>
      <c s="605" r="AV39"/>
      <c s="605" r="AW39"/>
      <c s="605" r="AX39"/>
      <c s="551" r="AY39"/>
      <c s="551" r="AZ39"/>
      <c s="551" r="BA39"/>
      <c s="551" r="BB39"/>
      <c s="551" r="BC39"/>
      <c s="551" r="BD39"/>
      <c s="671" r="BE39"/>
      <c s="388" r="BF39"/>
      <c s="409" r="BG39"/>
      <c s="52" r="BH39"/>
      <c s="214" r="BI39"/>
      <c s="472" r="BJ39"/>
      <c s="551" r="BK39"/>
      <c s="551" r="BL39"/>
      <c s="551" r="BM39"/>
      <c s="677" r="BN39"/>
      <c s="551" r="BO39"/>
      <c s="551" r="BP39"/>
      <c s="551" r="BQ39"/>
      <c s="551" r="BR39"/>
      <c s="551" r="BS39"/>
      <c s="605" r="BT39"/>
      <c s="605" r="BU39"/>
      <c s="605" r="BV39"/>
      <c s="551" r="BW39"/>
      <c s="551" r="BX39"/>
      <c s="551" r="BY39"/>
      <c s="551" r="BZ39"/>
      <c s="551" r="CA39"/>
      <c s="551" r="CB39"/>
      <c s="671" r="CC39"/>
      <c s="388" r="CD39"/>
      <c s="409" r="CE39"/>
      <c s="52" r="CF39"/>
      <c s="214" r="CG39"/>
      <c s="472" r="CH39"/>
      <c s="551" r="CI39"/>
      <c s="551" r="CJ39"/>
      <c s="551" r="CK39"/>
      <c s="677" r="CL39"/>
      <c s="551" r="CM39"/>
      <c s="551" r="CN39"/>
      <c s="551" r="CO39"/>
      <c s="551" r="CP39"/>
      <c s="551" r="CQ39"/>
      <c s="605" r="CR39"/>
      <c s="605" r="CS39"/>
      <c s="605" r="CT39"/>
      <c s="551" r="CU39"/>
      <c s="551" r="CV39"/>
      <c s="551" r="CW39"/>
      <c s="551" r="CX39"/>
      <c s="551" r="CY39"/>
      <c s="551" r="CZ39"/>
      <c s="671" r="DA39"/>
      <c s="388" r="DB39"/>
      <c s="409" r="DC39"/>
      <c s="52" r="DD39"/>
      <c s="214" r="DE39"/>
      <c s="472" r="DF39"/>
      <c s="551" r="DG39"/>
      <c s="551" r="DH39"/>
      <c s="551" r="DI39"/>
      <c s="677" r="DJ39"/>
      <c s="551" r="DK39"/>
      <c s="551" r="DL39"/>
      <c s="551" r="DM39"/>
      <c s="551" r="DN39"/>
      <c s="551" r="DO39"/>
      <c s="605" r="DP39"/>
      <c s="605" r="DQ39"/>
      <c s="605" r="DR39"/>
      <c s="551" r="DS39"/>
      <c s="551" r="DT39"/>
      <c s="551" r="DU39"/>
      <c s="551" r="DV39"/>
      <c s="551" r="DW39"/>
      <c s="551" r="DX39"/>
      <c s="671" r="DY39"/>
      <c s="388" r="DZ39"/>
      <c s="409" r="EA39"/>
      <c s="52" r="EB39"/>
      <c s="214" r="EC39"/>
      <c s="472" r="ED39"/>
      <c s="551" r="EE39"/>
      <c s="551" r="EF39"/>
      <c s="551" r="EG39"/>
      <c s="677" r="EH39"/>
      <c s="551" r="EI39"/>
      <c s="551" r="EJ39"/>
      <c s="551" r="EK39"/>
      <c s="551" r="EL39"/>
      <c s="551" r="EM39"/>
      <c s="605" r="EN39"/>
      <c s="605" r="EO39"/>
      <c s="605" r="EP39"/>
      <c s="551" r="EQ39"/>
      <c s="551" r="ER39"/>
      <c s="551" r="ES39"/>
      <c s="551" r="ET39"/>
      <c s="551" r="EU39"/>
      <c s="551" r="EV39"/>
      <c s="671" r="EW39"/>
      <c t="s" s="388" r="EX39">
        <v>2</v>
      </c>
      <c s="409" r="EY39"/>
      <c s="52" r="EZ39"/>
      <c s="214" r="FA39"/>
      <c s="472" r="FB39"/>
      <c s="551" r="FC39"/>
      <c s="551" r="FD39"/>
      <c s="551" r="FE39"/>
      <c s="677" r="FF39"/>
      <c s="551" r="FG39"/>
      <c s="551" r="FH39"/>
      <c s="551" r="FI39"/>
      <c s="551" r="FJ39"/>
      <c s="551" r="FK39"/>
      <c s="605" r="FL39"/>
      <c s="605" r="FM39"/>
      <c s="605" r="FN39"/>
      <c s="551" r="FO39"/>
      <c s="551" r="FP39"/>
      <c s="551" r="FQ39"/>
      <c s="551" r="FR39"/>
      <c s="551" r="FS39"/>
      <c s="551" r="FT39"/>
      <c s="671" r="FU39"/>
      <c s="222" r="FV39"/>
      <c s="125" r="FW39"/>
      <c s="125" r="FX39"/>
      <c s="125" r="FY39"/>
      <c s="125" r="FZ39"/>
      <c s="125" r="GA39"/>
      <c s="125" r="GB39"/>
      <c s="125" r="GC39"/>
      <c s="125" r="GD39"/>
      <c s="125" r="GE39"/>
      <c s="125" r="GF39"/>
      <c s="125" r="GG39"/>
      <c s="125" r="GH39"/>
      <c s="125" r="GI39"/>
      <c s="125" r="GJ39"/>
      <c s="125" r="GK39"/>
      <c s="125" r="GL39"/>
      <c s="125" r="GM39"/>
      <c s="125" r="GN39"/>
      <c s="125" r="GO39"/>
      <c s="125" r="GP39"/>
      <c s="125" r="GQ39"/>
      <c s="125" r="GR39"/>
      <c s="125" r="GS39"/>
      <c s="125" r="GT39"/>
      <c s="125" r="GU39"/>
      <c s="125" r="GV39"/>
      <c s="125" r="GW39"/>
      <c s="125" r="GX39"/>
      <c s="125" r="GY39"/>
      <c s="125" r="GZ39"/>
      <c s="125" r="HA39"/>
      <c s="125" r="HB39"/>
    </row>
    <row customHeight="1" r="40" ht="13.5">
      <c s="822" r="A40"/>
      <c s="406" r="B40"/>
      <c s="886" r="C40"/>
      <c t="s" s="836" r="D40">
        <v>253</v>
      </c>
      <c s="458" r="E40"/>
      <c s="734" r="F40"/>
      <c s="458" r="G40"/>
      <c s="458" r="H40"/>
      <c s="734" r="I40"/>
      <c t="s" s="702" r="J40">
        <v>2</v>
      </c>
      <c s="409" r="K40"/>
      <c s="52" r="L40"/>
      <c s="692" r="M40"/>
      <c s="472" r="N40"/>
      <c s="677" r="O40"/>
      <c s="677" r="P40"/>
      <c s="677" r="Q40"/>
      <c s="677" r="R40"/>
      <c s="551" r="S40"/>
      <c s="551" r="T40"/>
      <c s="551" r="U40"/>
      <c s="551" r="V40"/>
      <c s="551" r="W40"/>
      <c s="286" r="X40"/>
      <c s="286" r="Y40"/>
      <c s="286" r="Z40"/>
      <c s="551" r="AA40"/>
      <c s="551" r="AB40"/>
      <c s="551" r="AC40"/>
      <c s="551" r="AD40"/>
      <c s="551" r="AE40"/>
      <c s="551" r="AF40"/>
      <c s="671" r="AG40"/>
      <c s="388" r="AH40"/>
      <c s="409" r="AI40"/>
      <c s="52" r="AJ40"/>
      <c s="692" r="AK40"/>
      <c s="472" r="AL40"/>
      <c s="677" r="AM40"/>
      <c s="677" r="AN40"/>
      <c s="677" r="AO40"/>
      <c s="677" r="AP40"/>
      <c s="551" r="AQ40"/>
      <c s="551" r="AR40"/>
      <c s="551" r="AS40"/>
      <c s="551" r="AT40"/>
      <c s="551" r="AU40"/>
      <c s="286" r="AV40"/>
      <c s="286" r="AW40"/>
      <c s="286" r="AX40"/>
      <c s="551" r="AY40"/>
      <c s="551" r="AZ40"/>
      <c s="551" r="BA40"/>
      <c s="551" r="BB40"/>
      <c s="551" r="BC40"/>
      <c s="551" r="BD40"/>
      <c s="671" r="BE40"/>
      <c s="388" r="BF40"/>
      <c s="409" r="BG40"/>
      <c s="52" r="BH40"/>
      <c s="692" r="BI40"/>
      <c s="472" r="BJ40"/>
      <c s="677" r="BK40"/>
      <c s="677" r="BL40"/>
      <c s="677" r="BM40"/>
      <c s="677" r="BN40"/>
      <c s="551" r="BO40"/>
      <c s="551" r="BP40"/>
      <c s="551" r="BQ40"/>
      <c s="551" r="BR40"/>
      <c s="551" r="BS40"/>
      <c s="286" r="BT40"/>
      <c s="286" r="BU40"/>
      <c s="286" r="BV40"/>
      <c s="551" r="BW40"/>
      <c s="551" r="BX40"/>
      <c s="551" r="BY40"/>
      <c s="551" r="BZ40"/>
      <c s="551" r="CA40"/>
      <c s="551" r="CB40"/>
      <c s="671" r="CC40"/>
      <c s="388" r="CD40"/>
      <c s="409" r="CE40"/>
      <c s="52" r="CF40"/>
      <c s="692" r="CG40"/>
      <c s="472" r="CH40"/>
      <c s="677" r="CI40"/>
      <c s="677" r="CJ40"/>
      <c s="677" r="CK40"/>
      <c s="677" r="CL40"/>
      <c s="551" r="CM40"/>
      <c s="551" r="CN40"/>
      <c s="551" r="CO40"/>
      <c s="551" r="CP40"/>
      <c s="551" r="CQ40"/>
      <c s="286" r="CR40"/>
      <c s="286" r="CS40"/>
      <c s="286" r="CT40"/>
      <c s="551" r="CU40"/>
      <c s="551" r="CV40"/>
      <c s="551" r="CW40"/>
      <c s="551" r="CX40"/>
      <c s="551" r="CY40"/>
      <c s="551" r="CZ40"/>
      <c s="671" r="DA40"/>
      <c s="388" r="DB40"/>
      <c s="409" r="DC40"/>
      <c s="52" r="DD40"/>
      <c s="692" r="DE40"/>
      <c s="472" r="DF40"/>
      <c s="677" r="DG40"/>
      <c s="677" r="DH40"/>
      <c s="677" r="DI40"/>
      <c s="677" r="DJ40"/>
      <c s="551" r="DK40"/>
      <c s="551" r="DL40"/>
      <c s="551" r="DM40"/>
      <c s="551" r="DN40"/>
      <c s="551" r="DO40"/>
      <c s="286" r="DP40"/>
      <c s="286" r="DQ40"/>
      <c s="286" r="DR40"/>
      <c s="551" r="DS40"/>
      <c s="551" r="DT40"/>
      <c s="551" r="DU40"/>
      <c s="551" r="DV40"/>
      <c s="551" r="DW40"/>
      <c s="551" r="DX40"/>
      <c s="671" r="DY40"/>
      <c s="388" r="DZ40"/>
      <c s="409" r="EA40"/>
      <c s="52" r="EB40"/>
      <c s="692" r="EC40"/>
      <c s="472" r="ED40"/>
      <c s="677" r="EE40"/>
      <c s="677" r="EF40"/>
      <c s="677" r="EG40"/>
      <c s="677" r="EH40"/>
      <c s="551" r="EI40"/>
      <c s="551" r="EJ40"/>
      <c s="551" r="EK40"/>
      <c s="551" r="EL40"/>
      <c s="551" r="EM40"/>
      <c s="286" r="EN40"/>
      <c s="286" r="EO40"/>
      <c s="286" r="EP40"/>
      <c s="551" r="EQ40"/>
      <c s="551" r="ER40"/>
      <c s="551" r="ES40"/>
      <c s="551" r="ET40"/>
      <c s="551" r="EU40"/>
      <c s="551" r="EV40"/>
      <c s="671" r="EW40"/>
      <c s="388" r="EX40"/>
      <c s="409" r="EY40"/>
      <c s="52" r="EZ40"/>
      <c s="692" r="FA40"/>
      <c s="472" r="FB40"/>
      <c s="677" r="FC40"/>
      <c s="677" r="FD40"/>
      <c s="677" r="FE40"/>
      <c s="677" r="FF40"/>
      <c s="551" r="FG40"/>
      <c s="551" r="FH40"/>
      <c s="551" r="FI40"/>
      <c s="551" r="FJ40"/>
      <c s="551" r="FK40"/>
      <c s="286" r="FL40"/>
      <c s="286" r="FM40"/>
      <c s="286" r="FN40"/>
      <c s="551" r="FO40"/>
      <c s="551" r="FP40"/>
      <c s="551" r="FQ40"/>
      <c s="551" r="FR40"/>
      <c s="551" r="FS40"/>
      <c s="551" r="FT40"/>
      <c s="671" r="FU40"/>
      <c s="222" r="FV40"/>
      <c s="125" r="FW40"/>
      <c s="125" r="FX40"/>
      <c s="125" r="FY40"/>
      <c s="125" r="FZ40"/>
      <c s="125" r="GA40"/>
      <c s="125" r="GB40"/>
      <c s="125" r="GC40"/>
      <c s="125" r="GD40"/>
      <c s="125" r="GE40"/>
      <c s="125" r="GF40"/>
      <c s="125" r="GG40"/>
      <c s="125" r="GH40"/>
      <c s="125" r="GI40"/>
      <c s="125" r="GJ40"/>
      <c s="125" r="GK40"/>
      <c s="125" r="GL40"/>
      <c s="125" r="GM40"/>
      <c s="125" r="GN40"/>
      <c s="125" r="GO40"/>
      <c s="125" r="GP40"/>
      <c s="125" r="GQ40"/>
      <c s="125" r="GR40"/>
      <c s="125" r="GS40"/>
      <c s="125" r="GT40"/>
      <c s="125" r="GU40"/>
      <c s="125" r="GV40"/>
      <c s="125" r="GW40"/>
      <c s="125" r="GX40"/>
      <c s="125" r="GY40"/>
      <c s="125" r="GZ40"/>
      <c s="125" r="HA40"/>
      <c s="125" r="HB40"/>
    </row>
    <row customHeight="1" r="41" ht="13.5">
      <c s="822" r="A41"/>
      <c s="406" r="B41"/>
      <c s="886" r="C41"/>
      <c s="886" r="D41"/>
      <c t="str" s="654" r="E41">
        <f>'Dimension Estimated Values'!E5</f>
        <v>#VALUE!:cantParseText:---</v>
      </c>
      <c s="226" r="F41"/>
      <c t="str" s="654" r="G41">
        <f>'Dimension Estimated Values'!E6</f>
        <v>---</v>
      </c>
      <c t="str" s="654" r="H41">
        <f>'Dimension Estimated Values'!E7</f>
        <v>---</v>
      </c>
      <c s="418" r="I41"/>
      <c t="s" s="702" r="J41">
        <v>2</v>
      </c>
      <c s="409" r="K41"/>
      <c s="52" r="L41"/>
      <c s="286" r="M41"/>
      <c s="472" r="N41"/>
      <c s="677" r="O41"/>
      <c s="677" r="P41"/>
      <c s="677" r="Q41"/>
      <c s="677" r="R41"/>
      <c s="551" r="S41"/>
      <c s="706" r="T41"/>
      <c s="472" r="U41"/>
      <c s="551" r="V41"/>
      <c s="551" r="W41"/>
      <c s="286" r="X41"/>
      <c s="286" r="Y41"/>
      <c s="286" r="Z41"/>
      <c s="551" r="AA41"/>
      <c s="551" r="AB41"/>
      <c s="551" r="AC41"/>
      <c s="551" r="AD41"/>
      <c s="551" r="AE41"/>
      <c s="551" r="AF41"/>
      <c s="671" r="AG41"/>
      <c s="388" r="AH41"/>
      <c s="409" r="AI41"/>
      <c s="52" r="AJ41"/>
      <c s="286" r="AK41"/>
      <c s="472" r="AL41"/>
      <c s="677" r="AM41"/>
      <c s="677" r="AN41"/>
      <c s="677" r="AO41"/>
      <c s="677" r="AP41"/>
      <c s="551" r="AQ41"/>
      <c s="706" r="AR41"/>
      <c s="472" r="AS41"/>
      <c s="551" r="AT41"/>
      <c s="551" r="AU41"/>
      <c s="286" r="AV41"/>
      <c s="286" r="AW41"/>
      <c s="286" r="AX41"/>
      <c s="551" r="AY41"/>
      <c s="551" r="AZ41"/>
      <c s="551" r="BA41"/>
      <c s="551" r="BB41"/>
      <c s="551" r="BC41"/>
      <c s="551" r="BD41"/>
      <c s="671" r="BE41"/>
      <c s="388" r="BF41"/>
      <c s="409" r="BG41"/>
      <c s="52" r="BH41"/>
      <c s="286" r="BI41"/>
      <c s="472" r="BJ41"/>
      <c s="677" r="BK41"/>
      <c s="677" r="BL41"/>
      <c s="677" r="BM41"/>
      <c s="677" r="BN41"/>
      <c s="551" r="BO41"/>
      <c s="706" r="BP41"/>
      <c s="472" r="BQ41"/>
      <c s="551" r="BR41"/>
      <c s="551" r="BS41"/>
      <c s="286" r="BT41"/>
      <c s="286" r="BU41"/>
      <c s="286" r="BV41"/>
      <c s="551" r="BW41"/>
      <c s="551" r="BX41"/>
      <c s="551" r="BY41"/>
      <c s="551" r="BZ41"/>
      <c s="551" r="CA41"/>
      <c s="551" r="CB41"/>
      <c s="671" r="CC41"/>
      <c s="388" r="CD41"/>
      <c s="409" r="CE41"/>
      <c s="52" r="CF41"/>
      <c s="286" r="CG41"/>
      <c s="472" r="CH41"/>
      <c s="677" r="CI41"/>
      <c s="677" r="CJ41"/>
      <c s="677" r="CK41"/>
      <c s="677" r="CL41"/>
      <c s="551" r="CM41"/>
      <c s="706" r="CN41"/>
      <c s="472" r="CO41"/>
      <c s="551" r="CP41"/>
      <c s="551" r="CQ41"/>
      <c s="286" r="CR41"/>
      <c s="286" r="CS41"/>
      <c s="286" r="CT41"/>
      <c s="551" r="CU41"/>
      <c s="551" r="CV41"/>
      <c s="551" r="CW41"/>
      <c s="551" r="CX41"/>
      <c s="551" r="CY41"/>
      <c s="551" r="CZ41"/>
      <c s="671" r="DA41"/>
      <c s="388" r="DB41"/>
      <c s="409" r="DC41"/>
      <c s="52" r="DD41"/>
      <c s="286" r="DE41"/>
      <c s="472" r="DF41"/>
      <c s="677" r="DG41"/>
      <c s="677" r="DH41"/>
      <c s="677" r="DI41"/>
      <c s="677" r="DJ41"/>
      <c s="551" r="DK41"/>
      <c s="706" r="DL41"/>
      <c s="472" r="DM41"/>
      <c s="551" r="DN41"/>
      <c s="551" r="DO41"/>
      <c s="286" r="DP41"/>
      <c s="286" r="DQ41"/>
      <c s="286" r="DR41"/>
      <c s="551" r="DS41"/>
      <c s="551" r="DT41"/>
      <c s="551" r="DU41"/>
      <c s="551" r="DV41"/>
      <c s="551" r="DW41"/>
      <c s="551" r="DX41"/>
      <c s="671" r="DY41"/>
      <c s="388" r="DZ41"/>
      <c s="409" r="EA41"/>
      <c s="52" r="EB41"/>
      <c s="286" r="EC41"/>
      <c s="472" r="ED41"/>
      <c s="677" r="EE41"/>
      <c s="677" r="EF41"/>
      <c s="677" r="EG41"/>
      <c s="677" r="EH41"/>
      <c s="551" r="EI41"/>
      <c s="706" r="EJ41"/>
      <c s="472" r="EK41"/>
      <c s="551" r="EL41"/>
      <c s="551" r="EM41"/>
      <c s="286" r="EN41"/>
      <c s="286" r="EO41"/>
      <c s="286" r="EP41"/>
      <c s="551" r="EQ41"/>
      <c s="551" r="ER41"/>
      <c s="551" r="ES41"/>
      <c s="551" r="ET41"/>
      <c s="551" r="EU41"/>
      <c s="551" r="EV41"/>
      <c s="671" r="EW41"/>
      <c s="388" r="EX41"/>
      <c s="409" r="EY41"/>
      <c s="52" r="EZ41"/>
      <c s="286" r="FA41"/>
      <c s="472" r="FB41"/>
      <c s="677" r="FC41"/>
      <c s="677" r="FD41"/>
      <c s="677" r="FE41"/>
      <c s="677" r="FF41"/>
      <c s="551" r="FG41"/>
      <c s="706" r="FH41"/>
      <c s="472" r="FI41"/>
      <c s="551" r="FJ41"/>
      <c s="551" r="FK41"/>
      <c s="286" r="FL41"/>
      <c s="286" r="FM41"/>
      <c s="286" r="FN41"/>
      <c s="551" r="FO41"/>
      <c s="551" r="FP41"/>
      <c s="551" r="FQ41"/>
      <c s="551" r="FR41"/>
      <c s="551" r="FS41"/>
      <c s="551" r="FT41"/>
      <c s="671" r="FU41"/>
      <c s="222" r="FV41"/>
      <c s="125" r="FW41"/>
      <c s="125" r="FX41"/>
      <c s="125" r="FY41"/>
      <c s="125" r="FZ41"/>
      <c s="125" r="GA41"/>
      <c s="125" r="GB41"/>
      <c s="125" r="GC41"/>
      <c s="125" r="GD41"/>
      <c s="125" r="GE41"/>
      <c s="125" r="GF41"/>
      <c s="125" r="GG41"/>
      <c s="125" r="GH41"/>
      <c s="125" r="GI41"/>
      <c s="125" r="GJ41"/>
      <c s="125" r="GK41"/>
      <c s="125" r="GL41"/>
      <c s="125" r="GM41"/>
      <c s="125" r="GN41"/>
      <c s="125" r="GO41"/>
      <c s="125" r="GP41"/>
      <c s="125" r="GQ41"/>
      <c s="125" r="GR41"/>
      <c s="125" r="GS41"/>
      <c s="125" r="GT41"/>
      <c s="125" r="GU41"/>
      <c s="125" r="GV41"/>
      <c s="125" r="GW41"/>
      <c s="125" r="GX41"/>
      <c s="125" r="GY41"/>
      <c s="125" r="GZ41"/>
      <c s="125" r="HA41"/>
      <c s="125" r="HB41"/>
    </row>
    <row customHeight="1" r="42" ht="13.5">
      <c s="822" r="A42"/>
      <c s="406" r="B42"/>
      <c s="886" r="C42"/>
      <c s="886" r="D42"/>
      <c s="566" r="E42"/>
      <c s="886" r="F42"/>
      <c s="566" r="G42"/>
      <c s="566" r="H42"/>
      <c s="418" r="I42"/>
      <c t="s" s="702" r="J42">
        <v>2</v>
      </c>
      <c s="759" r="K42"/>
      <c s="680" r="L42"/>
      <c s="574" r="M42"/>
      <c s="545" r="N42"/>
      <c s="545" r="O42"/>
      <c s="545" r="P42"/>
      <c s="545" r="Q42"/>
      <c s="545" r="R42"/>
      <c s="414" r="S42"/>
      <c s="893" r="T42"/>
      <c s="414" r="U42"/>
      <c s="414" r="V42"/>
      <c s="414" r="W42"/>
      <c s="414" r="X42"/>
      <c s="414" r="Y42"/>
      <c s="414" r="Z42"/>
      <c s="414" r="AA42"/>
      <c s="414" r="AB42"/>
      <c s="414" r="AC42"/>
      <c s="414" r="AD42"/>
      <c s="414" r="AE42"/>
      <c s="414" r="AF42"/>
      <c s="397" r="AG42"/>
      <c s="388" r="AH42"/>
      <c s="759" r="AI42"/>
      <c s="680" r="AJ42"/>
      <c s="574" r="AK42"/>
      <c s="545" r="AL42"/>
      <c s="545" r="AM42"/>
      <c s="545" r="AN42"/>
      <c s="545" r="AO42"/>
      <c s="545" r="AP42"/>
      <c s="414" r="AQ42"/>
      <c s="893" r="AR42"/>
      <c s="414" r="AS42"/>
      <c s="414" r="AT42"/>
      <c s="414" r="AU42"/>
      <c s="414" r="AV42"/>
      <c s="414" r="AW42"/>
      <c s="414" r="AX42"/>
      <c s="414" r="AY42"/>
      <c s="414" r="AZ42"/>
      <c s="414" r="BA42"/>
      <c s="414" r="BB42"/>
      <c s="414" r="BC42"/>
      <c s="414" r="BD42"/>
      <c s="397" r="BE42"/>
      <c s="388" r="BF42"/>
      <c s="759" r="BG42"/>
      <c s="680" r="BH42"/>
      <c s="574" r="BI42"/>
      <c s="545" r="BJ42"/>
      <c s="545" r="BK42"/>
      <c s="545" r="BL42"/>
      <c s="545" r="BM42"/>
      <c s="545" r="BN42"/>
      <c s="414" r="BO42"/>
      <c s="893" r="BP42"/>
      <c s="414" r="BQ42"/>
      <c s="414" r="BR42"/>
      <c s="414" r="BS42"/>
      <c s="414" r="BT42"/>
      <c s="414" r="BU42"/>
      <c s="414" r="BV42"/>
      <c s="414" r="BW42"/>
      <c s="414" r="BX42"/>
      <c s="414" r="BY42"/>
      <c s="414" r="BZ42"/>
      <c s="414" r="CA42"/>
      <c s="414" r="CB42"/>
      <c s="397" r="CC42"/>
      <c s="388" r="CD42"/>
      <c s="759" r="CE42"/>
      <c s="680" r="CF42"/>
      <c s="574" r="CG42"/>
      <c s="545" r="CH42"/>
      <c s="545" r="CI42"/>
      <c s="545" r="CJ42"/>
      <c s="545" r="CK42"/>
      <c s="545" r="CL42"/>
      <c s="414" r="CM42"/>
      <c s="893" r="CN42"/>
      <c s="414" r="CO42"/>
      <c s="414" r="CP42"/>
      <c s="414" r="CQ42"/>
      <c s="414" r="CR42"/>
      <c s="414" r="CS42"/>
      <c s="414" r="CT42"/>
      <c s="414" r="CU42"/>
      <c s="414" r="CV42"/>
      <c s="414" r="CW42"/>
      <c s="414" r="CX42"/>
      <c s="414" r="CY42"/>
      <c s="414" r="CZ42"/>
      <c s="397" r="DA42"/>
      <c s="388" r="DB42"/>
      <c s="759" r="DC42"/>
      <c s="680" r="DD42"/>
      <c s="574" r="DE42"/>
      <c s="545" r="DF42"/>
      <c s="545" r="DG42"/>
      <c s="545" r="DH42"/>
      <c s="545" r="DI42"/>
      <c s="545" r="DJ42"/>
      <c s="414" r="DK42"/>
      <c s="893" r="DL42"/>
      <c s="414" r="DM42"/>
      <c s="414" r="DN42"/>
      <c s="414" r="DO42"/>
      <c s="414" r="DP42"/>
      <c s="414" r="DQ42"/>
      <c s="414" r="DR42"/>
      <c s="414" r="DS42"/>
      <c s="414" r="DT42"/>
      <c s="414" r="DU42"/>
      <c s="414" r="DV42"/>
      <c s="414" r="DW42"/>
      <c s="414" r="DX42"/>
      <c s="397" r="DY42"/>
      <c s="388" r="DZ42"/>
      <c s="759" r="EA42"/>
      <c s="680" r="EB42"/>
      <c s="574" r="EC42"/>
      <c s="545" r="ED42"/>
      <c s="545" r="EE42"/>
      <c s="545" r="EF42"/>
      <c s="545" r="EG42"/>
      <c s="545" r="EH42"/>
      <c s="414" r="EI42"/>
      <c s="893" r="EJ42"/>
      <c s="414" r="EK42"/>
      <c s="414" r="EL42"/>
      <c s="414" r="EM42"/>
      <c s="414" r="EN42"/>
      <c s="414" r="EO42"/>
      <c s="414" r="EP42"/>
      <c s="414" r="EQ42"/>
      <c s="414" r="ER42"/>
      <c s="414" r="ES42"/>
      <c s="414" r="ET42"/>
      <c s="414" r="EU42"/>
      <c s="414" r="EV42"/>
      <c s="397" r="EW42"/>
      <c s="388" r="EX42"/>
      <c s="759" r="EY42"/>
      <c s="680" r="EZ42"/>
      <c s="574" r="FA42"/>
      <c s="545" r="FB42"/>
      <c s="545" r="FC42"/>
      <c s="545" r="FD42"/>
      <c s="545" r="FE42"/>
      <c s="545" r="FF42"/>
      <c s="414" r="FG42"/>
      <c s="893" r="FH42"/>
      <c s="414" r="FI42"/>
      <c s="414" r="FJ42"/>
      <c s="414" r="FK42"/>
      <c s="414" r="FL42"/>
      <c s="414" r="FM42"/>
      <c s="414" r="FN42"/>
      <c s="414" r="FO42"/>
      <c s="414" r="FP42"/>
      <c s="414" r="FQ42"/>
      <c s="414" r="FR42"/>
      <c s="414" r="FS42"/>
      <c s="414" r="FT42"/>
      <c s="397" r="FU42"/>
      <c s="222" r="FV42"/>
      <c s="125" r="FW42"/>
      <c s="125" r="FX42"/>
      <c s="125" r="FY42"/>
      <c s="125" r="FZ42"/>
      <c s="125" r="GA42"/>
      <c s="125" r="GB42"/>
      <c s="125" r="GC42"/>
      <c s="125" r="GD42"/>
      <c s="125" r="GE42"/>
      <c s="125" r="GF42"/>
      <c s="125" r="GG42"/>
      <c s="125" r="GH42"/>
      <c s="125" r="GI42"/>
      <c s="125" r="GJ42"/>
      <c s="125" r="GK42"/>
      <c s="125" r="GL42"/>
      <c s="125" r="GM42"/>
      <c s="125" r="GN42"/>
      <c s="125" r="GO42"/>
      <c s="125" r="GP42"/>
      <c s="125" r="GQ42"/>
      <c s="125" r="GR42"/>
      <c s="125" r="GS42"/>
      <c s="125" r="GT42"/>
      <c s="125" r="GU42"/>
      <c s="125" r="GV42"/>
      <c s="125" r="GW42"/>
      <c s="125" r="GX42"/>
      <c s="125" r="GY42"/>
      <c s="125" r="GZ42"/>
      <c s="125" r="HA42"/>
      <c s="125" r="HB42"/>
    </row>
    <row customHeight="1" r="43" ht="13.5">
      <c s="822" r="A43"/>
      <c s="406" r="B43"/>
      <c s="886" r="C43"/>
      <c t="s" s="836" r="D43">
        <v>256</v>
      </c>
      <c t="str" s="708" r="E43">
        <f>IF(ISNUMBER((IF(ISBLANK(E37),IF(ISNUMBER(E38),E38,"---"),E37)/IF(ISBLANK(E40),IF(ISNUMBER(E41),E41,"---"),E40))),(IF(ISBLANK(E37),IF(ISNUMBER(E38),E38,"---"),E37)/IF(ISBLANK(E40),IF(ISNUMBER(E41),E41,"---"),E40)),"---")</f>
        <v>---</v>
      </c>
      <c s="734" r="F43"/>
      <c s="458" r="G43"/>
      <c s="458" r="H43"/>
      <c s="734" r="I43"/>
      <c t="s" s="702" r="J43">
        <v>2</v>
      </c>
      <c s="381" r="K43"/>
      <c s="756" r="L43"/>
      <c s="756" r="M43"/>
      <c s="756" r="N43"/>
      <c s="756" r="O43"/>
      <c s="756" r="P43"/>
      <c s="756" r="Q43"/>
      <c s="756" r="R43"/>
      <c s="756" r="S43"/>
      <c s="756" r="T43"/>
      <c s="756" r="U43"/>
      <c s="756" r="V43"/>
      <c s="756" r="W43"/>
      <c s="756" r="X43"/>
      <c s="756" r="Y43"/>
      <c s="756" r="Z43"/>
      <c s="756" r="AA43"/>
      <c s="756" r="AB43"/>
      <c s="756" r="AC43"/>
      <c s="756" r="AD43"/>
      <c s="756" r="AE43"/>
      <c s="756" r="AF43"/>
      <c s="731" r="AG43"/>
      <c s="388" r="AH43"/>
      <c s="381" r="AI43"/>
      <c s="756" r="AJ43"/>
      <c s="756" r="AK43"/>
      <c s="756" r="AL43"/>
      <c s="756" r="AM43"/>
      <c s="756" r="AN43"/>
      <c s="756" r="AO43"/>
      <c s="756" r="AP43"/>
      <c s="756" r="AQ43"/>
      <c s="756" r="AR43"/>
      <c s="756" r="AS43"/>
      <c s="756" r="AT43"/>
      <c s="756" r="AU43"/>
      <c s="756" r="AV43"/>
      <c s="756" r="AW43"/>
      <c s="756" r="AX43"/>
      <c s="756" r="AY43"/>
      <c s="756" r="AZ43"/>
      <c s="756" r="BA43"/>
      <c s="756" r="BB43"/>
      <c s="756" r="BC43"/>
      <c s="756" r="BD43"/>
      <c s="731" r="BE43"/>
      <c s="388" r="BF43"/>
      <c s="381" r="BG43"/>
      <c s="756" r="BH43"/>
      <c s="756" r="BI43"/>
      <c s="756" r="BJ43"/>
      <c s="756" r="BK43"/>
      <c s="756" r="BL43"/>
      <c s="756" r="BM43"/>
      <c s="756" r="BN43"/>
      <c s="756" r="BO43"/>
      <c s="756" r="BP43"/>
      <c s="756" r="BQ43"/>
      <c s="756" r="BR43"/>
      <c s="756" r="BS43"/>
      <c s="756" r="BT43"/>
      <c s="756" r="BU43"/>
      <c s="756" r="BV43"/>
      <c s="756" r="BW43"/>
      <c s="756" r="BX43"/>
      <c s="756" r="BY43"/>
      <c s="756" r="BZ43"/>
      <c s="756" r="CA43"/>
      <c s="756" r="CB43"/>
      <c s="731" r="CC43"/>
      <c s="388" r="CD43"/>
      <c s="381" r="CE43"/>
      <c s="756" r="CF43"/>
      <c s="756" r="CG43"/>
      <c s="756" r="CH43"/>
      <c s="756" r="CI43"/>
      <c s="756" r="CJ43"/>
      <c s="756" r="CK43"/>
      <c s="756" r="CL43"/>
      <c s="756" r="CM43"/>
      <c s="756" r="CN43"/>
      <c s="756" r="CO43"/>
      <c s="756" r="CP43"/>
      <c s="756" r="CQ43"/>
      <c s="756" r="CR43"/>
      <c s="756" r="CS43"/>
      <c s="756" r="CT43"/>
      <c s="756" r="CU43"/>
      <c s="756" r="CV43"/>
      <c s="756" r="CW43"/>
      <c s="756" r="CX43"/>
      <c s="756" r="CY43"/>
      <c s="756" r="CZ43"/>
      <c s="731" r="DA43"/>
      <c s="388" r="DB43"/>
      <c s="381" r="DC43"/>
      <c s="756" r="DD43"/>
      <c s="756" r="DE43"/>
      <c s="756" r="DF43"/>
      <c s="756" r="DG43"/>
      <c s="756" r="DH43"/>
      <c s="756" r="DI43"/>
      <c s="756" r="DJ43"/>
      <c s="756" r="DK43"/>
      <c s="756" r="DL43"/>
      <c s="756" r="DM43"/>
      <c s="756" r="DN43"/>
      <c s="756" r="DO43"/>
      <c s="756" r="DP43"/>
      <c s="756" r="DQ43"/>
      <c s="756" r="DR43"/>
      <c s="756" r="DS43"/>
      <c s="756" r="DT43"/>
      <c s="756" r="DU43"/>
      <c s="756" r="DV43"/>
      <c s="756" r="DW43"/>
      <c s="756" r="DX43"/>
      <c s="731" r="DY43"/>
      <c s="388" r="DZ43"/>
      <c s="381" r="EA43"/>
      <c s="756" r="EB43"/>
      <c s="756" r="EC43"/>
      <c s="756" r="ED43"/>
      <c s="756" r="EE43"/>
      <c s="756" r="EF43"/>
      <c s="756" r="EG43"/>
      <c s="756" r="EH43"/>
      <c s="756" r="EI43"/>
      <c s="756" r="EJ43"/>
      <c s="756" r="EK43"/>
      <c s="756" r="EL43"/>
      <c s="756" r="EM43"/>
      <c s="756" r="EN43"/>
      <c s="756" r="EO43"/>
      <c s="756" r="EP43"/>
      <c s="756" r="EQ43"/>
      <c s="756" r="ER43"/>
      <c s="756" r="ES43"/>
      <c s="756" r="ET43"/>
      <c s="756" r="EU43"/>
      <c s="756" r="EV43"/>
      <c s="731" r="EW43"/>
      <c s="388" r="EX43"/>
      <c s="381" r="EY43"/>
      <c s="756" r="EZ43"/>
      <c s="756" r="FA43"/>
      <c s="756" r="FB43"/>
      <c s="756" r="FC43"/>
      <c s="756" r="FD43"/>
      <c s="756" r="FE43"/>
      <c s="756" r="FF43"/>
      <c s="756" r="FG43"/>
      <c s="756" r="FH43"/>
      <c s="756" r="FI43"/>
      <c s="756" r="FJ43"/>
      <c s="756" r="FK43"/>
      <c s="756" r="FL43"/>
      <c s="756" r="FM43"/>
      <c s="756" r="FN43"/>
      <c s="756" r="FO43"/>
      <c s="756" r="FP43"/>
      <c s="756" r="FQ43"/>
      <c s="756" r="FR43"/>
      <c s="756" r="FS43"/>
      <c s="756" r="FT43"/>
      <c s="731" r="FU43"/>
      <c s="222" r="FV43"/>
      <c s="125" r="FW43"/>
      <c s="125" r="FX43"/>
      <c s="125" r="FY43"/>
      <c s="125" r="FZ43"/>
      <c s="125" r="GA43"/>
      <c s="125" r="GB43"/>
      <c s="125" r="GC43"/>
      <c s="125" r="GD43"/>
      <c s="125" r="GE43"/>
      <c s="125" r="GF43"/>
      <c s="125" r="GG43"/>
      <c s="125" r="GH43"/>
      <c s="125" r="GI43"/>
      <c s="125" r="GJ43"/>
      <c s="125" r="GK43"/>
      <c s="125" r="GL43"/>
      <c s="125" r="GM43"/>
      <c s="125" r="GN43"/>
      <c s="125" r="GO43"/>
      <c s="125" r="GP43"/>
      <c s="125" r="GQ43"/>
      <c s="125" r="GR43"/>
      <c s="125" r="GS43"/>
      <c s="125" r="GT43"/>
      <c s="125" r="GU43"/>
      <c s="125" r="GV43"/>
      <c s="125" r="GW43"/>
      <c s="125" r="GX43"/>
      <c s="125" r="GY43"/>
      <c s="125" r="GZ43"/>
      <c s="125" r="HA43"/>
      <c s="125" r="HB43"/>
    </row>
    <row customHeight="1" r="44" ht="13.5">
      <c s="822" r="A44"/>
      <c s="406" r="B44"/>
      <c s="886" r="C44"/>
      <c s="886" r="D44"/>
      <c s="756" r="E44"/>
      <c s="886" r="F44"/>
      <c t="str" s="654" r="G44">
        <f>'Dimension Estimated Values'!G6</f>
        <v>---</v>
      </c>
      <c t="str" s="654" r="H44">
        <f>'Dimension Estimated Values'!G7</f>
        <v>---</v>
      </c>
      <c s="418" r="I44"/>
      <c t="s" s="702" r="J44">
        <v>2</v>
      </c>
      <c s="406" r="K44"/>
      <c s="886" r="L44"/>
      <c s="886" r="M44"/>
      <c s="886" r="N44"/>
      <c s="886" r="O44"/>
      <c s="886" r="P44"/>
      <c t="s" s="861" r="Q44">
        <v>575</v>
      </c>
      <c t="s" s="861" r="R44">
        <v>385</v>
      </c>
      <c t="s" s="861" r="S44">
        <v>386</v>
      </c>
      <c t="s" s="861" r="T44">
        <v>377</v>
      </c>
      <c t="s" s="886" r="U44">
        <v>576</v>
      </c>
      <c t="s" s="861" r="V44">
        <v>577</v>
      </c>
      <c t="s" s="861" r="W44">
        <v>578</v>
      </c>
      <c s="861" r="X44"/>
      <c s="861" r="Y44"/>
      <c t="s" s="861" r="Z44">
        <v>579</v>
      </c>
      <c t="str" s="327" r="AA44">
        <f>IF(ISBLANK(N53),IF(ISBLANK(N52),IF((O53="---"),NA(),O53),(S$46-N52)),N53)</f>
        <v>#N/A:explicit</v>
      </c>
      <c s="241" r="AB44"/>
      <c s="886" r="AC44"/>
      <c s="886" r="AD44"/>
      <c t="str" s="398" r="AE44">
        <f>IF((INDEX(U46:U146,MATCH(MIN(Q46:Q146),Q46:Q146,0))&gt;=K$148),IF((INDEX(U46:U146,MATCH(MAX(Q46:Q146),Q46:Q146,1))&gt;=K$148),2,0),0)</f>
        <v>#N/A:lookupNotFound:0</v>
      </c>
      <c s="588" r="AF44"/>
      <c t="s" s="771" r="AG44">
        <v>580</v>
      </c>
      <c s="388" r="AH44"/>
      <c s="406" r="AI44"/>
      <c s="886" r="AJ44"/>
      <c s="886" r="AK44"/>
      <c s="886" r="AL44"/>
      <c s="886" r="AM44"/>
      <c s="886" r="AN44"/>
      <c t="s" s="861" r="AO44">
        <v>575</v>
      </c>
      <c t="s" s="861" r="AP44">
        <v>385</v>
      </c>
      <c t="s" s="861" r="AQ44">
        <v>386</v>
      </c>
      <c t="s" s="861" r="AR44">
        <v>377</v>
      </c>
      <c t="s" s="886" r="AS44">
        <v>576</v>
      </c>
      <c t="s" s="861" r="AT44">
        <v>577</v>
      </c>
      <c t="s" s="861" r="AU44">
        <v>578</v>
      </c>
      <c s="861" r="AV44"/>
      <c s="861" r="AW44"/>
      <c t="s" s="861" r="AX44">
        <v>579</v>
      </c>
      <c t="str" s="327" r="AY44">
        <f>IF(ISBLANK(AL53),IF(ISBLANK(AL52),IF((AM53="---"),NA(),AM53),(AQ$46-AL52)),AL53)</f>
        <v>#N/A:explicit</v>
      </c>
      <c s="241" r="AZ44"/>
      <c s="886" r="BA44"/>
      <c s="886" r="BB44"/>
      <c t="str" s="398" r="BC44">
        <f>IF((INDEX(AS46:AS146,MATCH(MIN(AO46:AO146),AO46:AO146,0))&gt;=AI$148),IF((INDEX(AS46:AS146,MATCH(MAX(AO46:AO146),AO46:AO146,1))&gt;=AI$148),2,0),0)</f>
        <v>#N/A:lookupNotFound:0</v>
      </c>
      <c s="588" r="BD44"/>
      <c t="s" s="771" r="BE44">
        <v>580</v>
      </c>
      <c s="388" r="BF44"/>
      <c s="406" r="BG44"/>
      <c s="886" r="BH44"/>
      <c s="886" r="BI44"/>
      <c s="886" r="BJ44"/>
      <c s="886" r="BK44"/>
      <c s="886" r="BL44"/>
      <c t="s" s="861" r="BM44">
        <v>575</v>
      </c>
      <c t="s" s="861" r="BN44">
        <v>385</v>
      </c>
      <c t="s" s="861" r="BO44">
        <v>386</v>
      </c>
      <c t="s" s="861" r="BP44">
        <v>377</v>
      </c>
      <c t="s" s="886" r="BQ44">
        <v>576</v>
      </c>
      <c t="s" s="861" r="BR44">
        <v>577</v>
      </c>
      <c t="s" s="861" r="BS44">
        <v>578</v>
      </c>
      <c s="861" r="BT44"/>
      <c s="861" r="BU44"/>
      <c t="s" s="861" r="BV44">
        <v>579</v>
      </c>
      <c t="str" s="327" r="BW44">
        <f>IF(ISBLANK(BJ53),IF(ISBLANK(BJ52),IF((BK53="---"),NA(),BK53),(BO$46-BJ52)),BJ53)</f>
        <v>#N/A:explicit</v>
      </c>
      <c s="241" r="BX44"/>
      <c s="886" r="BY44"/>
      <c s="886" r="BZ44"/>
      <c t="str" s="398" r="CA44">
        <f>IF((INDEX(BQ46:BQ146,MATCH(MIN(BM46:BM146),BM46:BM146,0))&gt;=BG$148),IF((INDEX(BQ46:BQ146,MATCH(MAX(BM46:BM146),BM46:BM146,1))&gt;=BG$148),2,0),0)</f>
        <v>#N/A:lookupNotFound:0</v>
      </c>
      <c s="588" r="CB44"/>
      <c t="s" s="771" r="CC44">
        <v>580</v>
      </c>
      <c s="388" r="CD44"/>
      <c s="406" r="CE44"/>
      <c s="886" r="CF44"/>
      <c s="886" r="CG44"/>
      <c s="886" r="CH44"/>
      <c s="886" r="CI44"/>
      <c s="886" r="CJ44"/>
      <c t="s" s="861" r="CK44">
        <v>575</v>
      </c>
      <c t="s" s="861" r="CL44">
        <v>385</v>
      </c>
      <c t="s" s="861" r="CM44">
        <v>386</v>
      </c>
      <c t="s" s="861" r="CN44">
        <v>377</v>
      </c>
      <c t="s" s="886" r="CO44">
        <v>576</v>
      </c>
      <c t="s" s="861" r="CP44">
        <v>577</v>
      </c>
      <c t="s" s="861" r="CQ44">
        <v>578</v>
      </c>
      <c s="861" r="CR44"/>
      <c s="861" r="CS44"/>
      <c t="s" s="861" r="CT44">
        <v>579</v>
      </c>
      <c t="str" s="327" r="CU44">
        <f>IF(ISBLANK(CH53),IF(ISBLANK(CH52),IF((CI53="---"),NA(),CI53),(CM$46-CH52)),CH53)</f>
        <v>#N/A:explicit</v>
      </c>
      <c s="241" r="CV44"/>
      <c s="886" r="CW44"/>
      <c s="886" r="CX44"/>
      <c t="str" s="398" r="CY44">
        <f>IF((INDEX(CO46:CO146,MATCH(MIN(CK46:CK146),CK46:CK146,0))&gt;=CE$148),IF((INDEX(CO46:CO146,MATCH(MAX(CK46:CK146),CK46:CK146,1))&gt;=CE$148),2,0),0)</f>
        <v>#N/A:lookupNotFound:0</v>
      </c>
      <c s="588" r="CZ44"/>
      <c t="s" s="771" r="DA44">
        <v>580</v>
      </c>
      <c s="388" r="DB44"/>
      <c s="406" r="DC44"/>
      <c s="886" r="DD44"/>
      <c s="886" r="DE44"/>
      <c s="886" r="DF44"/>
      <c s="886" r="DG44"/>
      <c s="886" r="DH44"/>
      <c t="s" s="861" r="DI44">
        <v>575</v>
      </c>
      <c t="s" s="861" r="DJ44">
        <v>385</v>
      </c>
      <c t="s" s="861" r="DK44">
        <v>386</v>
      </c>
      <c t="s" s="861" r="DL44">
        <v>377</v>
      </c>
      <c t="s" s="886" r="DM44">
        <v>576</v>
      </c>
      <c t="s" s="861" r="DN44">
        <v>577</v>
      </c>
      <c t="s" s="861" r="DO44">
        <v>578</v>
      </c>
      <c s="861" r="DP44"/>
      <c s="861" r="DQ44"/>
      <c t="s" s="861" r="DR44">
        <v>579</v>
      </c>
      <c t="str" s="327" r="DS44">
        <f>IF(ISBLANK(DF53),IF(ISBLANK(DF52),IF((DG53="---"),NA(),DG53),(DK$46-DF52)),DF53)</f>
        <v>#N/A:explicit</v>
      </c>
      <c s="241" r="DT44"/>
      <c s="886" r="DU44"/>
      <c s="886" r="DV44"/>
      <c t="str" s="398" r="DW44">
        <f>IF((INDEX(DM46:DM146,MATCH(MIN(DI46:DI146),DI46:DI146,0))&gt;=DC$148),IF((INDEX(DM46:DM146,MATCH(MAX(DI46:DI146),DI46:DI146,1))&gt;=DC$148),2,0),0)</f>
        <v>#N/A:lookupNotFound:0</v>
      </c>
      <c s="588" r="DX44"/>
      <c t="s" s="771" r="DY44">
        <v>580</v>
      </c>
      <c s="388" r="DZ44"/>
      <c s="406" r="EA44"/>
      <c s="886" r="EB44"/>
      <c s="886" r="EC44"/>
      <c s="886" r="ED44"/>
      <c s="886" r="EE44"/>
      <c s="886" r="EF44"/>
      <c t="s" s="861" r="EG44">
        <v>575</v>
      </c>
      <c t="s" s="861" r="EH44">
        <v>385</v>
      </c>
      <c t="s" s="861" r="EI44">
        <v>386</v>
      </c>
      <c t="s" s="861" r="EJ44">
        <v>377</v>
      </c>
      <c t="s" s="886" r="EK44">
        <v>576</v>
      </c>
      <c t="s" s="861" r="EL44">
        <v>577</v>
      </c>
      <c t="s" s="861" r="EM44">
        <v>578</v>
      </c>
      <c s="861" r="EN44"/>
      <c s="861" r="EO44"/>
      <c t="s" s="861" r="EP44">
        <v>579</v>
      </c>
      <c t="str" s="327" r="EQ44">
        <f>IF(ISBLANK(ED53),IF(ISBLANK(ED52),IF((EE53="---"),NA(),EE53),(EI$46-ED52)),ED53)</f>
        <v>#N/A:explicit</v>
      </c>
      <c s="241" r="ER44"/>
      <c s="886" r="ES44"/>
      <c s="886" r="ET44"/>
      <c t="str" s="398" r="EU44">
        <f>IF((INDEX(EK46:EK146,MATCH(MIN(EG46:EG146),EG46:EG146,0))&gt;=EA$148),IF((INDEX(EK46:EK146,MATCH(MAX(EG46:EG146),EG46:EG146,1))&gt;=EA$148),2,0),0)</f>
        <v>#N/A:lookupNotFound:0</v>
      </c>
      <c s="588" r="EV44"/>
      <c t="s" s="771" r="EW44">
        <v>580</v>
      </c>
      <c s="388" r="EX44"/>
      <c s="406" r="EY44"/>
      <c s="886" r="EZ44"/>
      <c s="886" r="FA44"/>
      <c s="886" r="FB44"/>
      <c s="886" r="FC44"/>
      <c s="886" r="FD44"/>
      <c t="s" s="861" r="FE44">
        <v>575</v>
      </c>
      <c t="s" s="861" r="FF44">
        <v>385</v>
      </c>
      <c t="s" s="861" r="FG44">
        <v>386</v>
      </c>
      <c t="s" s="861" r="FH44">
        <v>377</v>
      </c>
      <c t="s" s="886" r="FI44">
        <v>576</v>
      </c>
      <c t="s" s="861" r="FJ44">
        <v>577</v>
      </c>
      <c t="s" s="861" r="FK44">
        <v>578</v>
      </c>
      <c s="861" r="FL44"/>
      <c s="861" r="FM44"/>
      <c t="s" s="861" r="FN44">
        <v>579</v>
      </c>
      <c t="str" s="327" r="FO44">
        <f>IF(ISBLANK(FB53),IF(ISBLANK(FB52),IF((FC53="---"),NA(),FC53),(FG$46-FB52)),FB53)</f>
        <v>#N/A:explicit</v>
      </c>
      <c s="241" r="FP44"/>
      <c s="886" r="FQ44"/>
      <c s="886" r="FR44"/>
      <c t="str" s="398" r="FS44">
        <f>IF((INDEX(FI46:FI146,MATCH(MIN(FE46:FE146),FE46:FE146,0))&gt;=EY$148),IF((INDEX(FI46:FI146,MATCH(MAX(FE46:FE146),FE46:FE146,1))&gt;=EY$148),2,0),0)</f>
        <v>#N/A:lookupNotFound:0</v>
      </c>
      <c s="588" r="FT44"/>
      <c t="s" s="771" r="FU44">
        <v>580</v>
      </c>
      <c s="222" r="FV44"/>
      <c s="125" r="FW44"/>
      <c s="125" r="FX44"/>
      <c s="125" r="FY44"/>
      <c s="125" r="FZ44"/>
      <c s="125" r="GA44"/>
      <c s="125" r="GB44"/>
      <c s="125" r="GC44"/>
      <c s="125" r="GD44"/>
      <c s="125" r="GE44"/>
      <c s="125" r="GF44"/>
      <c s="125" r="GG44"/>
      <c s="125" r="GH44"/>
      <c s="125" r="GI44"/>
      <c s="125" r="GJ44"/>
      <c s="125" r="GK44"/>
      <c s="125" r="GL44"/>
      <c s="125" r="GM44"/>
      <c s="125" r="GN44"/>
      <c s="125" r="GO44"/>
      <c s="125" r="GP44"/>
      <c s="125" r="GQ44"/>
      <c s="125" r="GR44"/>
      <c s="125" r="GS44"/>
      <c s="125" r="GT44"/>
      <c s="125" r="GU44"/>
      <c s="125" r="GV44"/>
      <c s="125" r="GW44"/>
      <c s="125" r="GX44"/>
      <c s="125" r="GY44"/>
      <c s="125" r="GZ44"/>
      <c s="125" r="HA44"/>
      <c s="125" r="HB44"/>
    </row>
    <row customHeight="1" s="642" customFormat="1" r="45" ht="13.5">
      <c s="822" r="A45"/>
      <c s="406" r="B45"/>
      <c s="886" r="C45"/>
      <c s="886" r="D45"/>
      <c s="566" r="E45"/>
      <c s="886" r="F45"/>
      <c s="566" r="G45"/>
      <c s="566" r="H45"/>
      <c s="418" r="I45"/>
      <c t="s" s="702" r="J45">
        <v>2</v>
      </c>
      <c s="406" r="K45"/>
      <c t="s" s="729" r="L45">
        <v>581</v>
      </c>
      <c s="566" r="M45"/>
      <c s="566" r="N45"/>
      <c s="886" r="O45"/>
      <c s="886" r="P45"/>
      <c t="str" s="371" r="Q45">
        <f>IF((V148=2),"(m)","(ft)")</f>
        <v>(ft)</v>
      </c>
      <c t="str" s="371" r="R45">
        <f>IF((V148=2),"(m)","(ft)")</f>
        <v>(ft)</v>
      </c>
      <c t="str" s="371" r="S45">
        <f>IF((V148=2),"(m)","(ft)")</f>
        <v>(ft)</v>
      </c>
      <c t="str" s="371" r="T45">
        <f>IF((V148=2),"(m)","(ft)")</f>
        <v>(ft)</v>
      </c>
      <c t="str" s="371" r="U45">
        <f>IF((V148=2),"(m)","(ft)")</f>
        <v>(ft)</v>
      </c>
      <c t="s" s="371" r="V45">
        <v>582</v>
      </c>
      <c s="371" r="W45"/>
      <c t="s" s="861" r="X45">
        <v>400</v>
      </c>
      <c t="s" s="861" r="Y45">
        <v>583</v>
      </c>
      <c t="s" s="861" r="Z45">
        <v>584</v>
      </c>
      <c t="s" s="321" r="AA45">
        <v>398</v>
      </c>
      <c t="s" s="861" r="AB45">
        <v>585</v>
      </c>
      <c t="s" s="861" r="AC45">
        <v>453</v>
      </c>
      <c t="s" s="861" r="AD45">
        <v>303</v>
      </c>
      <c t="s" s="861" r="AE45">
        <v>586</v>
      </c>
      <c t="s" s="861" r="AF45">
        <v>585</v>
      </c>
      <c t="str" s="836" r="AG45">
        <f>IF(ISBLANK(N57),IF(ISBLANK(N56),NA(),(S46-N56)),N57)</f>
        <v>#N/A:explicit</v>
      </c>
      <c s="388" r="AH45"/>
      <c s="406" r="AI45"/>
      <c t="s" s="729" r="AJ45">
        <v>581</v>
      </c>
      <c s="566" r="AK45"/>
      <c s="566" r="AL45"/>
      <c s="886" r="AM45"/>
      <c s="886" r="AN45"/>
      <c t="str" s="371" r="AO45">
        <f>IF((AT148=2),"(m)","(ft)")</f>
        <v>(ft)</v>
      </c>
      <c t="str" s="371" r="AP45">
        <f>IF((AT148=2),"(m)","(ft)")</f>
        <v>(ft)</v>
      </c>
      <c t="str" s="371" r="AQ45">
        <f>IF((AT148=2),"(m)","(ft)")</f>
        <v>(ft)</v>
      </c>
      <c t="str" s="371" r="AR45">
        <f>IF((AT148=2),"(m)","(ft)")</f>
        <v>(ft)</v>
      </c>
      <c t="str" s="371" r="AS45">
        <f>IF((AT148=2),"(m)","(ft)")</f>
        <v>(ft)</v>
      </c>
      <c t="s" s="371" r="AT45">
        <v>582</v>
      </c>
      <c s="371" r="AU45"/>
      <c t="s" s="861" r="AV45">
        <v>400</v>
      </c>
      <c t="s" s="861" r="AW45">
        <v>583</v>
      </c>
      <c t="s" s="861" r="AX45">
        <v>584</v>
      </c>
      <c t="s" s="321" r="AY45">
        <v>398</v>
      </c>
      <c t="s" s="861" r="AZ45">
        <v>585</v>
      </c>
      <c t="s" s="861" r="BA45">
        <v>453</v>
      </c>
      <c t="s" s="861" r="BB45">
        <v>303</v>
      </c>
      <c t="s" s="861" r="BC45">
        <v>586</v>
      </c>
      <c t="s" s="861" r="BD45">
        <v>585</v>
      </c>
      <c t="str" s="836" r="BE45">
        <f>IF(ISBLANK(AL57),IF(ISBLANK(AL56),NA(),(AQ46-AL56)),AL57)</f>
        <v>#N/A:explicit</v>
      </c>
      <c t="s" s="388" r="BF45">
        <v>2</v>
      </c>
      <c s="406" r="BG45"/>
      <c t="s" s="729" r="BH45">
        <v>581</v>
      </c>
      <c s="566" r="BI45"/>
      <c s="566" r="BJ45"/>
      <c s="886" r="BK45"/>
      <c s="886" r="BL45"/>
      <c t="str" s="371" r="BM45">
        <f>IF((BR148=2),"(m)","(ft)")</f>
        <v>(ft)</v>
      </c>
      <c t="str" s="371" r="BN45">
        <f>IF((BR148=2),"(m)","(ft)")</f>
        <v>(ft)</v>
      </c>
      <c t="str" s="371" r="BO45">
        <f>IF((BR148=2),"(m)","(ft)")</f>
        <v>(ft)</v>
      </c>
      <c t="str" s="371" r="BP45">
        <f>IF((BR148=2),"(m)","(ft)")</f>
        <v>(ft)</v>
      </c>
      <c t="str" s="371" r="BQ45">
        <f>IF((BR148=2),"(m)","(ft)")</f>
        <v>(ft)</v>
      </c>
      <c t="s" s="371" r="BR45">
        <v>582</v>
      </c>
      <c s="371" r="BS45"/>
      <c t="s" s="861" r="BT45">
        <v>400</v>
      </c>
      <c t="s" s="861" r="BU45">
        <v>583</v>
      </c>
      <c t="s" s="861" r="BV45">
        <v>584</v>
      </c>
      <c t="s" s="321" r="BW45">
        <v>398</v>
      </c>
      <c t="s" s="861" r="BX45">
        <v>585</v>
      </c>
      <c t="s" s="861" r="BY45">
        <v>453</v>
      </c>
      <c t="s" s="861" r="BZ45">
        <v>303</v>
      </c>
      <c t="s" s="861" r="CA45">
        <v>586</v>
      </c>
      <c t="s" s="861" r="CB45">
        <v>585</v>
      </c>
      <c t="str" s="836" r="CC45">
        <f>IF(ISBLANK(BJ57),IF(ISBLANK(BJ56),NA(),(BO46-BJ56)),BJ57)</f>
        <v>#N/A:explicit</v>
      </c>
      <c s="388" r="CD45"/>
      <c s="406" r="CE45"/>
      <c t="s" s="729" r="CF45">
        <v>581</v>
      </c>
      <c s="566" r="CG45"/>
      <c s="566" r="CH45"/>
      <c s="886" r="CI45"/>
      <c s="886" r="CJ45"/>
      <c t="str" s="371" r="CK45">
        <f>IF((CP148=2),"(m)","(ft)")</f>
        <v>(ft)</v>
      </c>
      <c t="str" s="371" r="CL45">
        <f>IF((CP148=2),"(m)","(ft)")</f>
        <v>(ft)</v>
      </c>
      <c t="str" s="371" r="CM45">
        <f>IF((CP148=2),"(m)","(ft)")</f>
        <v>(ft)</v>
      </c>
      <c t="str" s="371" r="CN45">
        <f>IF((CP148=2),"(m)","(ft)")</f>
        <v>(ft)</v>
      </c>
      <c t="str" s="371" r="CO45">
        <f>IF((CP148=2),"(m)","(ft)")</f>
        <v>(ft)</v>
      </c>
      <c t="s" s="371" r="CP45">
        <v>582</v>
      </c>
      <c s="371" r="CQ45"/>
      <c t="s" s="861" r="CR45">
        <v>400</v>
      </c>
      <c t="s" s="861" r="CS45">
        <v>583</v>
      </c>
      <c t="s" s="861" r="CT45">
        <v>584</v>
      </c>
      <c t="s" s="321" r="CU45">
        <v>398</v>
      </c>
      <c t="s" s="861" r="CV45">
        <v>585</v>
      </c>
      <c t="s" s="861" r="CW45">
        <v>453</v>
      </c>
      <c t="s" s="861" r="CX45">
        <v>303</v>
      </c>
      <c t="s" s="861" r="CY45">
        <v>586</v>
      </c>
      <c t="s" s="861" r="CZ45">
        <v>585</v>
      </c>
      <c t="str" s="836" r="DA45">
        <f>IF(ISBLANK(CH57),IF(ISBLANK(CH56),NA(),(CM46-CH56)),CH57)</f>
        <v>#N/A:explicit</v>
      </c>
      <c s="388" r="DB45"/>
      <c s="406" r="DC45"/>
      <c t="s" s="729" r="DD45">
        <v>581</v>
      </c>
      <c s="566" r="DE45"/>
      <c s="566" r="DF45"/>
      <c s="886" r="DG45"/>
      <c s="886" r="DH45"/>
      <c t="str" s="371" r="DI45">
        <f>IF((DN148=2),"(m)","(ft)")</f>
        <v>(ft)</v>
      </c>
      <c t="str" s="371" r="DJ45">
        <f>IF((DN148=2),"(m)","(ft)")</f>
        <v>(ft)</v>
      </c>
      <c t="str" s="371" r="DK45">
        <f>IF((DN148=2),"(m)","(ft)")</f>
        <v>(ft)</v>
      </c>
      <c t="str" s="371" r="DL45">
        <f>IF((DN148=2),"(m)","(ft)")</f>
        <v>(ft)</v>
      </c>
      <c t="str" s="371" r="DM45">
        <f>IF((DN148=2),"(m)","(ft)")</f>
        <v>(ft)</v>
      </c>
      <c t="s" s="371" r="DN45">
        <v>582</v>
      </c>
      <c s="371" r="DO45"/>
      <c t="s" s="861" r="DP45">
        <v>400</v>
      </c>
      <c t="s" s="861" r="DQ45">
        <v>583</v>
      </c>
      <c t="s" s="861" r="DR45">
        <v>584</v>
      </c>
      <c t="s" s="321" r="DS45">
        <v>398</v>
      </c>
      <c t="s" s="861" r="DT45">
        <v>585</v>
      </c>
      <c t="s" s="861" r="DU45">
        <v>453</v>
      </c>
      <c t="s" s="861" r="DV45">
        <v>303</v>
      </c>
      <c t="s" s="861" r="DW45">
        <v>586</v>
      </c>
      <c t="s" s="861" r="DX45">
        <v>585</v>
      </c>
      <c t="str" s="836" r="DY45">
        <f>IF(ISBLANK(DF57),IF(ISBLANK(DF56),NA(),(DK46-DF56)),DF57)</f>
        <v>#N/A:explicit</v>
      </c>
      <c s="388" r="DZ45"/>
      <c s="406" r="EA45"/>
      <c t="s" s="729" r="EB45">
        <v>581</v>
      </c>
      <c s="566" r="EC45"/>
      <c s="566" r="ED45"/>
      <c s="886" r="EE45"/>
      <c s="886" r="EF45"/>
      <c t="str" s="371" r="EG45">
        <f>IF((EL148=2),"(m)","(ft)")</f>
        <v>(ft)</v>
      </c>
      <c t="str" s="371" r="EH45">
        <f>IF((EL148=2),"(m)","(ft)")</f>
        <v>(ft)</v>
      </c>
      <c t="str" s="371" r="EI45">
        <f>IF((EL148=2),"(m)","(ft)")</f>
        <v>(ft)</v>
      </c>
      <c t="str" s="371" r="EJ45">
        <f>IF((EL148=2),"(m)","(ft)")</f>
        <v>(ft)</v>
      </c>
      <c t="str" s="371" r="EK45">
        <f>IF((EL148=2),"(m)","(ft)")</f>
        <v>(ft)</v>
      </c>
      <c t="s" s="371" r="EL45">
        <v>582</v>
      </c>
      <c s="371" r="EM45"/>
      <c t="s" s="861" r="EN45">
        <v>400</v>
      </c>
      <c t="s" s="861" r="EO45">
        <v>583</v>
      </c>
      <c t="s" s="861" r="EP45">
        <v>584</v>
      </c>
      <c t="s" s="321" r="EQ45">
        <v>398</v>
      </c>
      <c t="s" s="861" r="ER45">
        <v>585</v>
      </c>
      <c t="s" s="861" r="ES45">
        <v>453</v>
      </c>
      <c t="s" s="861" r="ET45">
        <v>303</v>
      </c>
      <c t="s" s="861" r="EU45">
        <v>586</v>
      </c>
      <c t="s" s="861" r="EV45">
        <v>585</v>
      </c>
      <c t="str" s="836" r="EW45">
        <f>IF(ISBLANK(ED57),IF(ISBLANK(ED56),NA(),(EI46-ED56)),ED57)</f>
        <v>#N/A:explicit</v>
      </c>
      <c s="388" r="EX45"/>
      <c s="406" r="EY45"/>
      <c t="s" s="729" r="EZ45">
        <v>581</v>
      </c>
      <c s="566" r="FA45"/>
      <c s="566" r="FB45"/>
      <c s="886" r="FC45"/>
      <c s="886" r="FD45"/>
      <c t="str" s="371" r="FE45">
        <f>IF((FJ148=2),"(m)","(ft)")</f>
        <v>(ft)</v>
      </c>
      <c t="str" s="371" r="FF45">
        <f>IF((FJ148=2),"(m)","(ft)")</f>
        <v>(ft)</v>
      </c>
      <c t="str" s="371" r="FG45">
        <f>IF((FJ148=2),"(m)","(ft)")</f>
        <v>(ft)</v>
      </c>
      <c t="str" s="371" r="FH45">
        <f>IF((FJ148=2),"(m)","(ft)")</f>
        <v>(ft)</v>
      </c>
      <c t="str" s="371" r="FI45">
        <f>IF((FJ148=2),"(m)","(ft)")</f>
        <v>(ft)</v>
      </c>
      <c t="s" s="371" r="FJ45">
        <v>582</v>
      </c>
      <c s="371" r="FK45"/>
      <c t="s" s="861" r="FL45">
        <v>400</v>
      </c>
      <c t="s" s="861" r="FM45">
        <v>583</v>
      </c>
      <c t="s" s="861" r="FN45">
        <v>584</v>
      </c>
      <c t="s" s="321" r="FO45">
        <v>398</v>
      </c>
      <c t="s" s="861" r="FP45">
        <v>585</v>
      </c>
      <c t="s" s="861" r="FQ45">
        <v>453</v>
      </c>
      <c t="s" s="861" r="FR45">
        <v>303</v>
      </c>
      <c t="s" s="861" r="FS45">
        <v>586</v>
      </c>
      <c t="s" s="861" r="FT45">
        <v>585</v>
      </c>
      <c t="str" s="836" r="FU45">
        <f>IF(ISBLANK(FB57),IF(ISBLANK(FB56),NA(),(FG46-FB56)),FB57)</f>
        <v>#N/A:explicit</v>
      </c>
      <c s="222" r="FV45"/>
      <c s="125" r="FW45"/>
      <c s="125" r="FX45"/>
      <c s="125" r="FY45"/>
      <c s="125" r="FZ45"/>
      <c s="125" r="GA45"/>
      <c s="125" r="GB45"/>
      <c s="125" r="GC45"/>
      <c s="125" r="GD45"/>
      <c s="125" r="GE45"/>
      <c s="125" r="GF45"/>
      <c s="125" r="GG45"/>
      <c s="125" r="GH45"/>
      <c s="125" r="GI45"/>
      <c s="125" r="GJ45"/>
      <c s="125" r="GK45"/>
      <c s="125" r="GL45"/>
      <c s="125" r="GM45"/>
      <c s="125" r="GN45"/>
      <c s="125" r="GO45"/>
      <c s="125" r="GP45"/>
      <c s="125" r="GQ45"/>
      <c s="125" r="GR45"/>
      <c s="125" r="GS45"/>
      <c s="125" r="GT45"/>
      <c s="125" r="GU45"/>
      <c s="125" r="GV45"/>
      <c s="125" r="GW45"/>
      <c s="125" r="GX45"/>
      <c s="125" r="GY45"/>
      <c s="125" r="GZ45"/>
      <c s="125" r="HA45"/>
      <c s="125" r="HB45"/>
    </row>
    <row customHeight="1" r="46" ht="13.5">
      <c s="822" r="A46"/>
      <c s="406" r="B46"/>
      <c s="886" r="C46"/>
      <c t="s" s="836" r="D46">
        <v>259</v>
      </c>
      <c s="458" r="E46"/>
      <c s="734" r="F46"/>
      <c s="458" r="G46"/>
      <c s="458" r="H46"/>
      <c s="734" r="I46"/>
      <c t="s" s="702" r="J46">
        <v>2</v>
      </c>
      <c s="309" r="K46"/>
      <c s="756" r="L46"/>
      <c s="756" r="M46"/>
      <c s="640" r="N46"/>
      <c s="886" r="O46"/>
      <c s="823" r="P46"/>
      <c s="426" r="Q46"/>
      <c s="426" r="R46"/>
      <c s="471" r="S46">
        <f>IF(ISNUMBER(N48),N48,IF(ISNUMBER(O48),O48,0))</f>
        <v>0</v>
      </c>
      <c s="426" r="T46"/>
      <c t="str" s="471" r="U46">
        <f>IF(OR(ISBLANK(T46),ISNUMBER(R47)),NA(),(S46-T46))</f>
        <v>#N/A:explicit</v>
      </c>
      <c t="b" s="49" r="V46">
        <v>0</v>
      </c>
      <c s="251" r="W46"/>
      <c t="str" s="309" r="X46">
        <f>IF((COUNT(Q46:Q$146)=0),NA(),IF(ISBLANK(Q46),0,Q46))</f>
        <v>#N/A:explicit</v>
      </c>
      <c t="str" s="861" r="Y46">
        <f>U46</f>
        <v>#N/A:explicit</v>
      </c>
      <c s="861" r="Z46">
        <f>IF(ISNUMBER(Y46),Y46,(S$46+1000))</f>
        <v>1000</v>
      </c>
      <c t="str" s="588" r="AA46">
        <f>IF((V46=TRUE),NA(),IF((AA$44=(S$46-MAX(T$46:T$146))),NA(),AA$44))</f>
        <v>#N/A:explicit</v>
      </c>
      <c s="241" r="AB46"/>
      <c s="886" r="AC46"/>
      <c s="886" r="AD46"/>
      <c s="398" r="AE46">
        <f>SUM(AE47:AE146)</f>
        <v>0</v>
      </c>
      <c s="241" r="AF46"/>
      <c s="418" r="AG46"/>
      <c s="388" r="AH46"/>
      <c s="309" r="AI46"/>
      <c s="756" r="AJ46"/>
      <c s="756" r="AK46"/>
      <c s="640" r="AL46"/>
      <c s="886" r="AM46"/>
      <c s="823" r="AN46"/>
      <c s="426" r="AO46"/>
      <c s="426" r="AP46"/>
      <c s="471" r="AQ46">
        <f>IF(ISNUMBER(AL48),AL48,IF(ISNUMBER(AM48),AM48,0))</f>
        <v>0</v>
      </c>
      <c s="426" r="AR46"/>
      <c t="str" s="471" r="AS46">
        <f>IF(OR(ISBLANK(AR46),ISNUMBER(AP47)),NA(),(AQ46-AR46))</f>
        <v>#N/A:explicit</v>
      </c>
      <c t="b" s="49" r="AT46">
        <v>0</v>
      </c>
      <c s="251" r="AU46"/>
      <c t="str" s="309" r="AV46">
        <f>IF((COUNT(AO46:AO$146)=0),NA(),IF(ISBLANK(AO46),0,AO46))</f>
        <v>#N/A:explicit</v>
      </c>
      <c t="str" s="861" r="AW46">
        <f>AS46</f>
        <v>#N/A:explicit</v>
      </c>
      <c s="861" r="AX46">
        <f>IF(ISNUMBER(AW46),AW46,(AQ$46+1000))</f>
        <v>1000</v>
      </c>
      <c t="str" s="588" r="AY46">
        <f>IF((AT46=TRUE),NA(),IF((AY$44=(AQ$46-MAX(AR$46:AR$146))),NA(),AY$44))</f>
        <v>#N/A:explicit</v>
      </c>
      <c s="241" r="AZ46"/>
      <c s="886" r="BA46"/>
      <c s="886" r="BB46"/>
      <c s="398" r="BC46">
        <f>SUM(BC47:BC146)</f>
        <v>0</v>
      </c>
      <c s="241" r="BD46"/>
      <c s="418" r="BE46"/>
      <c s="388" r="BF46"/>
      <c s="309" r="BG46"/>
      <c s="756" r="BH46"/>
      <c s="756" r="BI46"/>
      <c s="640" r="BJ46"/>
      <c s="886" r="BK46"/>
      <c s="823" r="BL46"/>
      <c s="426" r="BM46"/>
      <c s="426" r="BN46"/>
      <c s="471" r="BO46">
        <f>IF(ISNUMBER(BJ48),BJ48,IF(ISNUMBER(BK48),BK48,0))</f>
        <v>0</v>
      </c>
      <c s="426" r="BP46"/>
      <c t="str" s="471" r="BQ46">
        <f>IF(OR(ISBLANK(BP46),ISNUMBER(BN47)),NA(),(BO46-BP46))</f>
        <v>#N/A:explicit</v>
      </c>
      <c t="b" s="49" r="BR46">
        <v>0</v>
      </c>
      <c s="251" r="BS46"/>
      <c t="str" s="309" r="BT46">
        <f>IF((COUNT(BM46:BM$146)=0),NA(),IF(ISBLANK(BM46),0,BM46))</f>
        <v>#N/A:explicit</v>
      </c>
      <c t="str" s="861" r="BU46">
        <f>BQ46</f>
        <v>#N/A:explicit</v>
      </c>
      <c s="861" r="BV46">
        <f>IF(ISNUMBER(BU46),BU46,(BO$46+1000))</f>
        <v>1000</v>
      </c>
      <c t="str" s="588" r="BW46">
        <f>IF((BR46=TRUE),NA(),IF((BW$44=(BO$46-MAX(BP$46:BP$146))),NA(),BW$44))</f>
        <v>#N/A:explicit</v>
      </c>
      <c s="241" r="BX46"/>
      <c s="886" r="BY46"/>
      <c s="886" r="BZ46"/>
      <c s="398" r="CA46">
        <f>SUM(CA47:CA146)</f>
        <v>0</v>
      </c>
      <c s="241" r="CB46"/>
      <c s="418" r="CC46"/>
      <c s="388" r="CD46"/>
      <c s="309" r="CE46"/>
      <c s="756" r="CF46"/>
      <c s="756" r="CG46"/>
      <c s="640" r="CH46"/>
      <c s="886" r="CI46"/>
      <c s="823" r="CJ46"/>
      <c s="426" r="CK46"/>
      <c s="426" r="CL46"/>
      <c s="471" r="CM46">
        <f>IF(ISNUMBER(CH48),CH48,IF(ISNUMBER(CI48),CI48,0))</f>
        <v>0</v>
      </c>
      <c s="426" r="CN46"/>
      <c t="str" s="471" r="CO46">
        <f>IF(OR(ISBLANK(CN46),ISNUMBER(CL47)),NA(),(CM46-CN46))</f>
        <v>#N/A:explicit</v>
      </c>
      <c t="b" s="49" r="CP46">
        <v>0</v>
      </c>
      <c s="251" r="CQ46"/>
      <c t="str" s="309" r="CR46">
        <f>IF((COUNT(CK46:CK$146)=0),NA(),IF(ISBLANK(CK46),0,CK46))</f>
        <v>#N/A:explicit</v>
      </c>
      <c t="str" s="861" r="CS46">
        <f>CO46</f>
        <v>#N/A:explicit</v>
      </c>
      <c s="861" r="CT46">
        <f>IF(ISNUMBER(CS46),CS46,(CM$46+1000))</f>
        <v>1000</v>
      </c>
      <c t="str" s="588" r="CU46">
        <f>IF((CP46=TRUE),NA(),IF((CU$44=(CM$46-MAX(CN$46:CN$146))),NA(),CU$44))</f>
        <v>#N/A:explicit</v>
      </c>
      <c s="241" r="CV46"/>
      <c s="886" r="CW46"/>
      <c s="886" r="CX46"/>
      <c s="398" r="CY46">
        <f>SUM(CY47:CY146)</f>
        <v>0</v>
      </c>
      <c s="241" r="CZ46"/>
      <c s="418" r="DA46"/>
      <c s="388" r="DB46"/>
      <c s="309" r="DC46"/>
      <c s="756" r="DD46"/>
      <c s="756" r="DE46"/>
      <c s="640" r="DF46"/>
      <c s="886" r="DG46"/>
      <c s="823" r="DH46"/>
      <c s="426" r="DI46"/>
      <c s="426" r="DJ46"/>
      <c s="471" r="DK46">
        <f>IF(ISNUMBER(DF48),DF48,IF(ISNUMBER(DG48),DG48,0))</f>
        <v>0</v>
      </c>
      <c s="426" r="DL46"/>
      <c t="str" s="471" r="DM46">
        <f>IF(OR(ISBLANK(DL46),ISNUMBER(DJ47)),NA(),(DK46-DL46))</f>
        <v>#N/A:explicit</v>
      </c>
      <c t="b" s="49" r="DN46">
        <v>0</v>
      </c>
      <c s="251" r="DO46"/>
      <c t="str" s="309" r="DP46">
        <f>IF((COUNT(DI46:DI$146)=0),NA(),IF(ISBLANK(DI46),0,DI46))</f>
        <v>#N/A:explicit</v>
      </c>
      <c t="str" s="861" r="DQ46">
        <f>DM46</f>
        <v>#N/A:explicit</v>
      </c>
      <c s="861" r="DR46">
        <f>IF(ISNUMBER(DQ46),DQ46,(DK$46+1000))</f>
        <v>1000</v>
      </c>
      <c t="str" s="588" r="DS46">
        <f>IF((DN46=TRUE),NA(),IF((DS$44=(DK$46-MAX(DL$46:DL$146))),NA(),DS$44))</f>
        <v>#N/A:explicit</v>
      </c>
      <c s="241" r="DT46"/>
      <c s="886" r="DU46"/>
      <c s="886" r="DV46"/>
      <c s="398" r="DW46">
        <f>SUM(DW47:DW146)</f>
        <v>0</v>
      </c>
      <c s="241" r="DX46"/>
      <c s="418" r="DY46"/>
      <c s="388" r="DZ46"/>
      <c s="309" r="EA46"/>
      <c s="756" r="EB46"/>
      <c s="756" r="EC46"/>
      <c s="640" r="ED46"/>
      <c s="886" r="EE46"/>
      <c s="823" r="EF46"/>
      <c s="426" r="EG46"/>
      <c s="426" r="EH46"/>
      <c s="471" r="EI46">
        <f>IF(ISNUMBER(ED48),ED48,IF(ISNUMBER(EE48),EE48,0))</f>
        <v>0</v>
      </c>
      <c s="426" r="EJ46"/>
      <c t="str" s="471" r="EK46">
        <f>IF(OR(ISBLANK(EJ46),ISNUMBER(EH47)),NA(),(EI46-EJ46))</f>
        <v>#N/A:explicit</v>
      </c>
      <c t="b" s="49" r="EL46">
        <v>0</v>
      </c>
      <c s="251" r="EM46"/>
      <c t="str" s="309" r="EN46">
        <f>IF((COUNT(EG46:EG$146)=0),NA(),IF(ISBLANK(EG46),0,EG46))</f>
        <v>#N/A:explicit</v>
      </c>
      <c t="str" s="861" r="EO46">
        <f>EK46</f>
        <v>#N/A:explicit</v>
      </c>
      <c s="861" r="EP46">
        <f>IF(ISNUMBER(EO46),EO46,(EI$46+1000))</f>
        <v>1000</v>
      </c>
      <c t="str" s="588" r="EQ46">
        <f>IF((EL46=TRUE),NA(),IF((EQ$44=(EI$46-MAX(EJ$46:EJ$146))),NA(),EQ$44))</f>
        <v>#N/A:explicit</v>
      </c>
      <c s="241" r="ER46"/>
      <c s="886" r="ES46"/>
      <c s="886" r="ET46"/>
      <c s="398" r="EU46">
        <f>SUM(EU47:EU146)</f>
        <v>0</v>
      </c>
      <c s="241" r="EV46"/>
      <c s="418" r="EW46"/>
      <c s="388" r="EX46"/>
      <c s="309" r="EY46"/>
      <c s="756" r="EZ46"/>
      <c s="756" r="FA46"/>
      <c s="640" r="FB46"/>
      <c s="886" r="FC46"/>
      <c s="823" r="FD46"/>
      <c s="426" r="FE46"/>
      <c s="426" r="FF46"/>
      <c s="471" r="FG46">
        <f>IF(ISNUMBER(FB48),FB48,IF(ISNUMBER(FC48),FC48,0))</f>
        <v>0</v>
      </c>
      <c s="426" r="FH46"/>
      <c t="str" s="471" r="FI46">
        <f>IF(OR(ISBLANK(FH46),ISNUMBER(FF47)),NA(),(FG46-FH46))</f>
        <v>#N/A:explicit</v>
      </c>
      <c t="b" s="49" r="FJ46">
        <v>0</v>
      </c>
      <c s="251" r="FK46"/>
      <c t="str" s="309" r="FL46">
        <f>IF((COUNT(FE46:FE$146)=0),NA(),IF(ISBLANK(FE46),0,FE46))</f>
        <v>#N/A:explicit</v>
      </c>
      <c t="str" s="861" r="FM46">
        <f>FI46</f>
        <v>#N/A:explicit</v>
      </c>
      <c s="861" r="FN46">
        <f>IF(ISNUMBER(FM46),FM46,(FG$46+1000))</f>
        <v>1000</v>
      </c>
      <c t="str" s="588" r="FO46">
        <f>IF((FJ46=TRUE),NA(),IF((FO$44=(FG$46-MAX(FH$46:FH$146))),NA(),FO$44))</f>
        <v>#N/A:explicit</v>
      </c>
      <c s="241" r="FP46"/>
      <c s="886" r="FQ46"/>
      <c s="886" r="FR46"/>
      <c s="398" r="FS46">
        <f>SUM(FS47:FS146)</f>
        <v>0</v>
      </c>
      <c s="241" r="FT46"/>
      <c s="418" r="FU46"/>
      <c s="222" r="FV46"/>
      <c s="642" r="FW46"/>
      <c s="642" r="FX46"/>
      <c s="125" r="FY46"/>
      <c s="125" r="FZ46"/>
      <c s="125" r="GA46"/>
      <c s="125" r="GB46"/>
      <c s="125" r="GC46"/>
      <c s="125" r="GD46"/>
      <c s="125" r="GE46"/>
      <c s="125" r="GF46"/>
      <c s="125" r="GG46"/>
      <c s="125" r="GH46"/>
      <c s="125" r="GI46"/>
      <c s="125" r="GJ46"/>
      <c s="125" r="GK46"/>
      <c s="125" r="GL46"/>
      <c s="125" r="GM46"/>
      <c s="125" r="GN46"/>
      <c s="125" r="GO46"/>
      <c s="125" r="GP46"/>
      <c s="125" r="GQ46"/>
      <c s="125" r="GR46"/>
      <c s="125" r="GS46"/>
      <c s="125" r="GT46"/>
      <c s="125" r="GU46"/>
      <c s="125" r="GV46"/>
      <c s="125" r="GW46"/>
      <c s="125" r="GX46"/>
      <c s="125" r="GY46"/>
      <c s="125" r="GZ46"/>
      <c s="125" r="HA46"/>
      <c s="125" r="HB46"/>
    </row>
    <row customHeight="1" r="47" ht="13.5">
      <c s="822" r="A47"/>
      <c s="406" r="B47"/>
      <c s="886" r="C47"/>
      <c s="886" r="D47"/>
      <c t="str" s="654" r="E47">
        <f>'Dimension Estimated Values'!F5</f>
        <v>#VALUE!:cantParseText:---</v>
      </c>
      <c s="886" r="F47"/>
      <c t="str" s="654" r="G47">
        <f>'Dimension Estimated Values'!F6</f>
        <v>---</v>
      </c>
      <c t="str" s="654" r="H47">
        <f>'Dimension Estimated Values'!F7</f>
        <v>---</v>
      </c>
      <c s="418" r="I47"/>
      <c t="s" s="702" r="J47">
        <v>2</v>
      </c>
      <c s="406" r="K47"/>
      <c s="789" r="L47"/>
      <c t="s" s="836" r="M47">
        <v>587</v>
      </c>
      <c s="519" r="N47"/>
      <c s="406" r="O47"/>
      <c s="418" r="P47"/>
      <c s="550" r="Q47"/>
      <c s="550" r="R47"/>
      <c t="str" s="620" r="S47">
        <f>IF((COUNT(R47:R$146,T47:T$146)=0),NA(),IF(ISBLANK(R47),S46,(S46+(R47-T46))))</f>
        <v>#N/A:explicit</v>
      </c>
      <c s="550" r="T47"/>
      <c t="str" s="620" r="U47">
        <f>IF(OR(ISBLANK(T47),ISNUMBER(R48)),NA(),(S47-T47))</f>
        <v>#N/A:explicit</v>
      </c>
      <c t="b" s="895" r="V47">
        <v>0</v>
      </c>
      <c s="631" r="W47"/>
      <c t="str" s="309" r="X47">
        <f>IF((COUNT(Q47:Q$146)=0),NA(),IF(ISBLANK(Q47),IF(ISBLANK(Q46),MAX(Q$46:Q47),Q46),Q47))</f>
        <v>#N/A:explicit</v>
      </c>
      <c t="str" s="861" r="Y47">
        <f>IF(ISNA(U47),IF(ISNUMBER(X47),Y46,NA()),U47)</f>
        <v>#N/A:explicit</v>
      </c>
      <c s="861" r="Z47">
        <f>IF(ISNUMBER(Y47),Y47,(S$46+1000))</f>
        <v>1000</v>
      </c>
      <c t="str" s="588" r="AA47">
        <f>IF((V47=TRUE),NA(),IF((AA$44=(S$46-MAX(T$46:T$146))),NA(),AA$44))</f>
        <v>#N/A:explicit</v>
      </c>
      <c s="588" r="AB47">
        <f>IF((ISNA(((Y47*X47)*Y46))),0,(IF((X47&lt;X46),-1,1)*(IF((V46=FALSE),IF((V47=FALSE),IF(ISNA(Y47),0,IF((Y46&lt;AA$44),IF((Y47&lt;AA$44),(((X47-X46)^2)^0.5),(((((AA$44-Y46)*(X47-X46))/(Y47-Y46))^2)^0.5)),IF((Y47&lt;AA$44),(((((AA$44-Y47)*(X47-X46))/(Y46-Y47))^2)^0.5),0))),0),0))))</f>
        <v>0</v>
      </c>
      <c s="588" r="AC47">
        <f>IF(ISNA((Y47*Y46)),0,IF((V46=FALSE),IF((V47=FALSE),IF(ISNA(U47),0,IF((Y46&lt;AA$44),IF((Y47&lt;AA$44),((AA$44-((Y46+Y47)*0.5))*AB47),(((AA$44-Y46)*0.5)*AB47)),IF((Y47&lt;AA$44),(((AA$44-Y47)*0.5)*AB47),0))),0),0))</f>
        <v>0</v>
      </c>
      <c s="588" r="AD47">
        <f>IF(ISNA((Y47*Y46)),0,IF((V46=FALSE),IF((V47=FALSE),IF(ISNA(Y47),0,IF((Y46&lt;AA$44),IF((Y47&lt;AA$44),(((AB47^2)+((Y47-Y46)^2))^0.5),(((AB47^2)+((AA$44-Y46)^2))^0.5)),IF((Y47&lt;AA$44),(((AB47^2)+((AA$44-Y47)^2))^0.5),0))),0),0))</f>
        <v>0</v>
      </c>
      <c s="588" r="AE47">
        <f>IF(ISNUMBER((Y47*Y46)),IF((Y46&gt;=K$148),IF((Y47&lt;K$148),1,0),IF((Y47&gt;=K$148),IF((Y46&lt;K$148),1,0),0)),0)</f>
        <v>0</v>
      </c>
      <c s="588" r="AF47">
        <f>IF(ISNA((Y47*Y46)),0,(IF((X47&lt;X46),-1,1)*(IF(ISNA(Y47),0,IF((Y46&lt;K$148),IF((Y47&lt;K$148),(((X47-X46)^2)^0.5),(((((K$148-Y46)*(X47-X46))/(Y47-Y46))^2)^0.5)),IF((Y47&lt;K$148),(((((K$148-Y47)*(X47-X46))/(Y46-Y47))^2)^0.5),0))))))</f>
        <v>0</v>
      </c>
      <c s="441" r="AG47">
        <f>IF((AC47&gt;0),1,0)</f>
        <v>0</v>
      </c>
      <c s="388" r="AH47"/>
      <c s="406" r="AI47"/>
      <c s="789" r="AJ47"/>
      <c t="s" s="836" r="AK47">
        <v>587</v>
      </c>
      <c s="519" r="AL47">
        <v>2</v>
      </c>
      <c s="406" r="AM47"/>
      <c s="418" r="AN47"/>
      <c s="550" r="AO47"/>
      <c s="550" r="AP47"/>
      <c t="str" s="620" r="AQ47">
        <f>IF((COUNT(AP47:AP$146,AR47:AR$146)=0),NA(),IF(ISBLANK(AP47),AQ46,(AQ46+(AP47-AR46))))</f>
        <v>#N/A:explicit</v>
      </c>
      <c s="550" r="AR47"/>
      <c t="str" s="620" r="AS47">
        <f>IF(OR(ISBLANK(AR47),ISNUMBER(AP48)),NA(),(AQ47-AR47))</f>
        <v>#N/A:explicit</v>
      </c>
      <c t="b" s="895" r="AT47">
        <v>0</v>
      </c>
      <c s="631" r="AU47"/>
      <c t="str" s="309" r="AV47">
        <f>IF((COUNT(AO47:AO$146)=0),NA(),IF(ISBLANK(AO47),IF(ISBLANK(AO46),MAX(AO$46:AO47),AO46),AO47))</f>
        <v>#N/A:explicit</v>
      </c>
      <c t="str" s="861" r="AW47">
        <f>IF(ISNA(AS47),IF(ISNUMBER(AV47),AW46,NA()),AS47)</f>
        <v>#N/A:explicit</v>
      </c>
      <c s="861" r="AX47">
        <f>IF(ISNUMBER(AW47),AW47,(AQ$46+1000))</f>
        <v>1000</v>
      </c>
      <c t="str" s="588" r="AY47">
        <f>IF((AT47=TRUE),NA(),IF((AY$44=(AQ$46-MAX(AR$46:AR$146))),NA(),AY$44))</f>
        <v>#N/A:explicit</v>
      </c>
      <c s="588" r="AZ47">
        <f>IF((ISNA(((AW47*AV47)*AW46))),0,(IF((AV47&lt;AV46),-1,1)*(IF((AT46=FALSE),IF((AT47=FALSE),IF(ISNA(AW47),0,IF((AW46&lt;AY$44),IF((AW47&lt;AY$44),(((AV47-AV46)^2)^0.5),(((((AY$44-AW46)*(AV47-AV46))/(AW47-AW46))^2)^0.5)),IF((AW47&lt;AY$44),(((((AY$44-AW47)*(AV47-AV46))/(AW46-AW47))^2)^0.5),0))),0),0))))</f>
        <v>0</v>
      </c>
      <c s="588" r="BA47">
        <f>IF(ISNA((AW47*AW46)),0,IF((AT46=FALSE),IF((AT47=FALSE),IF(ISNA(AS47),0,IF((AW46&lt;AY$44),IF((AW47&lt;AY$44),((AY$44-((AW46+AW47)*0.5))*AZ47),(((AY$44-AW46)*0.5)*AZ47)),IF((AW47&lt;AY$44),(((AY$44-AW47)*0.5)*AZ47),0))),0),0))</f>
        <v>0</v>
      </c>
      <c s="588" r="BB47">
        <f>IF(ISNA((AW47*AW46)),0,IF((AT46=FALSE),IF((AT47=FALSE),IF(ISNA(AW47),0,IF((AW46&lt;AY$44),IF((AW47&lt;AY$44),(((AZ47^2)+((AW47-AW46)^2))^0.5),(((AZ47^2)+((AY$44-AW46)^2))^0.5)),IF((AW47&lt;AY$44),(((AZ47^2)+((AY$44-AW47)^2))^0.5),0))),0),0))</f>
        <v>0</v>
      </c>
      <c s="588" r="BC47">
        <f>IF(ISNUMBER((AW47*AW46)),IF((AW46&gt;=AI$148),IF((AW47&lt;AI$148),1,0),IF((AW47&gt;=AI$148),IF((AW46&lt;AI$148),1,0),0)),0)</f>
        <v>0</v>
      </c>
      <c s="588" r="BD47">
        <f>IF(ISNA((AW47*AW46)),0,(IF((AV47&lt;AV46),-1,1)*(IF(ISNA(AW47),0,IF((AW46&lt;AI$148),IF((AW47&lt;AI$148),(((AV47-AV46)^2)^0.5),(((((AI$148-AW46)*(AV47-AV46))/(AW47-AW46))^2)^0.5)),IF((AW47&lt;AI$148),(((((AI$148-AW47)*(AV47-AV46))/(AW46-AW47))^2)^0.5),0))))))</f>
        <v>0</v>
      </c>
      <c s="441" r="BE47">
        <f>IF((BA47&gt;0),1,0)</f>
        <v>0</v>
      </c>
      <c s="388" r="BF47"/>
      <c s="406" r="BG47"/>
      <c s="789" r="BH47"/>
      <c t="s" s="836" r="BI47">
        <v>587</v>
      </c>
      <c s="519" r="BJ47">
        <v>3</v>
      </c>
      <c s="406" r="BK47"/>
      <c s="418" r="BL47"/>
      <c s="550" r="BM47"/>
      <c s="550" r="BN47"/>
      <c t="str" s="620" r="BO47">
        <f>IF((COUNT(BN47:BN$146,BP47:BP$146)=0),NA(),IF(ISBLANK(BN47),BO46,(BO46+(BN47-BP46))))</f>
        <v>#N/A:explicit</v>
      </c>
      <c s="550" r="BP47"/>
      <c t="str" s="620" r="BQ47">
        <f>IF(OR(ISBLANK(BP47),ISNUMBER(BN48)),NA(),(BO47-BP47))</f>
        <v>#N/A:explicit</v>
      </c>
      <c t="b" s="895" r="BR47">
        <v>0</v>
      </c>
      <c s="631" r="BS47"/>
      <c t="str" s="309" r="BT47">
        <f>IF((COUNT(BM47:BM$146)=0),NA(),IF(ISBLANK(BM47),IF(ISBLANK(BM46),MAX(BM$46:BM47),BM46),BM47))</f>
        <v>#N/A:explicit</v>
      </c>
      <c t="str" s="861" r="BU47">
        <f>IF(ISNA(BQ47),IF(ISNUMBER(BT47),BU46,NA()),BQ47)</f>
        <v>#N/A:explicit</v>
      </c>
      <c s="861" r="BV47">
        <f>IF(ISNUMBER(BU47),BU47,(BO$46+1000))</f>
        <v>1000</v>
      </c>
      <c t="str" s="588" r="BW47">
        <f>IF((BR47=TRUE),NA(),IF((BW$44=(BO$46-MAX(BP$46:BP$146))),NA(),BW$44))</f>
        <v>#N/A:explicit</v>
      </c>
      <c s="588" r="BX47">
        <f>IF((ISNA(((BU47*BT47)*BU46))),0,(IF((BT47&lt;BT46),-1,1)*(IF((BR46=FALSE),IF((BR47=FALSE),IF(ISNA(BU47),0,IF((BU46&lt;BW$44),IF((BU47&lt;BW$44),(((BT47-BT46)^2)^0.5),(((((BW$44-BU46)*(BT47-BT46))/(BU47-BU46))^2)^0.5)),IF((BU47&lt;BW$44),(((((BW$44-BU47)*(BT47-BT46))/(BU46-BU47))^2)^0.5),0))),0),0))))</f>
        <v>0</v>
      </c>
      <c s="588" r="BY47">
        <f>IF(ISNA((BU47*BU46)),0,IF((BR46=FALSE),IF((BR47=FALSE),IF(ISNA(BQ47),0,IF((BU46&lt;BW$44),IF((BU47&lt;BW$44),((BW$44-((BU46+BU47)*0.5))*BX47),(((BW$44-BU46)*0.5)*BX47)),IF((BU47&lt;BW$44),(((BW$44-BU47)*0.5)*BX47),0))),0),0))</f>
        <v>0</v>
      </c>
      <c s="588" r="BZ47">
        <f>IF(ISNA((BU47*BU46)),0,IF((BR46=FALSE),IF((BR47=FALSE),IF(ISNA(BU47),0,IF((BU46&lt;BW$44),IF((BU47&lt;BW$44),(((BX47^2)+((BU47-BU46)^2))^0.5),(((BX47^2)+((BW$44-BU46)^2))^0.5)),IF((BU47&lt;BW$44),(((BX47^2)+((BW$44-BU47)^2))^0.5),0))),0),0))</f>
        <v>0</v>
      </c>
      <c s="588" r="CA47">
        <f>IF(ISNUMBER((BU47*BU46)),IF((BU46&gt;=BG$148),IF((BU47&lt;BG$148),1,0),IF((BU47&gt;=BG$148),IF((BU46&lt;BG$148),1,0),0)),0)</f>
        <v>0</v>
      </c>
      <c s="588" r="CB47">
        <f>IF(ISNA((BU47*BU46)),0,(IF((BT47&lt;BT46),-1,1)*(IF(ISNA(BU47),0,IF((BU46&lt;BG$148),IF((BU47&lt;BG$148),(((BT47-BT46)^2)^0.5),(((((BG$148-BU46)*(BT47-BT46))/(BU47-BU46))^2)^0.5)),IF((BU47&lt;BG$148),(((((BG$148-BU47)*(BT47-BT46))/(BU46-BU47))^2)^0.5),0))))))</f>
        <v>0</v>
      </c>
      <c s="441" r="CC47">
        <f>IF((BY47&gt;0),1,0)</f>
        <v>0</v>
      </c>
      <c s="388" r="CD47"/>
      <c s="406" r="CE47"/>
      <c s="789" r="CF47"/>
      <c t="s" s="836" r="CG47">
        <v>587</v>
      </c>
      <c s="519" r="CH47">
        <v>4</v>
      </c>
      <c s="406" r="CI47"/>
      <c s="418" r="CJ47"/>
      <c s="550" r="CK47"/>
      <c s="550" r="CL47"/>
      <c t="str" s="620" r="CM47">
        <f>IF((COUNT(CL47:CL$146,CN47:CN$146)=0),NA(),IF(ISBLANK(CL47),CM46,(CM46+(CL47-CN46))))</f>
        <v>#N/A:explicit</v>
      </c>
      <c s="550" r="CN47"/>
      <c t="str" s="620" r="CO47">
        <f>IF(OR(ISBLANK(CN47),ISNUMBER(CL48)),NA(),(CM47-CN47))</f>
        <v>#N/A:explicit</v>
      </c>
      <c t="b" s="895" r="CP47">
        <v>0</v>
      </c>
      <c s="631" r="CQ47"/>
      <c t="str" s="309" r="CR47">
        <f>IF((COUNT(CK47:CK$146)=0),NA(),IF(ISBLANK(CK47),IF(ISBLANK(CK46),MAX(CK$46:CK47),CK46),CK47))</f>
        <v>#N/A:explicit</v>
      </c>
      <c t="str" s="861" r="CS47">
        <f>IF(ISNA(CO47),IF(ISNUMBER(CR47),CS46,NA()),CO47)</f>
        <v>#N/A:explicit</v>
      </c>
      <c s="861" r="CT47">
        <f>IF(ISNUMBER(CS47),CS47,(CM$46+1000))</f>
        <v>1000</v>
      </c>
      <c t="str" s="588" r="CU47">
        <f>IF((CP47=TRUE),NA(),IF((CU$44=(CM$46-MAX(CN$46:CN$146))),NA(),CU$44))</f>
        <v>#N/A:explicit</v>
      </c>
      <c s="588" r="CV47">
        <f>IF((ISNA(((CS47*CR47)*CS46))),0,(IF((CR47&lt;CR46),-1,1)*(IF((CP46=FALSE),IF((CP47=FALSE),IF(ISNA(CS47),0,IF((CS46&lt;CU$44),IF((CS47&lt;CU$44),(((CR47-CR46)^2)^0.5),(((((CU$44-CS46)*(CR47-CR46))/(CS47-CS46))^2)^0.5)),IF((CS47&lt;CU$44),(((((CU$44-CS47)*(CR47-CR46))/(CS46-CS47))^2)^0.5),0))),0),0))))</f>
        <v>0</v>
      </c>
      <c s="588" r="CW47">
        <f>IF(ISNA((CS47*CS46)),0,IF((CP46=FALSE),IF((CP47=FALSE),IF(ISNA(CO47),0,IF((CS46&lt;CU$44),IF((CS47&lt;CU$44),((CU$44-((CS46+CS47)*0.5))*CV47),(((CU$44-CS46)*0.5)*CV47)),IF((CS47&lt;CU$44),(((CU$44-CS47)*0.5)*CV47),0))),0),0))</f>
        <v>0</v>
      </c>
      <c s="588" r="CX47">
        <f>IF(ISNA((CS47*CS46)),0,IF((CP46=FALSE),IF((CP47=FALSE),IF(ISNA(CS47),0,IF((CS46&lt;CU$44),IF((CS47&lt;CU$44),(((CV47^2)+((CS47-CS46)^2))^0.5),(((CV47^2)+((CU$44-CS46)^2))^0.5)),IF((CS47&lt;CU$44),(((CV47^2)+((CU$44-CS47)^2))^0.5),0))),0),0))</f>
        <v>0</v>
      </c>
      <c s="588" r="CY47">
        <f>IF(ISNUMBER((CS47*CS46)),IF((CS46&gt;=CE$148),IF((CS47&lt;CE$148),1,0),IF((CS47&gt;=CE$148),IF((CS46&lt;CE$148),1,0),0)),0)</f>
        <v>0</v>
      </c>
      <c s="588" r="CZ47">
        <f>IF(ISNA((CS47*CS46)),0,(IF((CR47&lt;CR46),-1,1)*(IF(ISNA(CS47),0,IF((CS46&lt;CE$148),IF((CS47&lt;CE$148),(((CR47-CR46)^2)^0.5),(((((CE$148-CS46)*(CR47-CR46))/(CS47-CS46))^2)^0.5)),IF((CS47&lt;CE$148),(((((CE$148-CS47)*(CR47-CR46))/(CS46-CS47))^2)^0.5),0))))))</f>
        <v>0</v>
      </c>
      <c s="441" r="DA47">
        <f>IF((CW47&gt;0),1,0)</f>
        <v>0</v>
      </c>
      <c s="388" r="DB47"/>
      <c s="406" r="DC47"/>
      <c s="789" r="DD47"/>
      <c t="s" s="836" r="DE47">
        <v>587</v>
      </c>
      <c s="519" r="DF47">
        <v>5</v>
      </c>
      <c s="406" r="DG47"/>
      <c s="418" r="DH47"/>
      <c s="550" r="DI47"/>
      <c s="550" r="DJ47"/>
      <c t="str" s="620" r="DK47">
        <f>IF((COUNT(DJ47:DJ$146,DL47:DL$146)=0),NA(),IF(ISBLANK(DJ47),DK46,(DK46+(DJ47-DL46))))</f>
        <v>#N/A:explicit</v>
      </c>
      <c s="550" r="DL47"/>
      <c t="str" s="620" r="DM47">
        <f>IF(OR(ISBLANK(DL47),ISNUMBER(DJ48)),NA(),(DK47-DL47))</f>
        <v>#N/A:explicit</v>
      </c>
      <c t="b" s="895" r="DN47">
        <v>0</v>
      </c>
      <c s="631" r="DO47"/>
      <c t="str" s="309" r="DP47">
        <f>IF((COUNT(DI47:DI$146)=0),NA(),IF(ISBLANK(DI47),IF(ISBLANK(DI46),MAX(DI$46:DI47),DI46),DI47))</f>
        <v>#N/A:explicit</v>
      </c>
      <c t="str" s="861" r="DQ47">
        <f>IF(ISNA(DM47),IF(ISNUMBER(DP47),DQ46,NA()),DM47)</f>
        <v>#N/A:explicit</v>
      </c>
      <c s="861" r="DR47">
        <f>IF(ISNUMBER(DQ47),DQ47,(DK$46+1000))</f>
        <v>1000</v>
      </c>
      <c t="str" s="588" r="DS47">
        <f>IF((DN47=TRUE),NA(),IF((DS$44=(DK$46-MAX(DL$46:DL$146))),NA(),DS$44))</f>
        <v>#N/A:explicit</v>
      </c>
      <c s="588" r="DT47">
        <f>IF((ISNA(((DQ47*DP47)*DQ46))),0,(IF((DP47&lt;DP46),-1,1)*(IF((DN46=FALSE),IF((DN47=FALSE),IF(ISNA(DQ47),0,IF((DQ46&lt;DS$44),IF((DQ47&lt;DS$44),(((DP47-DP46)^2)^0.5),(((((DS$44-DQ46)*(DP47-DP46))/(DQ47-DQ46))^2)^0.5)),IF((DQ47&lt;DS$44),(((((DS$44-DQ47)*(DP47-DP46))/(DQ46-DQ47))^2)^0.5),0))),0),0))))</f>
        <v>0</v>
      </c>
      <c s="588" r="DU47">
        <f>IF(ISNA((DQ47*DQ46)),0,IF((DN46=FALSE),IF((DN47=FALSE),IF(ISNA(DM47),0,IF((DQ46&lt;DS$44),IF((DQ47&lt;DS$44),((DS$44-((DQ46+DQ47)*0.5))*DT47),(((DS$44-DQ46)*0.5)*DT47)),IF((DQ47&lt;DS$44),(((DS$44-DQ47)*0.5)*DT47),0))),0),0))</f>
        <v>0</v>
      </c>
      <c s="588" r="DV47">
        <f>IF(ISNA((DQ47*DQ46)),0,IF((DN46=FALSE),IF((DN47=FALSE),IF(ISNA(DQ47),0,IF((DQ46&lt;DS$44),IF((DQ47&lt;DS$44),(((DT47^2)+((DQ47-DQ46)^2))^0.5),(((DT47^2)+((DS$44-DQ46)^2))^0.5)),IF((DQ47&lt;DS$44),(((DT47^2)+((DS$44-DQ47)^2))^0.5),0))),0),0))</f>
        <v>0</v>
      </c>
      <c s="588" r="DW47">
        <f>IF(ISNUMBER((DQ47*DQ46)),IF((DQ46&gt;=DC$148),IF((DQ47&lt;DC$148),1,0),IF((DQ47&gt;=DC$148),IF((DQ46&lt;DC$148),1,0),0)),0)</f>
        <v>0</v>
      </c>
      <c s="588" r="DX47">
        <f>IF(ISNA((DQ47*DQ46)),0,(IF((DP47&lt;DP46),-1,1)*(IF(ISNA(DQ47),0,IF((DQ46&lt;DC$148),IF((DQ47&lt;DC$148),(((DP47-DP46)^2)^0.5),(((((DC$148-DQ46)*(DP47-DP46))/(DQ47-DQ46))^2)^0.5)),IF((DQ47&lt;DC$148),(((((DC$148-DQ47)*(DP47-DP46))/(DQ46-DQ47))^2)^0.5),0))))))</f>
        <v>0</v>
      </c>
      <c s="441" r="DY47">
        <f>IF((DU47&gt;0),1,0)</f>
        <v>0</v>
      </c>
      <c s="388" r="DZ47"/>
      <c s="406" r="EA47"/>
      <c s="789" r="EB47"/>
      <c t="s" s="836" r="EC47">
        <v>587</v>
      </c>
      <c s="519" r="ED47">
        <v>6</v>
      </c>
      <c s="406" r="EE47"/>
      <c s="418" r="EF47"/>
      <c s="550" r="EG47"/>
      <c s="550" r="EH47"/>
      <c t="str" s="620" r="EI47">
        <f>IF((COUNT(EH47:EH$146,EJ47:EJ$146)=0),NA(),IF(ISBLANK(EH47),EI46,(EI46+(EH47-EJ46))))</f>
        <v>#N/A:explicit</v>
      </c>
      <c s="550" r="EJ47"/>
      <c t="str" s="620" r="EK47">
        <f>IF(OR(ISBLANK(EJ47),ISNUMBER(EH48)),NA(),(EI47-EJ47))</f>
        <v>#N/A:explicit</v>
      </c>
      <c t="b" s="895" r="EL47">
        <v>0</v>
      </c>
      <c s="631" r="EM47"/>
      <c t="str" s="309" r="EN47">
        <f>IF((COUNT(EG47:EG$146)=0),NA(),IF(ISBLANK(EG47),IF(ISBLANK(EG46),MAX(EG$46:EG47),EG46),EG47))</f>
        <v>#N/A:explicit</v>
      </c>
      <c t="str" s="861" r="EO47">
        <f>IF(ISNA(EK47),IF(ISNUMBER(EN47),EO46,NA()),EK47)</f>
        <v>#N/A:explicit</v>
      </c>
      <c s="861" r="EP47">
        <f>IF(ISNUMBER(EO47),EO47,(EI$46+1000))</f>
        <v>1000</v>
      </c>
      <c t="str" s="588" r="EQ47">
        <f>IF((EL47=TRUE),NA(),IF((EQ$44=(EI$46-MAX(EJ$46:EJ$146))),NA(),EQ$44))</f>
        <v>#N/A:explicit</v>
      </c>
      <c s="588" r="ER47">
        <f>IF((ISNA(((EO47*EN47)*EO46))),0,(IF((EN47&lt;EN46),-1,1)*(IF((EL46=FALSE),IF((EL47=FALSE),IF(ISNA(EO47),0,IF((EO46&lt;EQ$44),IF((EO47&lt;EQ$44),(((EN47-EN46)^2)^0.5),(((((EQ$44-EO46)*(EN47-EN46))/(EO47-EO46))^2)^0.5)),IF((EO47&lt;EQ$44),(((((EQ$44-EO47)*(EN47-EN46))/(EO46-EO47))^2)^0.5),0))),0),0))))</f>
        <v>0</v>
      </c>
      <c s="588" r="ES47">
        <f>IF(ISNA((EO47*EO46)),0,IF((EL46=FALSE),IF((EL47=FALSE),IF(ISNA(EK47),0,IF((EO46&lt;EQ$44),IF((EO47&lt;EQ$44),((EQ$44-((EO46+EO47)*0.5))*ER47),(((EQ$44-EO46)*0.5)*ER47)),IF((EO47&lt;EQ$44),(((EQ$44-EO47)*0.5)*ER47),0))),0),0))</f>
        <v>0</v>
      </c>
      <c s="588" r="ET47">
        <f>IF(ISNA((EO47*EO46)),0,IF((EL46=FALSE),IF((EL47=FALSE),IF(ISNA(EO47),0,IF((EO46&lt;EQ$44),IF((EO47&lt;EQ$44),(((ER47^2)+((EO47-EO46)^2))^0.5),(((ER47^2)+((EQ$44-EO46)^2))^0.5)),IF((EO47&lt;EQ$44),(((ER47^2)+((EQ$44-EO47)^2))^0.5),0))),0),0))</f>
        <v>0</v>
      </c>
      <c s="588" r="EU47">
        <f>IF(ISNUMBER((EO47*EO46)),IF((EO46&gt;=EA$148),IF((EO47&lt;EA$148),1,0),IF((EO47&gt;=EA$148),IF((EO46&lt;EA$148),1,0),0)),0)</f>
        <v>0</v>
      </c>
      <c s="588" r="EV47">
        <f>IF(ISNA((EO47*EO46)),0,(IF((EN47&lt;EN46),-1,1)*(IF(ISNA(EO47),0,IF((EO46&lt;EA$148),IF((EO47&lt;EA$148),(((EN47-EN46)^2)^0.5),(((((EA$148-EO46)*(EN47-EN46))/(EO47-EO46))^2)^0.5)),IF((EO47&lt;EA$148),(((((EA$148-EO47)*(EN47-EN46))/(EO46-EO47))^2)^0.5),0))))))</f>
        <v>0</v>
      </c>
      <c s="441" r="EW47">
        <f>IF((ES47&gt;0),1,0)</f>
        <v>0</v>
      </c>
      <c s="388" r="EX47"/>
      <c s="406" r="EY47"/>
      <c s="789" r="EZ47"/>
      <c t="s" s="836" r="FA47">
        <v>587</v>
      </c>
      <c s="519" r="FB47">
        <v>7</v>
      </c>
      <c s="406" r="FC47"/>
      <c s="418" r="FD47"/>
      <c s="550" r="FE47"/>
      <c s="550" r="FF47"/>
      <c t="str" s="620" r="FG47">
        <f>IF((COUNT(FF47:FF$146,FH47:FH$146)=0),NA(),IF(ISBLANK(FF47),FG46,(FG46+(FF47-FH46))))</f>
        <v>#N/A:explicit</v>
      </c>
      <c s="550" r="FH47"/>
      <c t="str" s="620" r="FI47">
        <f>IF(OR(ISBLANK(FH47),ISNUMBER(FF48)),NA(),(FG47-FH47))</f>
        <v>#N/A:explicit</v>
      </c>
      <c t="b" s="895" r="FJ47">
        <v>0</v>
      </c>
      <c s="631" r="FK47"/>
      <c t="str" s="309" r="FL47">
        <f>IF((COUNT(FE47:FE$146)=0),NA(),IF(ISBLANK(FE47),IF(ISBLANK(FE46),MAX(FE$46:FE47),FE46),FE47))</f>
        <v>#N/A:explicit</v>
      </c>
      <c t="str" s="861" r="FM47">
        <f>IF(ISNA(FI47),IF(ISNUMBER(FL47),FM46,NA()),FI47)</f>
        <v>#N/A:explicit</v>
      </c>
      <c s="861" r="FN47">
        <f>IF(ISNUMBER(FM47),FM47,(FG$46+1000))</f>
        <v>1000</v>
      </c>
      <c t="str" s="588" r="FO47">
        <f>IF((FJ47=TRUE),NA(),IF((FO$44=(FG$46-MAX(FH$46:FH$146))),NA(),FO$44))</f>
        <v>#N/A:explicit</v>
      </c>
      <c s="588" r="FP47">
        <f>IF((ISNA(((FM47*FL47)*FM46))),0,(IF((FL47&lt;FL46),-1,1)*(IF((FJ46=FALSE),IF((FJ47=FALSE),IF(ISNA(FM47),0,IF((FM46&lt;FO$44),IF((FM47&lt;FO$44),(((FL47-FL46)^2)^0.5),(((((FO$44-FM46)*(FL47-FL46))/(FM47-FM46))^2)^0.5)),IF((FM47&lt;FO$44),(((((FO$44-FM47)*(FL47-FL46))/(FM46-FM47))^2)^0.5),0))),0),0))))</f>
        <v>0</v>
      </c>
      <c s="588" r="FQ47">
        <f>IF(ISNA((FM47*FM46)),0,IF((FJ46=FALSE),IF((FJ47=FALSE),IF(ISNA(FI47),0,IF((FM46&lt;FO$44),IF((FM47&lt;FO$44),((FO$44-((FM46+FM47)*0.5))*FP47),(((FO$44-FM46)*0.5)*FP47)),IF((FM47&lt;FO$44),(((FO$44-FM47)*0.5)*FP47),0))),0),0))</f>
        <v>0</v>
      </c>
      <c s="588" r="FR47">
        <f>IF(ISNA((FM47*FM46)),0,IF((FJ46=FALSE),IF((FJ47=FALSE),IF(ISNA(FM47),0,IF((FM46&lt;FO$44),IF((FM47&lt;FO$44),(((FP47^2)+((FM47-FM46)^2))^0.5),(((FP47^2)+((FO$44-FM46)^2))^0.5)),IF((FM47&lt;FO$44),(((FP47^2)+((FO$44-FM47)^2))^0.5),0))),0),0))</f>
        <v>0</v>
      </c>
      <c s="588" r="FS47">
        <f>IF(ISNUMBER((FM47*FM46)),IF((FM46&gt;=EY$148),IF((FM47&lt;EY$148),1,0),IF((FM47&gt;=EY$148),IF((FM46&lt;EY$148),1,0),0)),0)</f>
        <v>0</v>
      </c>
      <c s="588" r="FT47">
        <f>IF(ISNA((FM47*FM46)),0,(IF((FL47&lt;FL46),-1,1)*(IF(ISNA(FM47),0,IF((FM46&lt;EY$148),IF((FM47&lt;EY$148),(((FL47-FL46)^2)^0.5),(((((EY$148-FM46)*(FL47-FL46))/(FM47-FM46))^2)^0.5)),IF((FM47&lt;EY$148),(((((EY$148-FM47)*(FL47-FL46))/(FM46-FM47))^2)^0.5),0))))))</f>
        <v>0</v>
      </c>
      <c s="441" r="FU47">
        <f>IF((FQ47&gt;0),1,0)</f>
        <v>0</v>
      </c>
      <c s="222" r="FV47"/>
      <c s="125" r="FW47"/>
      <c s="125" r="FX47"/>
      <c s="125" r="FY47"/>
      <c s="125" r="FZ47"/>
      <c s="125" r="GA47"/>
      <c s="125" r="GB47"/>
      <c s="125" r="GC47"/>
      <c s="125" r="GD47"/>
      <c s="125" r="GE47"/>
      <c s="125" r="GF47"/>
      <c s="125" r="GG47"/>
      <c s="125" r="GH47"/>
      <c s="125" r="GI47"/>
      <c s="125" r="GJ47"/>
      <c s="125" r="GK47"/>
      <c s="125" r="GL47"/>
      <c s="125" r="GM47"/>
      <c s="125" r="GN47"/>
      <c s="125" r="GO47"/>
      <c s="125" r="GP47"/>
      <c s="125" r="GQ47"/>
      <c s="125" r="GR47"/>
      <c s="125" r="GS47"/>
      <c s="125" r="GT47"/>
      <c s="125" r="GU47"/>
      <c s="125" r="GV47"/>
      <c s="125" r="GW47"/>
      <c s="125" r="GX47"/>
      <c s="125" r="GY47"/>
      <c s="125" r="GZ47"/>
      <c s="125" r="HA47"/>
      <c s="125" r="HB47"/>
    </row>
    <row customHeight="1" r="48" ht="13.5">
      <c s="822" r="A48"/>
      <c s="406" r="B48"/>
      <c s="886" r="C48"/>
      <c s="886" r="D48"/>
      <c s="566" r="E48"/>
      <c s="886" r="F48"/>
      <c s="886" r="G48"/>
      <c s="886" r="H48"/>
      <c s="418" r="I48"/>
      <c t="s" s="702" r="J48">
        <v>2</v>
      </c>
      <c s="406" r="K48"/>
      <c s="789" r="L48"/>
      <c t="s" s="836" r="M48">
        <v>588</v>
      </c>
      <c s="550" r="N48"/>
      <c t="str" s="367" r="O48">
        <f>IF(ISNUMBER(MATCH(N47,Profile!$L44:$L215,0)),INDEX(Profile!$Q$44:$Q$215,MATCH(N47,Profile!$L44:$L215,0)),"---")</f>
        <v>---</v>
      </c>
      <c s="418" r="P48"/>
      <c s="550" r="Q48"/>
      <c s="550" r="R48"/>
      <c t="str" s="620" r="S48">
        <f>IF((COUNT(R48:R$146,T48:T$146)=0),NA(),IF(ISBLANK(R48),S47,(S47+(R48-T47))))</f>
        <v>#N/A:explicit</v>
      </c>
      <c s="550" r="T48"/>
      <c t="str" s="620" r="U48">
        <f>IF(OR(ISBLANK(T48),ISNUMBER(R49)),NA(),(S48-T48))</f>
        <v>#N/A:explicit</v>
      </c>
      <c t="b" s="895" r="V48">
        <v>0</v>
      </c>
      <c s="631" r="W48"/>
      <c t="str" s="309" r="X48">
        <f>IF((COUNT(Q48:Q$146)=0),NA(),IF(ISBLANK(Q48),IF(ISBLANK(Q47),MAX(Q$46:Q48),Q47),Q48))</f>
        <v>#N/A:explicit</v>
      </c>
      <c t="str" s="861" r="Y48">
        <f>IF(ISNA(U48),IF(ISNUMBER(X48),Y47,NA()),U48)</f>
        <v>#N/A:explicit</v>
      </c>
      <c s="861" r="Z48">
        <f>IF(ISNUMBER(Y48),Y48,(S$46+1000))</f>
        <v>1000</v>
      </c>
      <c t="str" s="588" r="AA48">
        <f>IF((V48=TRUE),NA(),IF((AA$44=(S$46-MAX(T$46:T$146))),NA(),AA$44))</f>
        <v>#N/A:explicit</v>
      </c>
      <c s="588" r="AB48">
        <f>IF((ISNA(((Y48*X48)*Y47))),0,(IF((X48&lt;X47),-1,1)*(IF((V47=FALSE),IF((V48=FALSE),IF(ISNA(Y48),0,IF((Y47&lt;AA$44),IF((Y48&lt;AA$44),(((X48-X47)^2)^0.5),(((((AA$44-Y47)*(X48-X47))/(Y48-Y47))^2)^0.5)),IF((Y48&lt;AA$44),(((((AA$44-Y48)*(X48-X47))/(Y47-Y48))^2)^0.5),0))),0),0))))</f>
        <v>0</v>
      </c>
      <c s="588" r="AC48">
        <f>IF(ISNA((Y48*Y47)),0,IF((V47=FALSE),IF((V48=FALSE),IF(ISNA(U48),0,IF((Y47&lt;AA$44),IF((Y48&lt;AA$44),((AA$44-((Y47+Y48)*0.5))*AB48),(((AA$44-Y47)*0.5)*AB48)),IF((Y48&lt;AA$44),(((AA$44-Y48)*0.5)*AB48),0))),0),0))</f>
        <v>0</v>
      </c>
      <c s="588" r="AD48">
        <f>IF(ISNA((Y48*Y47)),0,IF((V47=FALSE),IF((V48=FALSE),IF(ISNA(Y48),0,IF((Y47&lt;AA$44),IF((Y48&lt;AA$44),(((AB48^2)+((Y48-Y47)^2))^0.5),(((AB48^2)+((AA$44-Y47)^2))^0.5)),IF((Y48&lt;AA$44),(((AB48^2)+((AA$44-Y48)^2))^0.5),0))),0),0))</f>
        <v>0</v>
      </c>
      <c s="588" r="AE48">
        <f>IF(ISNUMBER((Y48*Y47)),IF((Y47&gt;=K$148),IF((Y48&lt;K$148),1,0),IF((Y48&gt;=K$148),IF((Y47&lt;K$148),1,0),0)),0)</f>
        <v>0</v>
      </c>
      <c s="588" r="AF48">
        <f>IF(ISNA((Y48*Y47)),0,(IF((X48&lt;X47),-1,1)*(IF(ISNA(Y48),0,IF((Y47&lt;K$148),IF((Y48&lt;K$148),(((X48-X47)^2)^0.5),(((((K$148-Y47)*(X48-X47))/(Y48-Y47))^2)^0.5)),IF((Y48&lt;K$148),(((((K$148-Y48)*(X48-X47))/(Y47-Y48))^2)^0.5),0))))))</f>
        <v>0</v>
      </c>
      <c s="441" r="AG48">
        <f>IF((AC48&gt;0),(MAX(AG$47:AG47)+1),0)</f>
        <v>0</v>
      </c>
      <c s="388" r="AH48"/>
      <c s="406" r="AI48"/>
      <c s="789" r="AJ48"/>
      <c t="s" s="836" r="AK48">
        <v>588</v>
      </c>
      <c s="550" r="AL48"/>
      <c t="str" s="367" r="AM48">
        <f>IF(ISNUMBER(MATCH(AL47,Profile!$L44:$L215,0)),INDEX(Profile!$Q$44:$Q$215,MATCH(AL47,Profile!$L44:$L215,0)),"---")</f>
        <v>---</v>
      </c>
      <c s="418" r="AN48"/>
      <c s="550" r="AO48"/>
      <c s="550" r="AP48"/>
      <c t="str" s="620" r="AQ48">
        <f>IF((COUNT(AP48:AP$146,AR48:AR$146)=0),NA(),IF(ISBLANK(AP48),AQ47,(AQ47+(AP48-AR47))))</f>
        <v>#N/A:explicit</v>
      </c>
      <c s="550" r="AR48"/>
      <c t="str" s="620" r="AS48">
        <f>IF(OR(ISBLANK(AR48),ISNUMBER(AP49)),NA(),(AQ48-AR48))</f>
        <v>#N/A:explicit</v>
      </c>
      <c t="b" s="895" r="AT48">
        <v>0</v>
      </c>
      <c s="631" r="AU48"/>
      <c t="str" s="309" r="AV48">
        <f>IF((COUNT(AO48:AO$146)=0),NA(),IF(ISBLANK(AO48),IF(ISBLANK(AO47),MAX(AO$46:AO48),AO47),AO48))</f>
        <v>#N/A:explicit</v>
      </c>
      <c t="str" s="861" r="AW48">
        <f>IF(ISNA(AS48),IF(ISNUMBER(AV48),AW47,NA()),AS48)</f>
        <v>#N/A:explicit</v>
      </c>
      <c s="861" r="AX48">
        <f>IF(ISNUMBER(AW48),AW48,(AQ$46+1000))</f>
        <v>1000</v>
      </c>
      <c t="str" s="588" r="AY48">
        <f>IF((AT48=TRUE),NA(),IF((AY$44=(AQ$46-MAX(AR$46:AR$146))),NA(),AY$44))</f>
        <v>#N/A:explicit</v>
      </c>
      <c s="588" r="AZ48">
        <f>IF((ISNA(((AW48*AV48)*AW47))),0,(IF((AV48&lt;AV47),-1,1)*(IF((AT47=FALSE),IF((AT48=FALSE),IF(ISNA(AW48),0,IF((AW47&lt;AY$44),IF((AW48&lt;AY$44),(((AV48-AV47)^2)^0.5),(((((AY$44-AW47)*(AV48-AV47))/(AW48-AW47))^2)^0.5)),IF((AW48&lt;AY$44),(((((AY$44-AW48)*(AV48-AV47))/(AW47-AW48))^2)^0.5),0))),0),0))))</f>
        <v>0</v>
      </c>
      <c s="588" r="BA48">
        <f>IF(ISNA((AW48*AW47)),0,IF((AT47=FALSE),IF((AT48=FALSE),IF(ISNA(AS48),0,IF((AW47&lt;AY$44),IF((AW48&lt;AY$44),((AY$44-((AW47+AW48)*0.5))*AZ48),(((AY$44-AW47)*0.5)*AZ48)),IF((AW48&lt;AY$44),(((AY$44-AW48)*0.5)*AZ48),0))),0),0))</f>
        <v>0</v>
      </c>
      <c s="588" r="BB48">
        <f>IF(ISNA((AW48*AW47)),0,IF((AT47=FALSE),IF((AT48=FALSE),IF(ISNA(AW48),0,IF((AW47&lt;AY$44),IF((AW48&lt;AY$44),(((AZ48^2)+((AW48-AW47)^2))^0.5),(((AZ48^2)+((AY$44-AW47)^2))^0.5)),IF((AW48&lt;AY$44),(((AZ48^2)+((AY$44-AW48)^2))^0.5),0))),0),0))</f>
        <v>0</v>
      </c>
      <c s="588" r="BC48">
        <f>IF(ISNUMBER((AW48*AW47)),IF((AW47&gt;=AI$148),IF((AW48&lt;AI$148),1,0),IF((AW48&gt;=AI$148),IF((AW47&lt;AI$148),1,0),0)),0)</f>
        <v>0</v>
      </c>
      <c s="588" r="BD48">
        <f>IF(ISNA((AW48*AW47)),0,(IF((AV48&lt;AV47),-1,1)*(IF(ISNA(AW48),0,IF((AW47&lt;AI$148),IF((AW48&lt;AI$148),(((AV48-AV47)^2)^0.5),(((((AI$148-AW47)*(AV48-AV47))/(AW48-AW47))^2)^0.5)),IF((AW48&lt;AI$148),(((((AI$148-AW48)*(AV48-AV47))/(AW47-AW48))^2)^0.5),0))))))</f>
        <v>0</v>
      </c>
      <c s="441" r="BE48">
        <f>IF((BA48&gt;0),(MAX(BE$47:BE47)+1),0)</f>
        <v>0</v>
      </c>
      <c s="388" r="BF48"/>
      <c s="406" r="BG48"/>
      <c s="789" r="BH48"/>
      <c t="s" s="836" r="BI48">
        <v>588</v>
      </c>
      <c s="550" r="BJ48"/>
      <c t="str" s="367" r="BK48">
        <f>IF(ISNUMBER(MATCH(BJ47,Profile!$L44:$L215,0)),INDEX(Profile!$Q$44:$Q$215,MATCH(BJ47,Profile!$L44:$L215,0)),"---")</f>
        <v>---</v>
      </c>
      <c s="418" r="BL48"/>
      <c s="550" r="BM48"/>
      <c s="550" r="BN48"/>
      <c t="str" s="620" r="BO48">
        <f>IF((COUNT(BN48:BN$146,BP48:BP$146)=0),NA(),IF(ISBLANK(BN48),BO47,(BO47+(BN48-BP47))))</f>
        <v>#N/A:explicit</v>
      </c>
      <c s="550" r="BP48"/>
      <c t="str" s="620" r="BQ48">
        <f>IF(OR(ISBLANK(BP48),ISNUMBER(BN49)),NA(),(BO48-BP48))</f>
        <v>#N/A:explicit</v>
      </c>
      <c t="b" s="895" r="BR48">
        <v>0</v>
      </c>
      <c s="631" r="BS48"/>
      <c t="str" s="309" r="BT48">
        <f>IF((COUNT(BM48:BM$146)=0),NA(),IF(ISBLANK(BM48),IF(ISBLANK(BM47),MAX(BM$46:BM48),BM47),BM48))</f>
        <v>#N/A:explicit</v>
      </c>
      <c t="str" s="861" r="BU48">
        <f>IF(ISNA(BQ48),IF(ISNUMBER(BT48),BU47,NA()),BQ48)</f>
        <v>#N/A:explicit</v>
      </c>
      <c s="861" r="BV48">
        <f>IF(ISNUMBER(BU48),BU48,(BO$46+1000))</f>
        <v>1000</v>
      </c>
      <c t="str" s="588" r="BW48">
        <f>IF((BR48=TRUE),NA(),IF((BW$44=(BO$46-MAX(BP$46:BP$146))),NA(),BW$44))</f>
        <v>#N/A:explicit</v>
      </c>
      <c s="588" r="BX48">
        <f>IF((ISNA(((BU48*BT48)*BU47))),0,(IF((BT48&lt;BT47),-1,1)*(IF((BR47=FALSE),IF((BR48=FALSE),IF(ISNA(BU48),0,IF((BU47&lt;BW$44),IF((BU48&lt;BW$44),(((BT48-BT47)^2)^0.5),(((((BW$44-BU47)*(BT48-BT47))/(BU48-BU47))^2)^0.5)),IF((BU48&lt;BW$44),(((((BW$44-BU48)*(BT48-BT47))/(BU47-BU48))^2)^0.5),0))),0),0))))</f>
        <v>0</v>
      </c>
      <c s="588" r="BY48">
        <f>IF(ISNA((BU48*BU47)),0,IF((BR47=FALSE),IF((BR48=FALSE),IF(ISNA(BQ48),0,IF((BU47&lt;BW$44),IF((BU48&lt;BW$44),((BW$44-((BU47+BU48)*0.5))*BX48),(((BW$44-BU47)*0.5)*BX48)),IF((BU48&lt;BW$44),(((BW$44-BU48)*0.5)*BX48),0))),0),0))</f>
        <v>0</v>
      </c>
      <c s="588" r="BZ48">
        <f>IF(ISNA((BU48*BU47)),0,IF((BR47=FALSE),IF((BR48=FALSE),IF(ISNA(BU48),0,IF((BU47&lt;BW$44),IF((BU48&lt;BW$44),(((BX48^2)+((BU48-BU47)^2))^0.5),(((BX48^2)+((BW$44-BU47)^2))^0.5)),IF((BU48&lt;BW$44),(((BX48^2)+((BW$44-BU48)^2))^0.5),0))),0),0))</f>
        <v>0</v>
      </c>
      <c s="588" r="CA48">
        <f>IF(ISNUMBER((BU48*BU47)),IF((BU47&gt;=BG$148),IF((BU48&lt;BG$148),1,0),IF((BU48&gt;=BG$148),IF((BU47&lt;BG$148),1,0),0)),0)</f>
        <v>0</v>
      </c>
      <c s="588" r="CB48">
        <f>IF(ISNA((BU48*BU47)),0,(IF((BT48&lt;BT47),-1,1)*(IF(ISNA(BU48),0,IF((BU47&lt;BG$148),IF((BU48&lt;BG$148),(((BT48-BT47)^2)^0.5),(((((BG$148-BU47)*(BT48-BT47))/(BU48-BU47))^2)^0.5)),IF((BU48&lt;BG$148),(((((BG$148-BU48)*(BT48-BT47))/(BU47-BU48))^2)^0.5),0))))))</f>
        <v>0</v>
      </c>
      <c s="441" r="CC48">
        <f>IF((BY48&gt;0),(MAX(CC$47:CC47)+1),0)</f>
        <v>0</v>
      </c>
      <c s="388" r="CD48"/>
      <c s="406" r="CE48"/>
      <c s="789" r="CF48"/>
      <c t="s" s="836" r="CG48">
        <v>588</v>
      </c>
      <c s="550" r="CH48"/>
      <c t="str" s="367" r="CI48">
        <f>IF(ISNUMBER(MATCH(CH47,Profile!$L44:$L215,0)),INDEX(Profile!$Q$44:$Q$215,MATCH(CH47,Profile!$L44:$L215,0)),"---")</f>
        <v>---</v>
      </c>
      <c s="418" r="CJ48"/>
      <c s="550" r="CK48"/>
      <c s="550" r="CL48"/>
      <c t="str" s="620" r="CM48">
        <f>IF((COUNT(CL48:CL$146,CN48:CN$146)=0),NA(),IF(ISBLANK(CL48),CM47,(CM47+(CL48-CN47))))</f>
        <v>#N/A:explicit</v>
      </c>
      <c s="550" r="CN48"/>
      <c t="str" s="620" r="CO48">
        <f>IF(OR(ISBLANK(CN48),ISNUMBER(CL49)),NA(),(CM48-CN48))</f>
        <v>#N/A:explicit</v>
      </c>
      <c t="b" s="895" r="CP48">
        <v>0</v>
      </c>
      <c s="631" r="CQ48"/>
      <c t="str" s="309" r="CR48">
        <f>IF((COUNT(CK48:CK$146)=0),NA(),IF(ISBLANK(CK48),IF(ISBLANK(CK47),MAX(CK$46:CK48),CK47),CK48))</f>
        <v>#N/A:explicit</v>
      </c>
      <c t="str" s="861" r="CS48">
        <f>IF(ISNA(CO48),IF(ISNUMBER(CR48),CS47,NA()),CO48)</f>
        <v>#N/A:explicit</v>
      </c>
      <c s="861" r="CT48">
        <f>IF(ISNUMBER(CS48),CS48,(CM$46+1000))</f>
        <v>1000</v>
      </c>
      <c t="str" s="588" r="CU48">
        <f>IF((CP48=TRUE),NA(),IF((CU$44=(CM$46-MAX(CN$46:CN$146))),NA(),CU$44))</f>
        <v>#N/A:explicit</v>
      </c>
      <c s="588" r="CV48">
        <f>IF((ISNA(((CS48*CR48)*CS47))),0,(IF((CR48&lt;CR47),-1,1)*(IF((CP47=FALSE),IF((CP48=FALSE),IF(ISNA(CS48),0,IF((CS47&lt;CU$44),IF((CS48&lt;CU$44),(((CR48-CR47)^2)^0.5),(((((CU$44-CS47)*(CR48-CR47))/(CS48-CS47))^2)^0.5)),IF((CS48&lt;CU$44),(((((CU$44-CS48)*(CR48-CR47))/(CS47-CS48))^2)^0.5),0))),0),0))))</f>
        <v>0</v>
      </c>
      <c s="588" r="CW48">
        <f>IF(ISNA((CS48*CS47)),0,IF((CP47=FALSE),IF((CP48=FALSE),IF(ISNA(CO48),0,IF((CS47&lt;CU$44),IF((CS48&lt;CU$44),((CU$44-((CS47+CS48)*0.5))*CV48),(((CU$44-CS47)*0.5)*CV48)),IF((CS48&lt;CU$44),(((CU$44-CS48)*0.5)*CV48),0))),0),0))</f>
        <v>0</v>
      </c>
      <c s="588" r="CX48">
        <f>IF(ISNA((CS48*CS47)),0,IF((CP47=FALSE),IF((CP48=FALSE),IF(ISNA(CS48),0,IF((CS47&lt;CU$44),IF((CS48&lt;CU$44),(((CV48^2)+((CS48-CS47)^2))^0.5),(((CV48^2)+((CU$44-CS47)^2))^0.5)),IF((CS48&lt;CU$44),(((CV48^2)+((CU$44-CS48)^2))^0.5),0))),0),0))</f>
        <v>0</v>
      </c>
      <c s="588" r="CY48">
        <f>IF(ISNUMBER((CS48*CS47)),IF((CS47&gt;=CE$148),IF((CS48&lt;CE$148),1,0),IF((CS48&gt;=CE$148),IF((CS47&lt;CE$148),1,0),0)),0)</f>
        <v>0</v>
      </c>
      <c s="588" r="CZ48">
        <f>IF(ISNA((CS48*CS47)),0,(IF((CR48&lt;CR47),-1,1)*(IF(ISNA(CS48),0,IF((CS47&lt;CE$148),IF((CS48&lt;CE$148),(((CR48-CR47)^2)^0.5),(((((CE$148-CS47)*(CR48-CR47))/(CS48-CS47))^2)^0.5)),IF((CS48&lt;CE$148),(((((CE$148-CS48)*(CR48-CR47))/(CS47-CS48))^2)^0.5),0))))))</f>
        <v>0</v>
      </c>
      <c s="441" r="DA48">
        <f>IF((CW48&gt;0),(MAX(DA$47:DA47)+1),0)</f>
        <v>0</v>
      </c>
      <c s="388" r="DB48"/>
      <c s="406" r="DC48"/>
      <c s="789" r="DD48"/>
      <c t="s" s="836" r="DE48">
        <v>588</v>
      </c>
      <c s="550" r="DF48"/>
      <c t="str" s="367" r="DG48">
        <f>IF(ISNUMBER(MATCH(DF47,Profile!$L44:$L215,0)),INDEX(Profile!$Q$44:$Q$215,MATCH(DF47,Profile!$L44:$L215,0)),"---")</f>
        <v>---</v>
      </c>
      <c s="418" r="DH48"/>
      <c s="550" r="DI48"/>
      <c s="550" r="DJ48"/>
      <c t="str" s="620" r="DK48">
        <f>IF((COUNT(DJ48:DJ$146,DL48:DL$146)=0),NA(),IF(ISBLANK(DJ48),DK47,(DK47+(DJ48-DL47))))</f>
        <v>#N/A:explicit</v>
      </c>
      <c s="550" r="DL48"/>
      <c t="str" s="620" r="DM48">
        <f>IF(OR(ISBLANK(DL48),ISNUMBER(DJ49)),NA(),(DK48-DL48))</f>
        <v>#N/A:explicit</v>
      </c>
      <c t="b" s="895" r="DN48">
        <v>0</v>
      </c>
      <c s="631" r="DO48"/>
      <c t="str" s="309" r="DP48">
        <f>IF((COUNT(DI48:DI$146)=0),NA(),IF(ISBLANK(DI48),IF(ISBLANK(DI47),MAX(DI$46:DI48),DI47),DI48))</f>
        <v>#N/A:explicit</v>
      </c>
      <c t="str" s="861" r="DQ48">
        <f>IF(ISNA(DM48),IF(ISNUMBER(DP48),DQ47,NA()),DM48)</f>
        <v>#N/A:explicit</v>
      </c>
      <c s="861" r="DR48">
        <f>IF(ISNUMBER(DQ48),DQ48,(DK$46+1000))</f>
        <v>1000</v>
      </c>
      <c t="str" s="588" r="DS48">
        <f>IF((DN48=TRUE),NA(),IF((DS$44=(DK$46-MAX(DL$46:DL$146))),NA(),DS$44))</f>
        <v>#N/A:explicit</v>
      </c>
      <c s="588" r="DT48">
        <f>IF((ISNA(((DQ48*DP48)*DQ47))),0,(IF((DP48&lt;DP47),-1,1)*(IF((DN47=FALSE),IF((DN48=FALSE),IF(ISNA(DQ48),0,IF((DQ47&lt;DS$44),IF((DQ48&lt;DS$44),(((DP48-DP47)^2)^0.5),(((((DS$44-DQ47)*(DP48-DP47))/(DQ48-DQ47))^2)^0.5)),IF((DQ48&lt;DS$44),(((((DS$44-DQ48)*(DP48-DP47))/(DQ47-DQ48))^2)^0.5),0))),0),0))))</f>
        <v>0</v>
      </c>
      <c s="588" r="DU48">
        <f>IF(ISNA((DQ48*DQ47)),0,IF((DN47=FALSE),IF((DN48=FALSE),IF(ISNA(DM48),0,IF((DQ47&lt;DS$44),IF((DQ48&lt;DS$44),((DS$44-((DQ47+DQ48)*0.5))*DT48),(((DS$44-DQ47)*0.5)*DT48)),IF((DQ48&lt;DS$44),(((DS$44-DQ48)*0.5)*DT48),0))),0),0))</f>
        <v>0</v>
      </c>
      <c s="588" r="DV48">
        <f>IF(ISNA((DQ48*DQ47)),0,IF((DN47=FALSE),IF((DN48=FALSE),IF(ISNA(DQ48),0,IF((DQ47&lt;DS$44),IF((DQ48&lt;DS$44),(((DT48^2)+((DQ48-DQ47)^2))^0.5),(((DT48^2)+((DS$44-DQ47)^2))^0.5)),IF((DQ48&lt;DS$44),(((DT48^2)+((DS$44-DQ48)^2))^0.5),0))),0),0))</f>
        <v>0</v>
      </c>
      <c s="588" r="DW48">
        <f>IF(ISNUMBER((DQ48*DQ47)),IF((DQ47&gt;=DC$148),IF((DQ48&lt;DC$148),1,0),IF((DQ48&gt;=DC$148),IF((DQ47&lt;DC$148),1,0),0)),0)</f>
        <v>0</v>
      </c>
      <c s="588" r="DX48">
        <f>IF(ISNA((DQ48*DQ47)),0,(IF((DP48&lt;DP47),-1,1)*(IF(ISNA(DQ48),0,IF((DQ47&lt;DC$148),IF((DQ48&lt;DC$148),(((DP48-DP47)^2)^0.5),(((((DC$148-DQ47)*(DP48-DP47))/(DQ48-DQ47))^2)^0.5)),IF((DQ48&lt;DC$148),(((((DC$148-DQ48)*(DP48-DP47))/(DQ47-DQ48))^2)^0.5),0))))))</f>
        <v>0</v>
      </c>
      <c s="441" r="DY48">
        <f>IF((DU48&gt;0),(MAX(DY$47:DY47)+1),0)</f>
        <v>0</v>
      </c>
      <c s="388" r="DZ48"/>
      <c s="406" r="EA48"/>
      <c s="789" r="EB48"/>
      <c t="s" s="836" r="EC48">
        <v>588</v>
      </c>
      <c s="550" r="ED48"/>
      <c t="str" s="367" r="EE48">
        <f>IF(ISNUMBER(MATCH(ED47,Profile!$L44:$L215,0)),INDEX(Profile!$Q$44:$Q$215,MATCH(ED47,Profile!$L44:$L215,0)),"---")</f>
        <v>---</v>
      </c>
      <c s="418" r="EF48"/>
      <c s="550" r="EG48"/>
      <c s="550" r="EH48"/>
      <c t="str" s="620" r="EI48">
        <f>IF((COUNT(EH48:EH$146,EJ48:EJ$146)=0),NA(),IF(ISBLANK(EH48),EI47,(EI47+(EH48-EJ47))))</f>
        <v>#N/A:explicit</v>
      </c>
      <c s="550" r="EJ48"/>
      <c t="str" s="620" r="EK48">
        <f>IF(OR(ISBLANK(EJ48),ISNUMBER(EH49)),NA(),(EI48-EJ48))</f>
        <v>#N/A:explicit</v>
      </c>
      <c t="b" s="895" r="EL48">
        <v>0</v>
      </c>
      <c s="631" r="EM48"/>
      <c t="str" s="309" r="EN48">
        <f>IF((COUNT(EG48:EG$146)=0),NA(),IF(ISBLANK(EG48),IF(ISBLANK(EG47),MAX(EG$46:EG48),EG47),EG48))</f>
        <v>#N/A:explicit</v>
      </c>
      <c t="str" s="861" r="EO48">
        <f>IF(ISNA(EK48),IF(ISNUMBER(EN48),EO47,NA()),EK48)</f>
        <v>#N/A:explicit</v>
      </c>
      <c s="861" r="EP48">
        <f>IF(ISNUMBER(EO48),EO48,(EI$46+1000))</f>
        <v>1000</v>
      </c>
      <c t="str" s="588" r="EQ48">
        <f>IF((EL48=TRUE),NA(),IF((EQ$44=(EI$46-MAX(EJ$46:EJ$146))),NA(),EQ$44))</f>
        <v>#N/A:explicit</v>
      </c>
      <c s="588" r="ER48">
        <f>IF((ISNA(((EO48*EN48)*EO47))),0,(IF((EN48&lt;EN47),-1,1)*(IF((EL47=FALSE),IF((EL48=FALSE),IF(ISNA(EO48),0,IF((EO47&lt;EQ$44),IF((EO48&lt;EQ$44),(((EN48-EN47)^2)^0.5),(((((EQ$44-EO47)*(EN48-EN47))/(EO48-EO47))^2)^0.5)),IF((EO48&lt;EQ$44),(((((EQ$44-EO48)*(EN48-EN47))/(EO47-EO48))^2)^0.5),0))),0),0))))</f>
        <v>0</v>
      </c>
      <c s="588" r="ES48">
        <f>IF(ISNA((EO48*EO47)),0,IF((EL47=FALSE),IF((EL48=FALSE),IF(ISNA(EK48),0,IF((EO47&lt;EQ$44),IF((EO48&lt;EQ$44),((EQ$44-((EO47+EO48)*0.5))*ER48),(((EQ$44-EO47)*0.5)*ER48)),IF((EO48&lt;EQ$44),(((EQ$44-EO48)*0.5)*ER48),0))),0),0))</f>
        <v>0</v>
      </c>
      <c s="588" r="ET48">
        <f>IF(ISNA((EO48*EO47)),0,IF((EL47=FALSE),IF((EL48=FALSE),IF(ISNA(EO48),0,IF((EO47&lt;EQ$44),IF((EO48&lt;EQ$44),(((ER48^2)+((EO48-EO47)^2))^0.5),(((ER48^2)+((EQ$44-EO47)^2))^0.5)),IF((EO48&lt;EQ$44),(((ER48^2)+((EQ$44-EO48)^2))^0.5),0))),0),0))</f>
        <v>0</v>
      </c>
      <c s="588" r="EU48">
        <f>IF(ISNUMBER((EO48*EO47)),IF((EO47&gt;=EA$148),IF((EO48&lt;EA$148),1,0),IF((EO48&gt;=EA$148),IF((EO47&lt;EA$148),1,0),0)),0)</f>
        <v>0</v>
      </c>
      <c s="588" r="EV48">
        <f>IF(ISNA((EO48*EO47)),0,(IF((EN48&lt;EN47),-1,1)*(IF(ISNA(EO48),0,IF((EO47&lt;EA$148),IF((EO48&lt;EA$148),(((EN48-EN47)^2)^0.5),(((((EA$148-EO47)*(EN48-EN47))/(EO48-EO47))^2)^0.5)),IF((EO48&lt;EA$148),(((((EA$148-EO48)*(EN48-EN47))/(EO47-EO48))^2)^0.5),0))))))</f>
        <v>0</v>
      </c>
      <c s="441" r="EW48">
        <f>IF((ES48&gt;0),(MAX(EW$47:EW47)+1),0)</f>
        <v>0</v>
      </c>
      <c s="388" r="EX48"/>
      <c s="406" r="EY48"/>
      <c s="789" r="EZ48"/>
      <c t="s" s="836" r="FA48">
        <v>588</v>
      </c>
      <c s="550" r="FB48"/>
      <c t="str" s="367" r="FC48">
        <f>IF(ISNUMBER(MATCH(FB47,Profile!$L44:$L215,0)),INDEX(Profile!$Q$44:$Q$215,MATCH(FB47,Profile!$L44:$L215,0)),"---")</f>
        <v>---</v>
      </c>
      <c s="418" r="FD48"/>
      <c s="550" r="FE48"/>
      <c s="550" r="FF48"/>
      <c t="str" s="620" r="FG48">
        <f>IF((COUNT(FF48:FF$146,FH48:FH$146)=0),NA(),IF(ISBLANK(FF48),FG47,(FG47+(FF48-FH47))))</f>
        <v>#N/A:explicit</v>
      </c>
      <c s="550" r="FH48"/>
      <c t="str" s="620" r="FI48">
        <f>IF(OR(ISBLANK(FH48),ISNUMBER(FF49)),NA(),(FG48-FH48))</f>
        <v>#N/A:explicit</v>
      </c>
      <c t="b" s="895" r="FJ48">
        <v>0</v>
      </c>
      <c s="631" r="FK48"/>
      <c t="str" s="309" r="FL48">
        <f>IF((COUNT(FE48:FE$146)=0),NA(),IF(ISBLANK(FE48),IF(ISBLANK(FE47),MAX(FE$46:FE48),FE47),FE48))</f>
        <v>#N/A:explicit</v>
      </c>
      <c t="str" s="861" r="FM48">
        <f>IF(ISNA(FI48),IF(ISNUMBER(FL48),FM47,NA()),FI48)</f>
        <v>#N/A:explicit</v>
      </c>
      <c s="861" r="FN48">
        <f>IF(ISNUMBER(FM48),FM48,(FG$46+1000))</f>
        <v>1000</v>
      </c>
      <c t="str" s="588" r="FO48">
        <f>IF((FJ48=TRUE),NA(),IF((FO$44=(FG$46-MAX(FH$46:FH$146))),NA(),FO$44))</f>
        <v>#N/A:explicit</v>
      </c>
      <c s="588" r="FP48">
        <f>IF((ISNA(((FM48*FL48)*FM47))),0,(IF((FL48&lt;FL47),-1,1)*(IF((FJ47=FALSE),IF((FJ48=FALSE),IF(ISNA(FM48),0,IF((FM47&lt;FO$44),IF((FM48&lt;FO$44),(((FL48-FL47)^2)^0.5),(((((FO$44-FM47)*(FL48-FL47))/(FM48-FM47))^2)^0.5)),IF((FM48&lt;FO$44),(((((FO$44-FM48)*(FL48-FL47))/(FM47-FM48))^2)^0.5),0))),0),0))))</f>
        <v>0</v>
      </c>
      <c s="588" r="FQ48">
        <f>IF(ISNA((FM48*FM47)),0,IF((FJ47=FALSE),IF((FJ48=FALSE),IF(ISNA(FI48),0,IF((FM47&lt;FO$44),IF((FM48&lt;FO$44),((FO$44-((FM47+FM48)*0.5))*FP48),(((FO$44-FM47)*0.5)*FP48)),IF((FM48&lt;FO$44),(((FO$44-FM48)*0.5)*FP48),0))),0),0))</f>
        <v>0</v>
      </c>
      <c s="588" r="FR48">
        <f>IF(ISNA((FM48*FM47)),0,IF((FJ47=FALSE),IF((FJ48=FALSE),IF(ISNA(FM48),0,IF((FM47&lt;FO$44),IF((FM48&lt;FO$44),(((FP48^2)+((FM48-FM47)^2))^0.5),(((FP48^2)+((FO$44-FM47)^2))^0.5)),IF((FM48&lt;FO$44),(((FP48^2)+((FO$44-FM48)^2))^0.5),0))),0),0))</f>
        <v>0</v>
      </c>
      <c s="588" r="FS48">
        <f>IF(ISNUMBER((FM48*FM47)),IF((FM47&gt;=EY$148),IF((FM48&lt;EY$148),1,0),IF((FM48&gt;=EY$148),IF((FM47&lt;EY$148),1,0),0)),0)</f>
        <v>0</v>
      </c>
      <c s="588" r="FT48">
        <f>IF(ISNA((FM48*FM47)),0,(IF((FL48&lt;FL47),-1,1)*(IF(ISNA(FM48),0,IF((FM47&lt;EY$148),IF((FM48&lt;EY$148),(((FL48-FL47)^2)^0.5),(((((EY$148-FM47)*(FL48-FL47))/(FM48-FM47))^2)^0.5)),IF((FM48&lt;EY$148),(((((EY$148-FM48)*(FL48-FL47))/(FM47-FM48))^2)^0.5),0))))))</f>
        <v>0</v>
      </c>
      <c s="441" r="FU48">
        <f>IF((FQ48&gt;0),(MAX(FU$47:FU47)+1),0)</f>
        <v>0</v>
      </c>
      <c s="222" r="FV48"/>
      <c s="125" r="FW48"/>
      <c s="125" r="FX48"/>
      <c s="125" r="FY48"/>
      <c s="125" r="FZ48"/>
      <c s="125" r="GA48"/>
      <c s="125" r="GB48"/>
      <c s="125" r="GC48"/>
      <c s="125" r="GD48"/>
      <c s="125" r="GE48"/>
      <c s="125" r="GF48"/>
      <c s="125" r="GG48"/>
      <c s="125" r="GH48"/>
      <c s="125" r="GI48"/>
      <c s="125" r="GJ48"/>
      <c s="125" r="GK48"/>
      <c s="125" r="GL48"/>
      <c s="125" r="GM48"/>
      <c s="125" r="GN48"/>
      <c s="125" r="GO48"/>
      <c s="125" r="GP48"/>
      <c s="125" r="GQ48"/>
      <c s="125" r="GR48"/>
      <c s="125" r="GS48"/>
      <c s="125" r="GT48"/>
      <c s="125" r="GU48"/>
      <c s="125" r="GV48"/>
      <c s="125" r="GW48"/>
      <c s="125" r="GX48"/>
      <c s="125" r="GY48"/>
      <c s="125" r="GZ48"/>
      <c s="125" r="HA48"/>
      <c s="125" r="HB48"/>
    </row>
    <row customHeight="1" r="49" ht="13.5">
      <c s="822" r="A49"/>
      <c s="406" r="B49"/>
      <c s="886" r="C49"/>
      <c t="s" s="836" r="D49">
        <v>262</v>
      </c>
      <c s="458" r="E49"/>
      <c s="406" r="F49"/>
      <c s="886" r="G49"/>
      <c s="886" r="H49"/>
      <c s="418" r="I49"/>
      <c s="702" r="J49"/>
      <c s="406" r="K49"/>
      <c s="789" r="L49"/>
      <c t="s" s="836" r="M49">
        <v>589</v>
      </c>
      <c s="550" r="N49"/>
      <c t="str" s="185" r="O49">
        <f>IF(ISNUMBER(MATCH(N47,Profile!$L$44:$L$215,0)),INDEX(Profile!$O$44:$O$215,MATCH(N47,Profile!$L$44:$L$215,0)),"---")</f>
        <v>---</v>
      </c>
      <c s="418" r="P49"/>
      <c s="550" r="Q49"/>
      <c s="550" r="R49"/>
      <c t="str" s="620" r="S49">
        <f>IF((COUNT(R49:R$146,T49:T$146)=0),NA(),IF(ISBLANK(R49),S48,(S48+(R49-T48))))</f>
        <v>#N/A:explicit</v>
      </c>
      <c s="550" r="T49"/>
      <c t="str" s="620" r="U49">
        <f>IF(OR(ISBLANK(T49),ISNUMBER(R50)),NA(),(S49-T49))</f>
        <v>#N/A:explicit</v>
      </c>
      <c t="b" s="895" r="V49">
        <v>0</v>
      </c>
      <c s="631" r="W49"/>
      <c t="str" s="309" r="X49">
        <f>IF((COUNT(Q49:Q$146)=0),NA(),IF(ISBLANK(Q49),IF(ISBLANK(Q48),MAX(Q$46:Q49),Q48),Q49))</f>
        <v>#N/A:explicit</v>
      </c>
      <c t="str" s="861" r="Y49">
        <f>IF(ISNA(U49),IF(ISNUMBER(X49),Y48,NA()),U49)</f>
        <v>#N/A:explicit</v>
      </c>
      <c s="861" r="Z49">
        <f>IF(ISNUMBER(Y49),Y49,(S$46+1000))</f>
        <v>1000</v>
      </c>
      <c t="str" s="588" r="AA49">
        <f>IF((V49=TRUE),NA(),IF((AA$44=(S$46-MAX(T$46:T$146))),NA(),AA$44))</f>
        <v>#N/A:explicit</v>
      </c>
      <c s="588" r="AB49">
        <f>IF((ISNA(((Y49*X49)*Y48))),0,(IF((X49&lt;X48),-1,1)*(IF((V48=FALSE),IF((V49=FALSE),IF(ISNA(Y49),0,IF((Y48&lt;AA$44),IF((Y49&lt;AA$44),(((X49-X48)^2)^0.5),(((((AA$44-Y48)*(X49-X48))/(Y49-Y48))^2)^0.5)),IF((Y49&lt;AA$44),(((((AA$44-Y49)*(X49-X48))/(Y48-Y49))^2)^0.5),0))),0),0))))</f>
        <v>0</v>
      </c>
      <c s="588" r="AC49">
        <f>IF(ISNA((Y49*Y48)),0,IF((V48=FALSE),IF((V49=FALSE),IF(ISNA(U49),0,IF((Y48&lt;AA$44),IF((Y49&lt;AA$44),((AA$44-((Y48+Y49)*0.5))*AB49),(((AA$44-Y48)*0.5)*AB49)),IF((Y49&lt;AA$44),(((AA$44-Y49)*0.5)*AB49),0))),0),0))</f>
        <v>0</v>
      </c>
      <c s="588" r="AD49">
        <f>IF(ISNA((Y49*Y48)),0,IF((V48=FALSE),IF((V49=FALSE),IF(ISNA(Y49),0,IF((Y48&lt;AA$44),IF((Y49&lt;AA$44),(((AB49^2)+((Y49-Y48)^2))^0.5),(((AB49^2)+((AA$44-Y48)^2))^0.5)),IF((Y49&lt;AA$44),(((AB49^2)+((AA$44-Y49)^2))^0.5),0))),0),0))</f>
        <v>0</v>
      </c>
      <c s="588" r="AE49">
        <f>IF(ISNUMBER((Y49*Y48)),IF((Y48&gt;=K$148),IF((Y49&lt;K$148),1,0),IF((Y49&gt;=K$148),IF((Y48&lt;K$148),1,0),0)),0)</f>
        <v>0</v>
      </c>
      <c s="588" r="AF49">
        <f>IF(ISNA((Y49*Y48)),0,(IF((X49&lt;X48),-1,1)*(IF(ISNA(Y49),0,IF((Y48&lt;K$148),IF((Y49&lt;K$148),(((X49-X48)^2)^0.5),(((((K$148-Y48)*(X49-X48))/(Y49-Y48))^2)^0.5)),IF((Y49&lt;K$148),(((((K$148-Y49)*(X49-X48))/(Y48-Y49))^2)^0.5),0))))))</f>
        <v>0</v>
      </c>
      <c s="441" r="AG49">
        <f>IF((AC49&gt;0),(MAX(AG$47:AG48)+1),0)</f>
        <v>0</v>
      </c>
      <c s="388" r="AH49"/>
      <c s="406" r="AI49"/>
      <c s="789" r="AJ49"/>
      <c t="s" s="836" r="AK49">
        <v>589</v>
      </c>
      <c s="550" r="AL49"/>
      <c t="str" s="185" r="AM49">
        <f>IF(ISNUMBER(MATCH(AL47,Profile!$L$44:$L$215,0)),INDEX(Profile!$O$44:$O$215,MATCH(AL47,Profile!$L$44:$L$215,0)),"---")</f>
        <v>---</v>
      </c>
      <c s="418" r="AN49"/>
      <c s="550" r="AO49"/>
      <c s="550" r="AP49"/>
      <c t="str" s="620" r="AQ49">
        <f>IF((COUNT(AP49:AP$146,AR49:AR$146)=0),NA(),IF(ISBLANK(AP49),AQ48,(AQ48+(AP49-AR48))))</f>
        <v>#N/A:explicit</v>
      </c>
      <c s="550" r="AR49"/>
      <c t="str" s="620" r="AS49">
        <f>IF(OR(ISBLANK(AR49),ISNUMBER(AP50)),NA(),(AQ49-AR49))</f>
        <v>#N/A:explicit</v>
      </c>
      <c t="b" s="895" r="AT49">
        <v>0</v>
      </c>
      <c s="631" r="AU49"/>
      <c t="str" s="309" r="AV49">
        <f>IF((COUNT(AO49:AO$146)=0),NA(),IF(ISBLANK(AO49),IF(ISBLANK(AO48),MAX(AO$46:AO49),AO48),AO49))</f>
        <v>#N/A:explicit</v>
      </c>
      <c t="str" s="861" r="AW49">
        <f>IF(ISNA(AS49),IF(ISNUMBER(AV49),AW48,NA()),AS49)</f>
        <v>#N/A:explicit</v>
      </c>
      <c s="861" r="AX49">
        <f>IF(ISNUMBER(AW49),AW49,(AQ$46+1000))</f>
        <v>1000</v>
      </c>
      <c t="str" s="588" r="AY49">
        <f>IF((AT49=TRUE),NA(),IF((AY$44=(AQ$46-MAX(AR$46:AR$146))),NA(),AY$44))</f>
        <v>#N/A:explicit</v>
      </c>
      <c s="588" r="AZ49">
        <f>IF((ISNA(((AW49*AV49)*AW48))),0,(IF((AV49&lt;AV48),-1,1)*(IF((AT48=FALSE),IF((AT49=FALSE),IF(ISNA(AW49),0,IF((AW48&lt;AY$44),IF((AW49&lt;AY$44),(((AV49-AV48)^2)^0.5),(((((AY$44-AW48)*(AV49-AV48))/(AW49-AW48))^2)^0.5)),IF((AW49&lt;AY$44),(((((AY$44-AW49)*(AV49-AV48))/(AW48-AW49))^2)^0.5),0))),0),0))))</f>
        <v>0</v>
      </c>
      <c s="588" r="BA49">
        <f>IF(ISNA((AW49*AW48)),0,IF((AT48=FALSE),IF((AT49=FALSE),IF(ISNA(AS49),0,IF((AW48&lt;AY$44),IF((AW49&lt;AY$44),((AY$44-((AW48+AW49)*0.5))*AZ49),(((AY$44-AW48)*0.5)*AZ49)),IF((AW49&lt;AY$44),(((AY$44-AW49)*0.5)*AZ49),0))),0),0))</f>
        <v>0</v>
      </c>
      <c s="588" r="BB49">
        <f>IF(ISNA((AW49*AW48)),0,IF((AT48=FALSE),IF((AT49=FALSE),IF(ISNA(AW49),0,IF((AW48&lt;AY$44),IF((AW49&lt;AY$44),(((AZ49^2)+((AW49-AW48)^2))^0.5),(((AZ49^2)+((AY$44-AW48)^2))^0.5)),IF((AW49&lt;AY$44),(((AZ49^2)+((AY$44-AW49)^2))^0.5),0))),0),0))</f>
        <v>0</v>
      </c>
      <c s="588" r="BC49">
        <f>IF(ISNUMBER((AW49*AW48)),IF((AW48&gt;=AI$148),IF((AW49&lt;AI$148),1,0),IF((AW49&gt;=AI$148),IF((AW48&lt;AI$148),1,0),0)),0)</f>
        <v>0</v>
      </c>
      <c s="588" r="BD49">
        <f>IF(ISNA((AW49*AW48)),0,(IF((AV49&lt;AV48),-1,1)*(IF(ISNA(AW49),0,IF((AW48&lt;AI$148),IF((AW49&lt;AI$148),(((AV49-AV48)^2)^0.5),(((((AI$148-AW48)*(AV49-AV48))/(AW49-AW48))^2)^0.5)),IF((AW49&lt;AI$148),(((((AI$148-AW49)*(AV49-AV48))/(AW48-AW49))^2)^0.5),0))))))</f>
        <v>0</v>
      </c>
      <c s="441" r="BE49">
        <f>IF((BA49&gt;0),(MAX(BE$47:BE48)+1),0)</f>
        <v>0</v>
      </c>
      <c s="388" r="BF49"/>
      <c s="406" r="BG49"/>
      <c s="789" r="BH49"/>
      <c t="s" s="836" r="BI49">
        <v>589</v>
      </c>
      <c s="550" r="BJ49"/>
      <c t="str" s="185" r="BK49">
        <f>IF(ISNUMBER(MATCH(BJ47,Profile!$L$44:$L$215,0)),INDEX(Profile!$O$44:$O$215,MATCH(BJ47,Profile!$L$44:$L$215,0)),"---")</f>
        <v>---</v>
      </c>
      <c s="418" r="BL49"/>
      <c s="550" r="BM49"/>
      <c s="550" r="BN49"/>
      <c t="str" s="620" r="BO49">
        <f>IF((COUNT(BN49:BN$146,BP49:BP$146)=0),NA(),IF(ISBLANK(BN49),BO48,(BO48+(BN49-BP48))))</f>
        <v>#N/A:explicit</v>
      </c>
      <c s="550" r="BP49"/>
      <c t="str" s="620" r="BQ49">
        <f>IF(OR(ISBLANK(BP49),ISNUMBER(BN50)),NA(),(BO49-BP49))</f>
        <v>#N/A:explicit</v>
      </c>
      <c t="b" s="895" r="BR49">
        <v>0</v>
      </c>
      <c s="631" r="BS49"/>
      <c t="str" s="309" r="BT49">
        <f>IF((COUNT(BM49:BM$146)=0),NA(),IF(ISBLANK(BM49),IF(ISBLANK(BM48),MAX(BM$46:BM49),BM48),BM49))</f>
        <v>#N/A:explicit</v>
      </c>
      <c t="str" s="861" r="BU49">
        <f>IF(ISNA(BQ49),IF(ISNUMBER(BT49),BU48,NA()),BQ49)</f>
        <v>#N/A:explicit</v>
      </c>
      <c s="861" r="BV49">
        <f>IF(ISNUMBER(BU49),BU49,(BO$46+1000))</f>
        <v>1000</v>
      </c>
      <c t="str" s="588" r="BW49">
        <f>IF((BR49=TRUE),NA(),IF((BW$44=(BO$46-MAX(BP$46:BP$146))),NA(),BW$44))</f>
        <v>#N/A:explicit</v>
      </c>
      <c s="588" r="BX49">
        <f>IF((ISNA(((BU49*BT49)*BU48))),0,(IF((BT49&lt;BT48),-1,1)*(IF((BR48=FALSE),IF((BR49=FALSE),IF(ISNA(BU49),0,IF((BU48&lt;BW$44),IF((BU49&lt;BW$44),(((BT49-BT48)^2)^0.5),(((((BW$44-BU48)*(BT49-BT48))/(BU49-BU48))^2)^0.5)),IF((BU49&lt;BW$44),(((((BW$44-BU49)*(BT49-BT48))/(BU48-BU49))^2)^0.5),0))),0),0))))</f>
        <v>0</v>
      </c>
      <c s="588" r="BY49">
        <f>IF(ISNA((BU49*BU48)),0,IF((BR48=FALSE),IF((BR49=FALSE),IF(ISNA(BQ49),0,IF((BU48&lt;BW$44),IF((BU49&lt;BW$44),((BW$44-((BU48+BU49)*0.5))*BX49),(((BW$44-BU48)*0.5)*BX49)),IF((BU49&lt;BW$44),(((BW$44-BU49)*0.5)*BX49),0))),0),0))</f>
        <v>0</v>
      </c>
      <c s="588" r="BZ49">
        <f>IF(ISNA((BU49*BU48)),0,IF((BR48=FALSE),IF((BR49=FALSE),IF(ISNA(BU49),0,IF((BU48&lt;BW$44),IF((BU49&lt;BW$44),(((BX49^2)+((BU49-BU48)^2))^0.5),(((BX49^2)+((BW$44-BU48)^2))^0.5)),IF((BU49&lt;BW$44),(((BX49^2)+((BW$44-BU49)^2))^0.5),0))),0),0))</f>
        <v>0</v>
      </c>
      <c s="588" r="CA49">
        <f>IF(ISNUMBER((BU49*BU48)),IF((BU48&gt;=BG$148),IF((BU49&lt;BG$148),1,0),IF((BU49&gt;=BG$148),IF((BU48&lt;BG$148),1,0),0)),0)</f>
        <v>0</v>
      </c>
      <c s="588" r="CB49">
        <f>IF(ISNA((BU49*BU48)),0,(IF((BT49&lt;BT48),-1,1)*(IF(ISNA(BU49),0,IF((BU48&lt;BG$148),IF((BU49&lt;BG$148),(((BT49-BT48)^2)^0.5),(((((BG$148-BU48)*(BT49-BT48))/(BU49-BU48))^2)^0.5)),IF((BU49&lt;BG$148),(((((BG$148-BU49)*(BT49-BT48))/(BU48-BU49))^2)^0.5),0))))))</f>
        <v>0</v>
      </c>
      <c s="441" r="CC49">
        <f>IF((BY49&gt;0),(MAX(CC$47:CC48)+1),0)</f>
        <v>0</v>
      </c>
      <c s="388" r="CD49"/>
      <c s="406" r="CE49"/>
      <c s="789" r="CF49"/>
      <c t="s" s="836" r="CG49">
        <v>589</v>
      </c>
      <c s="550" r="CH49"/>
      <c t="str" s="185" r="CI49">
        <f>IF(ISNUMBER(MATCH(CH47,Profile!$L$44:$L$215,0)),INDEX(Profile!$O$44:$O$215,MATCH(CH47,Profile!$L$44:$L$215,0)),"---")</f>
        <v>---</v>
      </c>
      <c s="418" r="CJ49"/>
      <c s="550" r="CK49"/>
      <c s="550" r="CL49"/>
      <c t="str" s="620" r="CM49">
        <f>IF((COUNT(CL49:CL$146,CN49:CN$146)=0),NA(),IF(ISBLANK(CL49),CM48,(CM48+(CL49-CN48))))</f>
        <v>#N/A:explicit</v>
      </c>
      <c s="550" r="CN49"/>
      <c t="str" s="620" r="CO49">
        <f>IF(OR(ISBLANK(CN49),ISNUMBER(CL50)),NA(),(CM49-CN49))</f>
        <v>#N/A:explicit</v>
      </c>
      <c t="b" s="895" r="CP49">
        <v>0</v>
      </c>
      <c s="631" r="CQ49"/>
      <c t="str" s="309" r="CR49">
        <f>IF((COUNT(CK49:CK$146)=0),NA(),IF(ISBLANK(CK49),IF(ISBLANK(CK48),MAX(CK$46:CK49),CK48),CK49))</f>
        <v>#N/A:explicit</v>
      </c>
      <c t="str" s="861" r="CS49">
        <f>IF(ISNA(CO49),IF(ISNUMBER(CR49),CS48,NA()),CO49)</f>
        <v>#N/A:explicit</v>
      </c>
      <c s="861" r="CT49">
        <f>IF(ISNUMBER(CS49),CS49,(CM$46+1000))</f>
        <v>1000</v>
      </c>
      <c t="str" s="588" r="CU49">
        <f>IF((CP49=TRUE),NA(),IF((CU$44=(CM$46-MAX(CN$46:CN$146))),NA(),CU$44))</f>
        <v>#N/A:explicit</v>
      </c>
      <c s="588" r="CV49">
        <f>IF((ISNA(((CS49*CR49)*CS48))),0,(IF((CR49&lt;CR48),-1,1)*(IF((CP48=FALSE),IF((CP49=FALSE),IF(ISNA(CS49),0,IF((CS48&lt;CU$44),IF((CS49&lt;CU$44),(((CR49-CR48)^2)^0.5),(((((CU$44-CS48)*(CR49-CR48))/(CS49-CS48))^2)^0.5)),IF((CS49&lt;CU$44),(((((CU$44-CS49)*(CR49-CR48))/(CS48-CS49))^2)^0.5),0))),0),0))))</f>
        <v>0</v>
      </c>
      <c s="588" r="CW49">
        <f>IF(ISNA((CS49*CS48)),0,IF((CP48=FALSE),IF((CP49=FALSE),IF(ISNA(CO49),0,IF((CS48&lt;CU$44),IF((CS49&lt;CU$44),((CU$44-((CS48+CS49)*0.5))*CV49),(((CU$44-CS48)*0.5)*CV49)),IF((CS49&lt;CU$44),(((CU$44-CS49)*0.5)*CV49),0))),0),0))</f>
        <v>0</v>
      </c>
      <c s="588" r="CX49">
        <f>IF(ISNA((CS49*CS48)),0,IF((CP48=FALSE),IF((CP49=FALSE),IF(ISNA(CS49),0,IF((CS48&lt;CU$44),IF((CS49&lt;CU$44),(((CV49^2)+((CS49-CS48)^2))^0.5),(((CV49^2)+((CU$44-CS48)^2))^0.5)),IF((CS49&lt;CU$44),(((CV49^2)+((CU$44-CS49)^2))^0.5),0))),0),0))</f>
        <v>0</v>
      </c>
      <c s="588" r="CY49">
        <f>IF(ISNUMBER((CS49*CS48)),IF((CS48&gt;=CE$148),IF((CS49&lt;CE$148),1,0),IF((CS49&gt;=CE$148),IF((CS48&lt;CE$148),1,0),0)),0)</f>
        <v>0</v>
      </c>
      <c s="588" r="CZ49">
        <f>IF(ISNA((CS49*CS48)),0,(IF((CR49&lt;CR48),-1,1)*(IF(ISNA(CS49),0,IF((CS48&lt;CE$148),IF((CS49&lt;CE$148),(((CR49-CR48)^2)^0.5),(((((CE$148-CS48)*(CR49-CR48))/(CS49-CS48))^2)^0.5)),IF((CS49&lt;CE$148),(((((CE$148-CS49)*(CR49-CR48))/(CS48-CS49))^2)^0.5),0))))))</f>
        <v>0</v>
      </c>
      <c s="441" r="DA49">
        <f>IF((CW49&gt;0),(MAX(DA$47:DA48)+1),0)</f>
        <v>0</v>
      </c>
      <c s="388" r="DB49"/>
      <c s="406" r="DC49"/>
      <c s="789" r="DD49"/>
      <c t="s" s="836" r="DE49">
        <v>589</v>
      </c>
      <c s="550" r="DF49"/>
      <c t="str" s="185" r="DG49">
        <f>IF(ISNUMBER(MATCH(DF47,Profile!$L$44:$L$215,0)),INDEX(Profile!$O$44:$O$215,MATCH(DF47,Profile!$L$44:$L$215,0)),"---")</f>
        <v>---</v>
      </c>
      <c s="418" r="DH49"/>
      <c s="550" r="DI49"/>
      <c s="550" r="DJ49"/>
      <c t="str" s="620" r="DK49">
        <f>IF((COUNT(DJ49:DJ$146,DL49:DL$146)=0),NA(),IF(ISBLANK(DJ49),DK48,(DK48+(DJ49-DL48))))</f>
        <v>#N/A:explicit</v>
      </c>
      <c s="550" r="DL49"/>
      <c t="str" s="620" r="DM49">
        <f>IF(OR(ISBLANK(DL49),ISNUMBER(DJ50)),NA(),(DK49-DL49))</f>
        <v>#N/A:explicit</v>
      </c>
      <c t="b" s="895" r="DN49">
        <v>0</v>
      </c>
      <c s="631" r="DO49"/>
      <c t="str" s="309" r="DP49">
        <f>IF((COUNT(DI49:DI$146)=0),NA(),IF(ISBLANK(DI49),IF(ISBLANK(DI48),MAX(DI$46:DI49),DI48),DI49))</f>
        <v>#N/A:explicit</v>
      </c>
      <c t="str" s="861" r="DQ49">
        <f>IF(ISNA(DM49),IF(ISNUMBER(DP49),DQ48,NA()),DM49)</f>
        <v>#N/A:explicit</v>
      </c>
      <c s="861" r="DR49">
        <f>IF(ISNUMBER(DQ49),DQ49,(DK$46+1000))</f>
        <v>1000</v>
      </c>
      <c t="str" s="588" r="DS49">
        <f>IF((DN49=TRUE),NA(),IF((DS$44=(DK$46-MAX(DL$46:DL$146))),NA(),DS$44))</f>
        <v>#N/A:explicit</v>
      </c>
      <c s="588" r="DT49">
        <f>IF((ISNA(((DQ49*DP49)*DQ48))),0,(IF((DP49&lt;DP48),-1,1)*(IF((DN48=FALSE),IF((DN49=FALSE),IF(ISNA(DQ49),0,IF((DQ48&lt;DS$44),IF((DQ49&lt;DS$44),(((DP49-DP48)^2)^0.5),(((((DS$44-DQ48)*(DP49-DP48))/(DQ49-DQ48))^2)^0.5)),IF((DQ49&lt;DS$44),(((((DS$44-DQ49)*(DP49-DP48))/(DQ48-DQ49))^2)^0.5),0))),0),0))))</f>
        <v>0</v>
      </c>
      <c s="588" r="DU49">
        <f>IF(ISNA((DQ49*DQ48)),0,IF((DN48=FALSE),IF((DN49=FALSE),IF(ISNA(DM49),0,IF((DQ48&lt;DS$44),IF((DQ49&lt;DS$44),((DS$44-((DQ48+DQ49)*0.5))*DT49),(((DS$44-DQ48)*0.5)*DT49)),IF((DQ49&lt;DS$44),(((DS$44-DQ49)*0.5)*DT49),0))),0),0))</f>
        <v>0</v>
      </c>
      <c s="588" r="DV49">
        <f>IF(ISNA((DQ49*DQ48)),0,IF((DN48=FALSE),IF((DN49=FALSE),IF(ISNA(DQ49),0,IF((DQ48&lt;DS$44),IF((DQ49&lt;DS$44),(((DT49^2)+((DQ49-DQ48)^2))^0.5),(((DT49^2)+((DS$44-DQ48)^2))^0.5)),IF((DQ49&lt;DS$44),(((DT49^2)+((DS$44-DQ49)^2))^0.5),0))),0),0))</f>
        <v>0</v>
      </c>
      <c s="588" r="DW49">
        <f>IF(ISNUMBER((DQ49*DQ48)),IF((DQ48&gt;=DC$148),IF((DQ49&lt;DC$148),1,0),IF((DQ49&gt;=DC$148),IF((DQ48&lt;DC$148),1,0),0)),0)</f>
        <v>0</v>
      </c>
      <c s="588" r="DX49">
        <f>IF(ISNA((DQ49*DQ48)),0,(IF((DP49&lt;DP48),-1,1)*(IF(ISNA(DQ49),0,IF((DQ48&lt;DC$148),IF((DQ49&lt;DC$148),(((DP49-DP48)^2)^0.5),(((((DC$148-DQ48)*(DP49-DP48))/(DQ49-DQ48))^2)^0.5)),IF((DQ49&lt;DC$148),(((((DC$148-DQ49)*(DP49-DP48))/(DQ48-DQ49))^2)^0.5),0))))))</f>
        <v>0</v>
      </c>
      <c s="441" r="DY49">
        <f>IF((DU49&gt;0),(MAX(DY$47:DY48)+1),0)</f>
        <v>0</v>
      </c>
      <c s="388" r="DZ49"/>
      <c s="406" r="EA49"/>
      <c s="789" r="EB49"/>
      <c t="s" s="836" r="EC49">
        <v>589</v>
      </c>
      <c s="550" r="ED49"/>
      <c t="str" s="185" r="EE49">
        <f>IF(ISNUMBER(MATCH(ED47,Profile!$L$44:$L$215,0)),INDEX(Profile!$O$44:$O$215,MATCH(ED47,Profile!$L$44:$L$215,0)),"---")</f>
        <v>---</v>
      </c>
      <c s="418" r="EF49"/>
      <c s="550" r="EG49"/>
      <c s="550" r="EH49"/>
      <c t="str" s="620" r="EI49">
        <f>IF((COUNT(EH49:EH$146,EJ49:EJ$146)=0),NA(),IF(ISBLANK(EH49),EI48,(EI48+(EH49-EJ48))))</f>
        <v>#N/A:explicit</v>
      </c>
      <c s="550" r="EJ49"/>
      <c t="str" s="620" r="EK49">
        <f>IF(OR(ISBLANK(EJ49),ISNUMBER(EH50)),NA(),(EI49-EJ49))</f>
        <v>#N/A:explicit</v>
      </c>
      <c t="b" s="895" r="EL49">
        <v>0</v>
      </c>
      <c s="631" r="EM49"/>
      <c t="str" s="309" r="EN49">
        <f>IF((COUNT(EG49:EG$146)=0),NA(),IF(ISBLANK(EG49),IF(ISBLANK(EG48),MAX(EG$46:EG49),EG48),EG49))</f>
        <v>#N/A:explicit</v>
      </c>
      <c t="str" s="861" r="EO49">
        <f>IF(ISNA(EK49),IF(ISNUMBER(EN49),EO48,NA()),EK49)</f>
        <v>#N/A:explicit</v>
      </c>
      <c s="861" r="EP49">
        <f>IF(ISNUMBER(EO49),EO49,(EI$46+1000))</f>
        <v>1000</v>
      </c>
      <c t="str" s="588" r="EQ49">
        <f>IF((EL49=TRUE),NA(),IF((EQ$44=(EI$46-MAX(EJ$46:EJ$146))),NA(),EQ$44))</f>
        <v>#N/A:explicit</v>
      </c>
      <c s="588" r="ER49">
        <f>IF((ISNA(((EO49*EN49)*EO48))),0,(IF((EN49&lt;EN48),-1,1)*(IF((EL48=FALSE),IF((EL49=FALSE),IF(ISNA(EO49),0,IF((EO48&lt;EQ$44),IF((EO49&lt;EQ$44),(((EN49-EN48)^2)^0.5),(((((EQ$44-EO48)*(EN49-EN48))/(EO49-EO48))^2)^0.5)),IF((EO49&lt;EQ$44),(((((EQ$44-EO49)*(EN49-EN48))/(EO48-EO49))^2)^0.5),0))),0),0))))</f>
        <v>0</v>
      </c>
      <c s="588" r="ES49">
        <f>IF(ISNA((EO49*EO48)),0,IF((EL48=FALSE),IF((EL49=FALSE),IF(ISNA(EK49),0,IF((EO48&lt;EQ$44),IF((EO49&lt;EQ$44),((EQ$44-((EO48+EO49)*0.5))*ER49),(((EQ$44-EO48)*0.5)*ER49)),IF((EO49&lt;EQ$44),(((EQ$44-EO49)*0.5)*ER49),0))),0),0))</f>
        <v>0</v>
      </c>
      <c s="588" r="ET49">
        <f>IF(ISNA((EO49*EO48)),0,IF((EL48=FALSE),IF((EL49=FALSE),IF(ISNA(EO49),0,IF((EO48&lt;EQ$44),IF((EO49&lt;EQ$44),(((ER49^2)+((EO49-EO48)^2))^0.5),(((ER49^2)+((EQ$44-EO48)^2))^0.5)),IF((EO49&lt;EQ$44),(((ER49^2)+((EQ$44-EO49)^2))^0.5),0))),0),0))</f>
        <v>0</v>
      </c>
      <c s="588" r="EU49">
        <f>IF(ISNUMBER((EO49*EO48)),IF((EO48&gt;=EA$148),IF((EO49&lt;EA$148),1,0),IF((EO49&gt;=EA$148),IF((EO48&lt;EA$148),1,0),0)),0)</f>
        <v>0</v>
      </c>
      <c s="588" r="EV49">
        <f>IF(ISNA((EO49*EO48)),0,(IF((EN49&lt;EN48),-1,1)*(IF(ISNA(EO49),0,IF((EO48&lt;EA$148),IF((EO49&lt;EA$148),(((EN49-EN48)^2)^0.5),(((((EA$148-EO48)*(EN49-EN48))/(EO49-EO48))^2)^0.5)),IF((EO49&lt;EA$148),(((((EA$148-EO49)*(EN49-EN48))/(EO48-EO49))^2)^0.5),0))))))</f>
        <v>0</v>
      </c>
      <c s="441" r="EW49">
        <f>IF((ES49&gt;0),(MAX(EW$47:EW48)+1),0)</f>
        <v>0</v>
      </c>
      <c s="388" r="EX49"/>
      <c s="406" r="EY49"/>
      <c s="789" r="EZ49"/>
      <c t="s" s="836" r="FA49">
        <v>589</v>
      </c>
      <c s="550" r="FB49"/>
      <c t="str" s="185" r="FC49">
        <f>IF(ISNUMBER(MATCH(FB47,Profile!$L$44:$L$215,0)),INDEX(Profile!$O$44:$O$215,MATCH(FB47,Profile!$L$44:$L$215,0)),"---")</f>
        <v>---</v>
      </c>
      <c s="418" r="FD49"/>
      <c s="550" r="FE49"/>
      <c s="550" r="FF49"/>
      <c t="str" s="620" r="FG49">
        <f>IF((COUNT(FF49:FF$146,FH49:FH$146)=0),NA(),IF(ISBLANK(FF49),FG48,(FG48+(FF49-FH48))))</f>
        <v>#N/A:explicit</v>
      </c>
      <c s="550" r="FH49"/>
      <c t="str" s="620" r="FI49">
        <f>IF(OR(ISBLANK(FH49),ISNUMBER(FF50)),NA(),(FG49-FH49))</f>
        <v>#N/A:explicit</v>
      </c>
      <c t="b" s="895" r="FJ49">
        <v>0</v>
      </c>
      <c s="631" r="FK49"/>
      <c t="str" s="309" r="FL49">
        <f>IF((COUNT(FE49:FE$146)=0),NA(),IF(ISBLANK(FE49),IF(ISBLANK(FE48),MAX(FE$46:FE49),FE48),FE49))</f>
        <v>#N/A:explicit</v>
      </c>
      <c t="str" s="861" r="FM49">
        <f>IF(ISNA(FI49),IF(ISNUMBER(FL49),FM48,NA()),FI49)</f>
        <v>#N/A:explicit</v>
      </c>
      <c s="861" r="FN49">
        <f>IF(ISNUMBER(FM49),FM49,(FG$46+1000))</f>
        <v>1000</v>
      </c>
      <c t="str" s="588" r="FO49">
        <f>IF((FJ49=TRUE),NA(),IF((FO$44=(FG$46-MAX(FH$46:FH$146))),NA(),FO$44))</f>
        <v>#N/A:explicit</v>
      </c>
      <c s="588" r="FP49">
        <f>IF((ISNA(((FM49*FL49)*FM48))),0,(IF((FL49&lt;FL48),-1,1)*(IF((FJ48=FALSE),IF((FJ49=FALSE),IF(ISNA(FM49),0,IF((FM48&lt;FO$44),IF((FM49&lt;FO$44),(((FL49-FL48)^2)^0.5),(((((FO$44-FM48)*(FL49-FL48))/(FM49-FM48))^2)^0.5)),IF((FM49&lt;FO$44),(((((FO$44-FM49)*(FL49-FL48))/(FM48-FM49))^2)^0.5),0))),0),0))))</f>
        <v>0</v>
      </c>
      <c s="588" r="FQ49">
        <f>IF(ISNA((FM49*FM48)),0,IF((FJ48=FALSE),IF((FJ49=FALSE),IF(ISNA(FI49),0,IF((FM48&lt;FO$44),IF((FM49&lt;FO$44),((FO$44-((FM48+FM49)*0.5))*FP49),(((FO$44-FM48)*0.5)*FP49)),IF((FM49&lt;FO$44),(((FO$44-FM49)*0.5)*FP49),0))),0),0))</f>
        <v>0</v>
      </c>
      <c s="588" r="FR49">
        <f>IF(ISNA((FM49*FM48)),0,IF((FJ48=FALSE),IF((FJ49=FALSE),IF(ISNA(FM49),0,IF((FM48&lt;FO$44),IF((FM49&lt;FO$44),(((FP49^2)+((FM49-FM48)^2))^0.5),(((FP49^2)+((FO$44-FM48)^2))^0.5)),IF((FM49&lt;FO$44),(((FP49^2)+((FO$44-FM49)^2))^0.5),0))),0),0))</f>
        <v>0</v>
      </c>
      <c s="588" r="FS49">
        <f>IF(ISNUMBER((FM49*FM48)),IF((FM48&gt;=EY$148),IF((FM49&lt;EY$148),1,0),IF((FM49&gt;=EY$148),IF((FM48&lt;EY$148),1,0),0)),0)</f>
        <v>0</v>
      </c>
      <c s="588" r="FT49">
        <f>IF(ISNA((FM49*FM48)),0,(IF((FL49&lt;FL48),-1,1)*(IF(ISNA(FM49),0,IF((FM48&lt;EY$148),IF((FM49&lt;EY$148),(((FL49-FL48)^2)^0.5),(((((EY$148-FM48)*(FL49-FL48))/(FM49-FM48))^2)^0.5)),IF((FM49&lt;EY$148),(((((EY$148-FM49)*(FL49-FL48))/(FM48-FM49))^2)^0.5),0))))))</f>
        <v>0</v>
      </c>
      <c s="441" r="FU49">
        <f>IF((FQ49&gt;0),(MAX(FU$47:FU48)+1),0)</f>
        <v>0</v>
      </c>
      <c s="222" r="FV49"/>
      <c s="125" r="FW49"/>
      <c s="125" r="FX49"/>
      <c s="125" r="FY49"/>
      <c s="125" r="FZ49"/>
      <c s="125" r="GA49"/>
      <c s="125" r="GB49"/>
      <c s="125" r="GC49"/>
      <c s="125" r="GD49"/>
      <c s="125" r="GE49"/>
      <c s="125" r="GF49"/>
      <c s="125" r="GG49"/>
      <c s="125" r="GH49"/>
      <c s="125" r="GI49"/>
      <c s="125" r="GJ49"/>
      <c s="125" r="GK49"/>
      <c s="125" r="GL49"/>
      <c s="125" r="GM49"/>
      <c s="125" r="GN49"/>
      <c s="125" r="GO49"/>
      <c s="125" r="GP49"/>
      <c s="125" r="GQ49"/>
      <c s="125" r="GR49"/>
      <c s="125" r="GS49"/>
      <c s="125" r="GT49"/>
      <c s="125" r="GU49"/>
      <c s="125" r="GV49"/>
      <c s="125" r="GW49"/>
      <c s="125" r="GX49"/>
      <c s="125" r="GY49"/>
      <c s="125" r="GZ49"/>
      <c s="125" r="HA49"/>
      <c s="125" r="HB49"/>
    </row>
    <row customHeight="1" r="50" ht="13.5">
      <c s="822" r="A50"/>
      <c s="406" r="B50"/>
      <c s="886" r="C50"/>
      <c s="886" r="D50"/>
      <c t="str" s="654" r="E50">
        <f>'Dimension Estimated Values'!$I$5</f>
        <v>#VALUE!:cantParseText:---</v>
      </c>
      <c s="886" r="F50"/>
      <c s="886" r="G50"/>
      <c s="886" r="H50"/>
      <c s="418" r="I50"/>
      <c s="702" r="J50"/>
      <c s="406" r="K50"/>
      <c s="385" r="L50"/>
      <c s="861" r="M50"/>
      <c s="274" r="N50"/>
      <c s="321" r="O50"/>
      <c s="418" r="P50"/>
      <c s="550" r="Q50"/>
      <c s="550" r="R50"/>
      <c t="str" s="620" r="S50">
        <f>IF((COUNT(R50:R$146,T50:T$146)=0),NA(),IF(ISBLANK(R50),S49,(S49+(R50-T49))))</f>
        <v>#N/A:explicit</v>
      </c>
      <c s="550" r="T50"/>
      <c t="str" s="620" r="U50">
        <f>IF(OR(ISBLANK(T50),ISNUMBER(R51)),NA(),(S50-T50))</f>
        <v>#N/A:explicit</v>
      </c>
      <c t="b" s="895" r="V50">
        <v>0</v>
      </c>
      <c s="631" r="W50"/>
      <c t="str" s="309" r="X50">
        <f>IF((COUNT(Q50:Q$146)=0),NA(),IF(ISBLANK(Q50),IF(ISBLANK(Q49),MAX(Q$46:Q50),Q49),Q50))</f>
        <v>#N/A:explicit</v>
      </c>
      <c t="str" s="861" r="Y50">
        <f>IF(ISNA(U50),IF(ISNUMBER(X50),Y49,NA()),U50)</f>
        <v>#N/A:explicit</v>
      </c>
      <c s="861" r="Z50">
        <f>IF(ISNUMBER(Y50),Y50,(S$46+1000))</f>
        <v>1000</v>
      </c>
      <c t="str" s="588" r="AA50">
        <f>IF((V50=TRUE),NA(),IF((AA$44=(S$46-MAX(T$46:T$146))),NA(),AA$44))</f>
        <v>#N/A:explicit</v>
      </c>
      <c s="588" r="AB50">
        <f>IF((ISNA(((Y50*X50)*Y49))),0,(IF((X50&lt;X49),-1,1)*(IF((V49=FALSE),IF((V50=FALSE),IF(ISNA(Y50),0,IF((Y49&lt;AA$44),IF((Y50&lt;AA$44),(((X50-X49)^2)^0.5),(((((AA$44-Y49)*(X50-X49))/(Y50-Y49))^2)^0.5)),IF((Y50&lt;AA$44),(((((AA$44-Y50)*(X50-X49))/(Y49-Y50))^2)^0.5),0))),0),0))))</f>
        <v>0</v>
      </c>
      <c s="588" r="AC50">
        <f>IF(ISNA((Y50*Y49)),0,IF((V49=FALSE),IF((V50=FALSE),IF(ISNA(U50),0,IF((Y49&lt;AA$44),IF((Y50&lt;AA$44),((AA$44-((Y49+Y50)*0.5))*AB50),(((AA$44-Y49)*0.5)*AB50)),IF((Y50&lt;AA$44),(((AA$44-Y50)*0.5)*AB50),0))),0),0))</f>
        <v>0</v>
      </c>
      <c s="588" r="AD50">
        <f>IF(ISNA((Y50*Y49)),0,IF((V49=FALSE),IF((V50=FALSE),IF(ISNA(Y50),0,IF((Y49&lt;AA$44),IF((Y50&lt;AA$44),(((AB50^2)+((Y50-Y49)^2))^0.5),(((AB50^2)+((AA$44-Y49)^2))^0.5)),IF((Y50&lt;AA$44),(((AB50^2)+((AA$44-Y50)^2))^0.5),0))),0),0))</f>
        <v>0</v>
      </c>
      <c s="588" r="AE50">
        <f>IF(ISNUMBER((Y50*Y49)),IF((Y49&gt;=K$148),IF((Y50&lt;K$148),1,0),IF((Y50&gt;=K$148),IF((Y49&lt;K$148),1,0),0)),0)</f>
        <v>0</v>
      </c>
      <c s="588" r="AF50">
        <f>IF(ISNA((Y50*Y49)),0,(IF((X50&lt;X49),-1,1)*(IF(ISNA(Y50),0,IF((Y49&lt;K$148),IF((Y50&lt;K$148),(((X50-X49)^2)^0.5),(((((K$148-Y49)*(X50-X49))/(Y50-Y49))^2)^0.5)),IF((Y50&lt;K$148),(((((K$148-Y50)*(X50-X49))/(Y49-Y50))^2)^0.5),0))))))</f>
        <v>0</v>
      </c>
      <c s="441" r="AG50">
        <f>IF((AC50&gt;0),(MAX(AG$47:AG49)+1),0)</f>
        <v>0</v>
      </c>
      <c s="388" r="AH50"/>
      <c s="406" r="AI50"/>
      <c s="385" r="AJ50"/>
      <c s="861" r="AK50"/>
      <c s="274" r="AL50"/>
      <c s="321" r="AM50"/>
      <c s="418" r="AN50"/>
      <c s="550" r="AO50"/>
      <c s="550" r="AP50"/>
      <c t="str" s="620" r="AQ50">
        <f>IF((COUNT(AP50:AP$146,AR50:AR$146)=0),NA(),IF(ISBLANK(AP50),AQ49,(AQ49+(AP50-AR49))))</f>
        <v>#N/A:explicit</v>
      </c>
      <c s="550" r="AR50"/>
      <c t="str" s="620" r="AS50">
        <f>IF(OR(ISBLANK(AR50),ISNUMBER(AP51)),NA(),(AQ50-AR50))</f>
        <v>#N/A:explicit</v>
      </c>
      <c t="b" s="895" r="AT50">
        <v>0</v>
      </c>
      <c s="631" r="AU50"/>
      <c t="str" s="309" r="AV50">
        <f>IF((COUNT(AO50:AO$146)=0),NA(),IF(ISBLANK(AO50),IF(ISBLANK(AO49),MAX(AO$46:AO50),AO49),AO50))</f>
        <v>#N/A:explicit</v>
      </c>
      <c t="str" s="861" r="AW50">
        <f>IF(ISNA(AS50),IF(ISNUMBER(AV50),AW49,NA()),AS50)</f>
        <v>#N/A:explicit</v>
      </c>
      <c s="861" r="AX50">
        <f>IF(ISNUMBER(AW50),AW50,(AQ$46+1000))</f>
        <v>1000</v>
      </c>
      <c t="str" s="588" r="AY50">
        <f>IF((AT50=TRUE),NA(),IF((AY$44=(AQ$46-MAX(AR$46:AR$146))),NA(),AY$44))</f>
        <v>#N/A:explicit</v>
      </c>
      <c s="588" r="AZ50">
        <f>IF((ISNA(((AW50*AV50)*AW49))),0,(IF((AV50&lt;AV49),-1,1)*(IF((AT49=FALSE),IF((AT50=FALSE),IF(ISNA(AW50),0,IF((AW49&lt;AY$44),IF((AW50&lt;AY$44),(((AV50-AV49)^2)^0.5),(((((AY$44-AW49)*(AV50-AV49))/(AW50-AW49))^2)^0.5)),IF((AW50&lt;AY$44),(((((AY$44-AW50)*(AV50-AV49))/(AW49-AW50))^2)^0.5),0))),0),0))))</f>
        <v>0</v>
      </c>
      <c s="588" r="BA50">
        <f>IF(ISNA((AW50*AW49)),0,IF((AT49=FALSE),IF((AT50=FALSE),IF(ISNA(AS50),0,IF((AW49&lt;AY$44),IF((AW50&lt;AY$44),((AY$44-((AW49+AW50)*0.5))*AZ50),(((AY$44-AW49)*0.5)*AZ50)),IF((AW50&lt;AY$44),(((AY$44-AW50)*0.5)*AZ50),0))),0),0))</f>
        <v>0</v>
      </c>
      <c s="588" r="BB50">
        <f>IF(ISNA((AW50*AW49)),0,IF((AT49=FALSE),IF((AT50=FALSE),IF(ISNA(AW50),0,IF((AW49&lt;AY$44),IF((AW50&lt;AY$44),(((AZ50^2)+((AW50-AW49)^2))^0.5),(((AZ50^2)+((AY$44-AW49)^2))^0.5)),IF((AW50&lt;AY$44),(((AZ50^2)+((AY$44-AW50)^2))^0.5),0))),0),0))</f>
        <v>0</v>
      </c>
      <c s="588" r="BC50">
        <f>IF(ISNUMBER((AW50*AW49)),IF((AW49&gt;=AI$148),IF((AW50&lt;AI$148),1,0),IF((AW50&gt;=AI$148),IF((AW49&lt;AI$148),1,0),0)),0)</f>
        <v>0</v>
      </c>
      <c s="588" r="BD50">
        <f>IF(ISNA((AW50*AW49)),0,(IF((AV50&lt;AV49),-1,1)*(IF(ISNA(AW50),0,IF((AW49&lt;AI$148),IF((AW50&lt;AI$148),(((AV50-AV49)^2)^0.5),(((((AI$148-AW49)*(AV50-AV49))/(AW50-AW49))^2)^0.5)),IF((AW50&lt;AI$148),(((((AI$148-AW50)*(AV50-AV49))/(AW49-AW50))^2)^0.5),0))))))</f>
        <v>0</v>
      </c>
      <c s="441" r="BE50">
        <f>IF((BA50&gt;0),(MAX(BE$47:BE49)+1),0)</f>
        <v>0</v>
      </c>
      <c s="388" r="BF50"/>
      <c s="406" r="BG50"/>
      <c s="385" r="BH50"/>
      <c s="861" r="BI50"/>
      <c s="274" r="BJ50"/>
      <c s="321" r="BK50"/>
      <c s="418" r="BL50"/>
      <c s="550" r="BM50"/>
      <c s="550" r="BN50"/>
      <c t="str" s="620" r="BO50">
        <f>IF((COUNT(BN50:BN$146,BP50:BP$146)=0),NA(),IF(ISBLANK(BN50),BO49,(BO49+(BN50-BP49))))</f>
        <v>#N/A:explicit</v>
      </c>
      <c s="550" r="BP50"/>
      <c t="str" s="620" r="BQ50">
        <f>IF(OR(ISBLANK(BP50),ISNUMBER(BN51)),NA(),(BO50-BP50))</f>
        <v>#N/A:explicit</v>
      </c>
      <c t="b" s="895" r="BR50">
        <v>0</v>
      </c>
      <c s="631" r="BS50"/>
      <c t="str" s="309" r="BT50">
        <f>IF((COUNT(BM50:BM$146)=0),NA(),IF(ISBLANK(BM50),IF(ISBLANK(BM49),MAX(BM$46:BM50),BM49),BM50))</f>
        <v>#N/A:explicit</v>
      </c>
      <c t="str" s="861" r="BU50">
        <f>IF(ISNA(BQ50),IF(ISNUMBER(BT50),BU49,NA()),BQ50)</f>
        <v>#N/A:explicit</v>
      </c>
      <c s="861" r="BV50">
        <f>IF(ISNUMBER(BU50),BU50,(BO$46+1000))</f>
        <v>1000</v>
      </c>
      <c t="str" s="588" r="BW50">
        <f>IF((BR50=TRUE),NA(),IF((BW$44=(BO$46-MAX(BP$46:BP$146))),NA(),BW$44))</f>
        <v>#N/A:explicit</v>
      </c>
      <c s="588" r="BX50">
        <f>IF((ISNA(((BU50*BT50)*BU49))),0,(IF((BT50&lt;BT49),-1,1)*(IF((BR49=FALSE),IF((BR50=FALSE),IF(ISNA(BU50),0,IF((BU49&lt;BW$44),IF((BU50&lt;BW$44),(((BT50-BT49)^2)^0.5),(((((BW$44-BU49)*(BT50-BT49))/(BU50-BU49))^2)^0.5)),IF((BU50&lt;BW$44),(((((BW$44-BU50)*(BT50-BT49))/(BU49-BU50))^2)^0.5),0))),0),0))))</f>
        <v>0</v>
      </c>
      <c s="588" r="BY50">
        <f>IF(ISNA((BU50*BU49)),0,IF((BR49=FALSE),IF((BR50=FALSE),IF(ISNA(BQ50),0,IF((BU49&lt;BW$44),IF((BU50&lt;BW$44),((BW$44-((BU49+BU50)*0.5))*BX50),(((BW$44-BU49)*0.5)*BX50)),IF((BU50&lt;BW$44),(((BW$44-BU50)*0.5)*BX50),0))),0),0))</f>
        <v>0</v>
      </c>
      <c s="588" r="BZ50">
        <f>IF(ISNA((BU50*BU49)),0,IF((BR49=FALSE),IF((BR50=FALSE),IF(ISNA(BU50),0,IF((BU49&lt;BW$44),IF((BU50&lt;BW$44),(((BX50^2)+((BU50-BU49)^2))^0.5),(((BX50^2)+((BW$44-BU49)^2))^0.5)),IF((BU50&lt;BW$44),(((BX50^2)+((BW$44-BU50)^2))^0.5),0))),0),0))</f>
        <v>0</v>
      </c>
      <c s="588" r="CA50">
        <f>IF(ISNUMBER((BU50*BU49)),IF((BU49&gt;=BG$148),IF((BU50&lt;BG$148),1,0),IF((BU50&gt;=BG$148),IF((BU49&lt;BG$148),1,0),0)),0)</f>
        <v>0</v>
      </c>
      <c s="588" r="CB50">
        <f>IF(ISNA((BU50*BU49)),0,(IF((BT50&lt;BT49),-1,1)*(IF(ISNA(BU50),0,IF((BU49&lt;BG$148),IF((BU50&lt;BG$148),(((BT50-BT49)^2)^0.5),(((((BG$148-BU49)*(BT50-BT49))/(BU50-BU49))^2)^0.5)),IF((BU50&lt;BG$148),(((((BG$148-BU50)*(BT50-BT49))/(BU49-BU50))^2)^0.5),0))))))</f>
        <v>0</v>
      </c>
      <c s="441" r="CC50">
        <f>IF((BY50&gt;0),(MAX(CC$47:CC49)+1),0)</f>
        <v>0</v>
      </c>
      <c s="388" r="CD50"/>
      <c s="406" r="CE50"/>
      <c s="385" r="CF50"/>
      <c s="861" r="CG50"/>
      <c s="274" r="CH50"/>
      <c s="321" r="CI50"/>
      <c s="418" r="CJ50"/>
      <c s="550" r="CK50"/>
      <c s="550" r="CL50"/>
      <c t="str" s="620" r="CM50">
        <f>IF((COUNT(CL50:CL$146,CN50:CN$146)=0),NA(),IF(ISBLANK(CL50),CM49,(CM49+(CL50-CN49))))</f>
        <v>#N/A:explicit</v>
      </c>
      <c s="550" r="CN50"/>
      <c t="str" s="620" r="CO50">
        <f>IF(OR(ISBLANK(CN50),ISNUMBER(CL51)),NA(),(CM50-CN50))</f>
        <v>#N/A:explicit</v>
      </c>
      <c t="b" s="895" r="CP50">
        <v>0</v>
      </c>
      <c s="631" r="CQ50"/>
      <c t="str" s="309" r="CR50">
        <f>IF((COUNT(CK50:CK$146)=0),NA(),IF(ISBLANK(CK50),IF(ISBLANK(CK49),MAX(CK$46:CK50),CK49),CK50))</f>
        <v>#N/A:explicit</v>
      </c>
      <c t="str" s="861" r="CS50">
        <f>IF(ISNA(CO50),IF(ISNUMBER(CR50),CS49,NA()),CO50)</f>
        <v>#N/A:explicit</v>
      </c>
      <c s="861" r="CT50">
        <f>IF(ISNUMBER(CS50),CS50,(CM$46+1000))</f>
        <v>1000</v>
      </c>
      <c t="str" s="588" r="CU50">
        <f>IF((CP50=TRUE),NA(),IF((CU$44=(CM$46-MAX(CN$46:CN$146))),NA(),CU$44))</f>
        <v>#N/A:explicit</v>
      </c>
      <c s="588" r="CV50">
        <f>IF((ISNA(((CS50*CR50)*CS49))),0,(IF((CR50&lt;CR49),-1,1)*(IF((CP49=FALSE),IF((CP50=FALSE),IF(ISNA(CS50),0,IF((CS49&lt;CU$44),IF((CS50&lt;CU$44),(((CR50-CR49)^2)^0.5),(((((CU$44-CS49)*(CR50-CR49))/(CS50-CS49))^2)^0.5)),IF((CS50&lt;CU$44),(((((CU$44-CS50)*(CR50-CR49))/(CS49-CS50))^2)^0.5),0))),0),0))))</f>
        <v>0</v>
      </c>
      <c s="588" r="CW50">
        <f>IF(ISNA((CS50*CS49)),0,IF((CP49=FALSE),IF((CP50=FALSE),IF(ISNA(CO50),0,IF((CS49&lt;CU$44),IF((CS50&lt;CU$44),((CU$44-((CS49+CS50)*0.5))*CV50),(((CU$44-CS49)*0.5)*CV50)),IF((CS50&lt;CU$44),(((CU$44-CS50)*0.5)*CV50),0))),0),0))</f>
        <v>0</v>
      </c>
      <c s="588" r="CX50">
        <f>IF(ISNA((CS50*CS49)),0,IF((CP49=FALSE),IF((CP50=FALSE),IF(ISNA(CS50),0,IF((CS49&lt;CU$44),IF((CS50&lt;CU$44),(((CV50^2)+((CS50-CS49)^2))^0.5),(((CV50^2)+((CU$44-CS49)^2))^0.5)),IF((CS50&lt;CU$44),(((CV50^2)+((CU$44-CS50)^2))^0.5),0))),0),0))</f>
        <v>0</v>
      </c>
      <c s="588" r="CY50">
        <f>IF(ISNUMBER((CS50*CS49)),IF((CS49&gt;=CE$148),IF((CS50&lt;CE$148),1,0),IF((CS50&gt;=CE$148),IF((CS49&lt;CE$148),1,0),0)),0)</f>
        <v>0</v>
      </c>
      <c s="588" r="CZ50">
        <f>IF(ISNA((CS50*CS49)),0,(IF((CR50&lt;CR49),-1,1)*(IF(ISNA(CS50),0,IF((CS49&lt;CE$148),IF((CS50&lt;CE$148),(((CR50-CR49)^2)^0.5),(((((CE$148-CS49)*(CR50-CR49))/(CS50-CS49))^2)^0.5)),IF((CS50&lt;CE$148),(((((CE$148-CS50)*(CR50-CR49))/(CS49-CS50))^2)^0.5),0))))))</f>
        <v>0</v>
      </c>
      <c s="441" r="DA50">
        <f>IF((CW50&gt;0),(MAX(DA$47:DA49)+1),0)</f>
        <v>0</v>
      </c>
      <c s="388" r="DB50"/>
      <c s="406" r="DC50"/>
      <c s="385" r="DD50"/>
      <c s="861" r="DE50"/>
      <c s="274" r="DF50"/>
      <c s="321" r="DG50"/>
      <c s="418" r="DH50"/>
      <c s="550" r="DI50"/>
      <c s="550" r="DJ50"/>
      <c t="str" s="620" r="DK50">
        <f>IF((COUNT(DJ50:DJ$146,DL50:DL$146)=0),NA(),IF(ISBLANK(DJ50),DK49,(DK49+(DJ50-DL49))))</f>
        <v>#N/A:explicit</v>
      </c>
      <c s="550" r="DL50"/>
      <c t="str" s="620" r="DM50">
        <f>IF(OR(ISBLANK(DL50),ISNUMBER(DJ51)),NA(),(DK50-DL50))</f>
        <v>#N/A:explicit</v>
      </c>
      <c t="b" s="895" r="DN50">
        <v>0</v>
      </c>
      <c s="631" r="DO50"/>
      <c t="str" s="309" r="DP50">
        <f>IF((COUNT(DI50:DI$146)=0),NA(),IF(ISBLANK(DI50),IF(ISBLANK(DI49),MAX(DI$46:DI50),DI49),DI50))</f>
        <v>#N/A:explicit</v>
      </c>
      <c t="str" s="861" r="DQ50">
        <f>IF(ISNA(DM50),IF(ISNUMBER(DP50),DQ49,NA()),DM50)</f>
        <v>#N/A:explicit</v>
      </c>
      <c s="861" r="DR50">
        <f>IF(ISNUMBER(DQ50),DQ50,(DK$46+1000))</f>
        <v>1000</v>
      </c>
      <c t="str" s="588" r="DS50">
        <f>IF((DN50=TRUE),NA(),IF((DS$44=(DK$46-MAX(DL$46:DL$146))),NA(),DS$44))</f>
        <v>#N/A:explicit</v>
      </c>
      <c s="588" r="DT50">
        <f>IF((ISNA(((DQ50*DP50)*DQ49))),0,(IF((DP50&lt;DP49),-1,1)*(IF((DN49=FALSE),IF((DN50=FALSE),IF(ISNA(DQ50),0,IF((DQ49&lt;DS$44),IF((DQ50&lt;DS$44),(((DP50-DP49)^2)^0.5),(((((DS$44-DQ49)*(DP50-DP49))/(DQ50-DQ49))^2)^0.5)),IF((DQ50&lt;DS$44),(((((DS$44-DQ50)*(DP50-DP49))/(DQ49-DQ50))^2)^0.5),0))),0),0))))</f>
        <v>0</v>
      </c>
      <c s="588" r="DU50">
        <f>IF(ISNA((DQ50*DQ49)),0,IF((DN49=FALSE),IF((DN50=FALSE),IF(ISNA(DM50),0,IF((DQ49&lt;DS$44),IF((DQ50&lt;DS$44),((DS$44-((DQ49+DQ50)*0.5))*DT50),(((DS$44-DQ49)*0.5)*DT50)),IF((DQ50&lt;DS$44),(((DS$44-DQ50)*0.5)*DT50),0))),0),0))</f>
        <v>0</v>
      </c>
      <c s="588" r="DV50">
        <f>IF(ISNA((DQ50*DQ49)),0,IF((DN49=FALSE),IF((DN50=FALSE),IF(ISNA(DQ50),0,IF((DQ49&lt;DS$44),IF((DQ50&lt;DS$44),(((DT50^2)+((DQ50-DQ49)^2))^0.5),(((DT50^2)+((DS$44-DQ49)^2))^0.5)),IF((DQ50&lt;DS$44),(((DT50^2)+((DS$44-DQ50)^2))^0.5),0))),0),0))</f>
        <v>0</v>
      </c>
      <c s="588" r="DW50">
        <f>IF(ISNUMBER((DQ50*DQ49)),IF((DQ49&gt;=DC$148),IF((DQ50&lt;DC$148),1,0),IF((DQ50&gt;=DC$148),IF((DQ49&lt;DC$148),1,0),0)),0)</f>
        <v>0</v>
      </c>
      <c s="588" r="DX50">
        <f>IF(ISNA((DQ50*DQ49)),0,(IF((DP50&lt;DP49),-1,1)*(IF(ISNA(DQ50),0,IF((DQ49&lt;DC$148),IF((DQ50&lt;DC$148),(((DP50-DP49)^2)^0.5),(((((DC$148-DQ49)*(DP50-DP49))/(DQ50-DQ49))^2)^0.5)),IF((DQ50&lt;DC$148),(((((DC$148-DQ50)*(DP50-DP49))/(DQ49-DQ50))^2)^0.5),0))))))</f>
        <v>0</v>
      </c>
      <c s="441" r="DY50">
        <f>IF((DU50&gt;0),(MAX(DY$47:DY49)+1),0)</f>
        <v>0</v>
      </c>
      <c s="388" r="DZ50"/>
      <c s="406" r="EA50"/>
      <c s="385" r="EB50"/>
      <c s="861" r="EC50"/>
      <c s="274" r="ED50"/>
      <c s="321" r="EE50"/>
      <c s="418" r="EF50"/>
      <c s="550" r="EG50"/>
      <c s="550" r="EH50"/>
      <c t="str" s="620" r="EI50">
        <f>IF((COUNT(EH50:EH$146,EJ50:EJ$146)=0),NA(),IF(ISBLANK(EH50),EI49,(EI49+(EH50-EJ49))))</f>
        <v>#N/A:explicit</v>
      </c>
      <c s="550" r="EJ50"/>
      <c t="str" s="620" r="EK50">
        <f>IF(OR(ISBLANK(EJ50),ISNUMBER(EH51)),NA(),(EI50-EJ50))</f>
        <v>#N/A:explicit</v>
      </c>
      <c t="b" s="895" r="EL50">
        <v>0</v>
      </c>
      <c s="631" r="EM50"/>
      <c t="str" s="309" r="EN50">
        <f>IF((COUNT(EG50:EG$146)=0),NA(),IF(ISBLANK(EG50),IF(ISBLANK(EG49),MAX(EG$46:EG50),EG49),EG50))</f>
        <v>#N/A:explicit</v>
      </c>
      <c t="str" s="861" r="EO50">
        <f>IF(ISNA(EK50),IF(ISNUMBER(EN50),EO49,NA()),EK50)</f>
        <v>#N/A:explicit</v>
      </c>
      <c s="861" r="EP50">
        <f>IF(ISNUMBER(EO50),EO50,(EI$46+1000))</f>
        <v>1000</v>
      </c>
      <c t="str" s="588" r="EQ50">
        <f>IF((EL50=TRUE),NA(),IF((EQ$44=(EI$46-MAX(EJ$46:EJ$146))),NA(),EQ$44))</f>
        <v>#N/A:explicit</v>
      </c>
      <c s="588" r="ER50">
        <f>IF((ISNA(((EO50*EN50)*EO49))),0,(IF((EN50&lt;EN49),-1,1)*(IF((EL49=FALSE),IF((EL50=FALSE),IF(ISNA(EO50),0,IF((EO49&lt;EQ$44),IF((EO50&lt;EQ$44),(((EN50-EN49)^2)^0.5),(((((EQ$44-EO49)*(EN50-EN49))/(EO50-EO49))^2)^0.5)),IF((EO50&lt;EQ$44),(((((EQ$44-EO50)*(EN50-EN49))/(EO49-EO50))^2)^0.5),0))),0),0))))</f>
        <v>0</v>
      </c>
      <c s="588" r="ES50">
        <f>IF(ISNA((EO50*EO49)),0,IF((EL49=FALSE),IF((EL50=FALSE),IF(ISNA(EK50),0,IF((EO49&lt;EQ$44),IF((EO50&lt;EQ$44),((EQ$44-((EO49+EO50)*0.5))*ER50),(((EQ$44-EO49)*0.5)*ER50)),IF((EO50&lt;EQ$44),(((EQ$44-EO50)*0.5)*ER50),0))),0),0))</f>
        <v>0</v>
      </c>
      <c s="588" r="ET50">
        <f>IF(ISNA((EO50*EO49)),0,IF((EL49=FALSE),IF((EL50=FALSE),IF(ISNA(EO50),0,IF((EO49&lt;EQ$44),IF((EO50&lt;EQ$44),(((ER50^2)+((EO50-EO49)^2))^0.5),(((ER50^2)+((EQ$44-EO49)^2))^0.5)),IF((EO50&lt;EQ$44),(((ER50^2)+((EQ$44-EO50)^2))^0.5),0))),0),0))</f>
        <v>0</v>
      </c>
      <c s="588" r="EU50">
        <f>IF(ISNUMBER((EO50*EO49)),IF((EO49&gt;=EA$148),IF((EO50&lt;EA$148),1,0),IF((EO50&gt;=EA$148),IF((EO49&lt;EA$148),1,0),0)),0)</f>
        <v>0</v>
      </c>
      <c s="588" r="EV50">
        <f>IF(ISNA((EO50*EO49)),0,(IF((EN50&lt;EN49),-1,1)*(IF(ISNA(EO50),0,IF((EO49&lt;EA$148),IF((EO50&lt;EA$148),(((EN50-EN49)^2)^0.5),(((((EA$148-EO49)*(EN50-EN49))/(EO50-EO49))^2)^0.5)),IF((EO50&lt;EA$148),(((((EA$148-EO50)*(EN50-EN49))/(EO49-EO50))^2)^0.5),0))))))</f>
        <v>0</v>
      </c>
      <c s="441" r="EW50">
        <f>IF((ES50&gt;0),(MAX(EW$47:EW49)+1),0)</f>
        <v>0</v>
      </c>
      <c s="388" r="EX50"/>
      <c s="406" r="EY50"/>
      <c s="385" r="EZ50"/>
      <c s="861" r="FA50"/>
      <c s="274" r="FB50"/>
      <c s="321" r="FC50"/>
      <c s="418" r="FD50"/>
      <c s="550" r="FE50"/>
      <c s="550" r="FF50"/>
      <c t="str" s="620" r="FG50">
        <f>IF((COUNT(FF50:FF$146,FH50:FH$146)=0),NA(),IF(ISBLANK(FF50),FG49,(FG49+(FF50-FH49))))</f>
        <v>#N/A:explicit</v>
      </c>
      <c s="550" r="FH50"/>
      <c t="str" s="620" r="FI50">
        <f>IF(OR(ISBLANK(FH50),ISNUMBER(FF51)),NA(),(FG50-FH50))</f>
        <v>#N/A:explicit</v>
      </c>
      <c t="b" s="895" r="FJ50">
        <v>0</v>
      </c>
      <c s="631" r="FK50"/>
      <c t="str" s="309" r="FL50">
        <f>IF((COUNT(FE50:FE$146)=0),NA(),IF(ISBLANK(FE50),IF(ISBLANK(FE49),MAX(FE$46:FE50),FE49),FE50))</f>
        <v>#N/A:explicit</v>
      </c>
      <c t="str" s="861" r="FM50">
        <f>IF(ISNA(FI50),IF(ISNUMBER(FL50),FM49,NA()),FI50)</f>
        <v>#N/A:explicit</v>
      </c>
      <c s="861" r="FN50">
        <f>IF(ISNUMBER(FM50),FM50,(FG$46+1000))</f>
        <v>1000</v>
      </c>
      <c t="str" s="588" r="FO50">
        <f>IF((FJ50=TRUE),NA(),IF((FO$44=(FG$46-MAX(FH$46:FH$146))),NA(),FO$44))</f>
        <v>#N/A:explicit</v>
      </c>
      <c s="588" r="FP50">
        <f>IF((ISNA(((FM50*FL50)*FM49))),0,(IF((FL50&lt;FL49),-1,1)*(IF((FJ49=FALSE),IF((FJ50=FALSE),IF(ISNA(FM50),0,IF((FM49&lt;FO$44),IF((FM50&lt;FO$44),(((FL50-FL49)^2)^0.5),(((((FO$44-FM49)*(FL50-FL49))/(FM50-FM49))^2)^0.5)),IF((FM50&lt;FO$44),(((((FO$44-FM50)*(FL50-FL49))/(FM49-FM50))^2)^0.5),0))),0),0))))</f>
        <v>0</v>
      </c>
      <c s="588" r="FQ50">
        <f>IF(ISNA((FM50*FM49)),0,IF((FJ49=FALSE),IF((FJ50=FALSE),IF(ISNA(FI50),0,IF((FM49&lt;FO$44),IF((FM50&lt;FO$44),((FO$44-((FM49+FM50)*0.5))*FP50),(((FO$44-FM49)*0.5)*FP50)),IF((FM50&lt;FO$44),(((FO$44-FM50)*0.5)*FP50),0))),0),0))</f>
        <v>0</v>
      </c>
      <c s="588" r="FR50">
        <f>IF(ISNA((FM50*FM49)),0,IF((FJ49=FALSE),IF((FJ50=FALSE),IF(ISNA(FM50),0,IF((FM49&lt;FO$44),IF((FM50&lt;FO$44),(((FP50^2)+((FM50-FM49)^2))^0.5),(((FP50^2)+((FO$44-FM49)^2))^0.5)),IF((FM50&lt;FO$44),(((FP50^2)+((FO$44-FM50)^2))^0.5),0))),0),0))</f>
        <v>0</v>
      </c>
      <c s="588" r="FS50">
        <f>IF(ISNUMBER((FM50*FM49)),IF((FM49&gt;=EY$148),IF((FM50&lt;EY$148),1,0),IF((FM50&gt;=EY$148),IF((FM49&lt;EY$148),1,0),0)),0)</f>
        <v>0</v>
      </c>
      <c s="588" r="FT50">
        <f>IF(ISNA((FM50*FM49)),0,(IF((FL50&lt;FL49),-1,1)*(IF(ISNA(FM50),0,IF((FM49&lt;EY$148),IF((FM50&lt;EY$148),(((FL50-FL49)^2)^0.5),(((((EY$148-FM49)*(FL50-FL49))/(FM50-FM49))^2)^0.5)),IF((FM50&lt;EY$148),(((((EY$148-FM50)*(FL50-FL49))/(FM49-FM50))^2)^0.5),0))))))</f>
        <v>0</v>
      </c>
      <c s="441" r="FU50">
        <f>IF((FQ50&gt;0),(MAX(FU$47:FU49)+1),0)</f>
        <v>0</v>
      </c>
      <c s="222" r="FV50"/>
      <c s="125" r="FW50"/>
      <c s="125" r="FX50"/>
      <c s="125" r="FY50"/>
      <c s="125" r="FZ50"/>
      <c s="125" r="GA50"/>
      <c s="125" r="GB50"/>
      <c s="125" r="GC50"/>
      <c s="125" r="GD50"/>
      <c s="125" r="GE50"/>
      <c s="125" r="GF50"/>
      <c s="125" r="GG50"/>
      <c s="125" r="GH50"/>
      <c s="125" r="GI50"/>
      <c s="125" r="GJ50"/>
      <c s="125" r="GK50"/>
      <c s="125" r="GL50"/>
      <c s="125" r="GM50"/>
      <c s="125" r="GN50"/>
      <c s="125" r="GO50"/>
      <c s="125" r="GP50"/>
      <c s="125" r="GQ50"/>
      <c s="125" r="GR50"/>
      <c s="125" r="GS50"/>
      <c s="125" r="GT50"/>
      <c s="125" r="GU50"/>
      <c s="125" r="GV50"/>
      <c s="125" r="GW50"/>
      <c s="125" r="GX50"/>
      <c s="125" r="GY50"/>
      <c s="125" r="GZ50"/>
      <c s="125" r="HA50"/>
      <c s="125" r="HB50"/>
    </row>
    <row customHeight="1" r="51" ht="13.5">
      <c s="822" r="A51"/>
      <c s="406" r="B51"/>
      <c s="886" r="C51"/>
      <c s="886" r="D51"/>
      <c s="566" r="E51"/>
      <c s="886" r="F51"/>
      <c s="566" r="G51"/>
      <c s="566" r="H51"/>
      <c s="418" r="I51"/>
      <c s="702" r="J51"/>
      <c s="406" r="K51"/>
      <c t="s" s="729" r="L51">
        <v>590</v>
      </c>
      <c s="566" r="M51"/>
      <c s="529" r="N51"/>
      <c s="321" r="O51"/>
      <c s="418" r="P51"/>
      <c s="550" r="Q51"/>
      <c s="550" r="R51"/>
      <c t="str" s="620" r="S51">
        <f>IF((COUNT(R51:R$146,T51:T$146)=0),NA(),IF(ISBLANK(R51),S50,(S50+(R51-T50))))</f>
        <v>#N/A:explicit</v>
      </c>
      <c s="550" r="T51"/>
      <c t="str" s="620" r="U51">
        <f>IF(OR(ISBLANK(T51),ISNUMBER(R52)),NA(),(S51-T51))</f>
        <v>#N/A:explicit</v>
      </c>
      <c t="b" s="895" r="V51">
        <v>0</v>
      </c>
      <c s="631" r="W51"/>
      <c t="str" s="309" r="X51">
        <f>IF((COUNT(Q51:Q$146)=0),NA(),IF(ISBLANK(Q51),IF(ISBLANK(Q50),MAX(Q$46:Q51),Q50),Q51))</f>
        <v>#N/A:explicit</v>
      </c>
      <c t="str" s="861" r="Y51">
        <f>IF(ISNA(U51),IF(ISNUMBER(X51),Y50,NA()),U51)</f>
        <v>#N/A:explicit</v>
      </c>
      <c s="861" r="Z51">
        <f>IF(ISNUMBER(Y51),Y51,(S$46+1000))</f>
        <v>1000</v>
      </c>
      <c t="str" s="588" r="AA51">
        <f>IF((V51=TRUE),NA(),IF((AA$44=(S$46-MAX(T$46:T$146))),NA(),AA$44))</f>
        <v>#N/A:explicit</v>
      </c>
      <c s="588" r="AB51">
        <f>IF((ISNA(((Y51*X51)*Y50))),0,(IF((X51&lt;X50),-1,1)*(IF((V50=FALSE),IF((V51=FALSE),IF(ISNA(Y51),0,IF((Y50&lt;AA$44),IF((Y51&lt;AA$44),(((X51-X50)^2)^0.5),(((((AA$44-Y50)*(X51-X50))/(Y51-Y50))^2)^0.5)),IF((Y51&lt;AA$44),(((((AA$44-Y51)*(X51-X50))/(Y50-Y51))^2)^0.5),0))),0),0))))</f>
        <v>0</v>
      </c>
      <c s="588" r="AC51">
        <f>IF(ISNA((Y51*Y50)),0,IF((V50=FALSE),IF((V51=FALSE),IF(ISNA(U51),0,IF((Y50&lt;AA$44),IF((Y51&lt;AA$44),((AA$44-((Y50+Y51)*0.5))*AB51),(((AA$44-Y50)*0.5)*AB51)),IF((Y51&lt;AA$44),(((AA$44-Y51)*0.5)*AB51),0))),0),0))</f>
        <v>0</v>
      </c>
      <c s="588" r="AD51">
        <f>IF(ISNA((Y51*Y50)),0,IF((V50=FALSE),IF((V51=FALSE),IF(ISNA(Y51),0,IF((Y50&lt;AA$44),IF((Y51&lt;AA$44),(((AB51^2)+((Y51-Y50)^2))^0.5),(((AB51^2)+((AA$44-Y50)^2))^0.5)),IF((Y51&lt;AA$44),(((AB51^2)+((AA$44-Y51)^2))^0.5),0))),0),0))</f>
        <v>0</v>
      </c>
      <c s="588" r="AE51">
        <f>IF(ISNUMBER((Y51*Y50)),IF((Y50&gt;=K$148),IF((Y51&lt;K$148),1,0),IF((Y51&gt;=K$148),IF((Y50&lt;K$148),1,0),0)),0)</f>
        <v>0</v>
      </c>
      <c s="588" r="AF51">
        <f>IF(ISNA((Y51*Y50)),0,(IF((X51&lt;X50),-1,1)*(IF(ISNA(Y51),0,IF((Y50&lt;K$148),IF((Y51&lt;K$148),(((X51-X50)^2)^0.5),(((((K$148-Y50)*(X51-X50))/(Y51-Y50))^2)^0.5)),IF((Y51&lt;K$148),(((((K$148-Y51)*(X51-X50))/(Y50-Y51))^2)^0.5),0))))))</f>
        <v>0</v>
      </c>
      <c s="441" r="AG51">
        <f>IF((AC51&gt;0),(MAX(AG$47:AG50)+1),0)</f>
        <v>0</v>
      </c>
      <c s="388" r="AH51"/>
      <c s="406" r="AI51"/>
      <c t="s" s="729" r="AJ51">
        <v>590</v>
      </c>
      <c s="566" r="AK51"/>
      <c s="529" r="AL51"/>
      <c s="321" r="AM51"/>
      <c s="418" r="AN51"/>
      <c s="550" r="AO51"/>
      <c s="550" r="AP51"/>
      <c t="str" s="620" r="AQ51">
        <f>IF((COUNT(AP51:AP$146,AR51:AR$146)=0),NA(),IF(ISBLANK(AP51),AQ50,(AQ50+(AP51-AR50))))</f>
        <v>#N/A:explicit</v>
      </c>
      <c s="550" r="AR51"/>
      <c t="str" s="620" r="AS51">
        <f>IF(OR(ISBLANK(AR51),ISNUMBER(AP52)),NA(),(AQ51-AR51))</f>
        <v>#N/A:explicit</v>
      </c>
      <c t="b" s="895" r="AT51">
        <v>0</v>
      </c>
      <c s="631" r="AU51"/>
      <c t="str" s="309" r="AV51">
        <f>IF((COUNT(AO51:AO$146)=0),NA(),IF(ISBLANK(AO51),IF(ISBLANK(AO50),MAX(AO$46:AO51),AO50),AO51))</f>
        <v>#N/A:explicit</v>
      </c>
      <c t="str" s="861" r="AW51">
        <f>IF(ISNA(AS51),IF(ISNUMBER(AV51),AW50,NA()),AS51)</f>
        <v>#N/A:explicit</v>
      </c>
      <c s="861" r="AX51">
        <f>IF(ISNUMBER(AW51),AW51,(AQ$46+1000))</f>
        <v>1000</v>
      </c>
      <c t="str" s="588" r="AY51">
        <f>IF((AT51=TRUE),NA(),IF((AY$44=(AQ$46-MAX(AR$46:AR$146))),NA(),AY$44))</f>
        <v>#N/A:explicit</v>
      </c>
      <c s="588" r="AZ51">
        <f>IF((ISNA(((AW51*AV51)*AW50))),0,(IF((AV51&lt;AV50),-1,1)*(IF((AT50=FALSE),IF((AT51=FALSE),IF(ISNA(AW51),0,IF((AW50&lt;AY$44),IF((AW51&lt;AY$44),(((AV51-AV50)^2)^0.5),(((((AY$44-AW50)*(AV51-AV50))/(AW51-AW50))^2)^0.5)),IF((AW51&lt;AY$44),(((((AY$44-AW51)*(AV51-AV50))/(AW50-AW51))^2)^0.5),0))),0),0))))</f>
        <v>0</v>
      </c>
      <c s="588" r="BA51">
        <f>IF(ISNA((AW51*AW50)),0,IF((AT50=FALSE),IF((AT51=FALSE),IF(ISNA(AS51),0,IF((AW50&lt;AY$44),IF((AW51&lt;AY$44),((AY$44-((AW50+AW51)*0.5))*AZ51),(((AY$44-AW50)*0.5)*AZ51)),IF((AW51&lt;AY$44),(((AY$44-AW51)*0.5)*AZ51),0))),0),0))</f>
        <v>0</v>
      </c>
      <c s="588" r="BB51">
        <f>IF(ISNA((AW51*AW50)),0,IF((AT50=FALSE),IF((AT51=FALSE),IF(ISNA(AW51),0,IF((AW50&lt;AY$44),IF((AW51&lt;AY$44),(((AZ51^2)+((AW51-AW50)^2))^0.5),(((AZ51^2)+((AY$44-AW50)^2))^0.5)),IF((AW51&lt;AY$44),(((AZ51^2)+((AY$44-AW51)^2))^0.5),0))),0),0))</f>
        <v>0</v>
      </c>
      <c s="588" r="BC51">
        <f>IF(ISNUMBER((AW51*AW50)),IF((AW50&gt;=AI$148),IF((AW51&lt;AI$148),1,0),IF((AW51&gt;=AI$148),IF((AW50&lt;AI$148),1,0),0)),0)</f>
        <v>0</v>
      </c>
      <c s="588" r="BD51">
        <f>IF(ISNA((AW51*AW50)),0,(IF((AV51&lt;AV50),-1,1)*(IF(ISNA(AW51),0,IF((AW50&lt;AI$148),IF((AW51&lt;AI$148),(((AV51-AV50)^2)^0.5),(((((AI$148-AW50)*(AV51-AV50))/(AW51-AW50))^2)^0.5)),IF((AW51&lt;AI$148),(((((AI$148-AW51)*(AV51-AV50))/(AW50-AW51))^2)^0.5),0))))))</f>
        <v>0</v>
      </c>
      <c s="441" r="BE51">
        <f>IF((BA51&gt;0),(MAX(BE$47:BE50)+1),0)</f>
        <v>0</v>
      </c>
      <c s="388" r="BF51"/>
      <c s="406" r="BG51"/>
      <c t="s" s="729" r="BH51">
        <v>590</v>
      </c>
      <c s="566" r="BI51"/>
      <c s="529" r="BJ51"/>
      <c s="321" r="BK51"/>
      <c s="418" r="BL51"/>
      <c s="550" r="BM51"/>
      <c s="550" r="BN51"/>
      <c t="str" s="620" r="BO51">
        <f>IF((COUNT(BN51:BN$146,BP51:BP$146)=0),NA(),IF(ISBLANK(BN51),BO50,(BO50+(BN51-BP50))))</f>
        <v>#N/A:explicit</v>
      </c>
      <c s="550" r="BP51"/>
      <c t="str" s="620" r="BQ51">
        <f>IF(OR(ISBLANK(BP51),ISNUMBER(BN52)),NA(),(BO51-BP51))</f>
        <v>#N/A:explicit</v>
      </c>
      <c t="b" s="895" r="BR51">
        <v>0</v>
      </c>
      <c s="631" r="BS51"/>
      <c t="str" s="309" r="BT51">
        <f>IF((COUNT(BM51:BM$146)=0),NA(),IF(ISBLANK(BM51),IF(ISBLANK(BM50),MAX(BM$46:BM51),BM50),BM51))</f>
        <v>#N/A:explicit</v>
      </c>
      <c t="str" s="861" r="BU51">
        <f>IF(ISNA(BQ51),IF(ISNUMBER(BT51),BU50,NA()),BQ51)</f>
        <v>#N/A:explicit</v>
      </c>
      <c s="861" r="BV51">
        <f>IF(ISNUMBER(BU51),BU51,(BO$46+1000))</f>
        <v>1000</v>
      </c>
      <c t="str" s="588" r="BW51">
        <f>IF((BR51=TRUE),NA(),IF((BW$44=(BO$46-MAX(BP$46:BP$146))),NA(),BW$44))</f>
        <v>#N/A:explicit</v>
      </c>
      <c s="588" r="BX51">
        <f>IF((ISNA(((BU51*BT51)*BU50))),0,(IF((BT51&lt;BT50),-1,1)*(IF((BR50=FALSE),IF((BR51=FALSE),IF(ISNA(BU51),0,IF((BU50&lt;BW$44),IF((BU51&lt;BW$44),(((BT51-BT50)^2)^0.5),(((((BW$44-BU50)*(BT51-BT50))/(BU51-BU50))^2)^0.5)),IF((BU51&lt;BW$44),(((((BW$44-BU51)*(BT51-BT50))/(BU50-BU51))^2)^0.5),0))),0),0))))</f>
        <v>0</v>
      </c>
      <c s="588" r="BY51">
        <f>IF(ISNA((BU51*BU50)),0,IF((BR50=FALSE),IF((BR51=FALSE),IF(ISNA(BQ51),0,IF((BU50&lt;BW$44),IF((BU51&lt;BW$44),((BW$44-((BU50+BU51)*0.5))*BX51),(((BW$44-BU50)*0.5)*BX51)),IF((BU51&lt;BW$44),(((BW$44-BU51)*0.5)*BX51),0))),0),0))</f>
        <v>0</v>
      </c>
      <c s="588" r="BZ51">
        <f>IF(ISNA((BU51*BU50)),0,IF((BR50=FALSE),IF((BR51=FALSE),IF(ISNA(BU51),0,IF((BU50&lt;BW$44),IF((BU51&lt;BW$44),(((BX51^2)+((BU51-BU50)^2))^0.5),(((BX51^2)+((BW$44-BU50)^2))^0.5)),IF((BU51&lt;BW$44),(((BX51^2)+((BW$44-BU51)^2))^0.5),0))),0),0))</f>
        <v>0</v>
      </c>
      <c s="588" r="CA51">
        <f>IF(ISNUMBER((BU51*BU50)),IF((BU50&gt;=BG$148),IF((BU51&lt;BG$148),1,0),IF((BU51&gt;=BG$148),IF((BU50&lt;BG$148),1,0),0)),0)</f>
        <v>0</v>
      </c>
      <c s="588" r="CB51">
        <f>IF(ISNA((BU51*BU50)),0,(IF((BT51&lt;BT50),-1,1)*(IF(ISNA(BU51),0,IF((BU50&lt;BG$148),IF((BU51&lt;BG$148),(((BT51-BT50)^2)^0.5),(((((BG$148-BU50)*(BT51-BT50))/(BU51-BU50))^2)^0.5)),IF((BU51&lt;BG$148),(((((BG$148-BU51)*(BT51-BT50))/(BU50-BU51))^2)^0.5),0))))))</f>
        <v>0</v>
      </c>
      <c s="441" r="CC51">
        <f>IF((BY51&gt;0),(MAX(CC$47:CC50)+1),0)</f>
        <v>0</v>
      </c>
      <c s="388" r="CD51"/>
      <c s="406" r="CE51"/>
      <c t="s" s="729" r="CF51">
        <v>590</v>
      </c>
      <c s="566" r="CG51"/>
      <c s="529" r="CH51"/>
      <c s="321" r="CI51"/>
      <c s="418" r="CJ51"/>
      <c s="550" r="CK51"/>
      <c s="550" r="CL51"/>
      <c t="str" s="620" r="CM51">
        <f>IF((COUNT(CL51:CL$146,CN51:CN$146)=0),NA(),IF(ISBLANK(CL51),CM50,(CM50+(CL51-CN50))))</f>
        <v>#N/A:explicit</v>
      </c>
      <c s="550" r="CN51"/>
      <c t="str" s="620" r="CO51">
        <f>IF(OR(ISBLANK(CN51),ISNUMBER(CL52)),NA(),(CM51-CN51))</f>
        <v>#N/A:explicit</v>
      </c>
      <c t="b" s="895" r="CP51">
        <v>0</v>
      </c>
      <c s="631" r="CQ51"/>
      <c t="str" s="309" r="CR51">
        <f>IF((COUNT(CK51:CK$146)=0),NA(),IF(ISBLANK(CK51),IF(ISBLANK(CK50),MAX(CK$46:CK51),CK50),CK51))</f>
        <v>#N/A:explicit</v>
      </c>
      <c t="str" s="861" r="CS51">
        <f>IF(ISNA(CO51),IF(ISNUMBER(CR51),CS50,NA()),CO51)</f>
        <v>#N/A:explicit</v>
      </c>
      <c s="861" r="CT51">
        <f>IF(ISNUMBER(CS51),CS51,(CM$46+1000))</f>
        <v>1000</v>
      </c>
      <c t="str" s="588" r="CU51">
        <f>IF((CP51=TRUE),NA(),IF((CU$44=(CM$46-MAX(CN$46:CN$146))),NA(),CU$44))</f>
        <v>#N/A:explicit</v>
      </c>
      <c s="588" r="CV51">
        <f>IF((ISNA(((CS51*CR51)*CS50))),0,(IF((CR51&lt;CR50),-1,1)*(IF((CP50=FALSE),IF((CP51=FALSE),IF(ISNA(CS51),0,IF((CS50&lt;CU$44),IF((CS51&lt;CU$44),(((CR51-CR50)^2)^0.5),(((((CU$44-CS50)*(CR51-CR50))/(CS51-CS50))^2)^0.5)),IF((CS51&lt;CU$44),(((((CU$44-CS51)*(CR51-CR50))/(CS50-CS51))^2)^0.5),0))),0),0))))</f>
        <v>0</v>
      </c>
      <c s="588" r="CW51">
        <f>IF(ISNA((CS51*CS50)),0,IF((CP50=FALSE),IF((CP51=FALSE),IF(ISNA(CO51),0,IF((CS50&lt;CU$44),IF((CS51&lt;CU$44),((CU$44-((CS50+CS51)*0.5))*CV51),(((CU$44-CS50)*0.5)*CV51)),IF((CS51&lt;CU$44),(((CU$44-CS51)*0.5)*CV51),0))),0),0))</f>
        <v>0</v>
      </c>
      <c s="588" r="CX51">
        <f>IF(ISNA((CS51*CS50)),0,IF((CP50=FALSE),IF((CP51=FALSE),IF(ISNA(CS51),0,IF((CS50&lt;CU$44),IF((CS51&lt;CU$44),(((CV51^2)+((CS51-CS50)^2))^0.5),(((CV51^2)+((CU$44-CS50)^2))^0.5)),IF((CS51&lt;CU$44),(((CV51^2)+((CU$44-CS51)^2))^0.5),0))),0),0))</f>
        <v>0</v>
      </c>
      <c s="588" r="CY51">
        <f>IF(ISNUMBER((CS51*CS50)),IF((CS50&gt;=CE$148),IF((CS51&lt;CE$148),1,0),IF((CS51&gt;=CE$148),IF((CS50&lt;CE$148),1,0),0)),0)</f>
        <v>0</v>
      </c>
      <c s="588" r="CZ51">
        <f>IF(ISNA((CS51*CS50)),0,(IF((CR51&lt;CR50),-1,1)*(IF(ISNA(CS51),0,IF((CS50&lt;CE$148),IF((CS51&lt;CE$148),(((CR51-CR50)^2)^0.5),(((((CE$148-CS50)*(CR51-CR50))/(CS51-CS50))^2)^0.5)),IF((CS51&lt;CE$148),(((((CE$148-CS51)*(CR51-CR50))/(CS50-CS51))^2)^0.5),0))))))</f>
        <v>0</v>
      </c>
      <c s="441" r="DA51">
        <f>IF((CW51&gt;0),(MAX(DA$47:DA50)+1),0)</f>
        <v>0</v>
      </c>
      <c s="388" r="DB51"/>
      <c s="406" r="DC51"/>
      <c t="s" s="729" r="DD51">
        <v>590</v>
      </c>
      <c s="566" r="DE51"/>
      <c s="529" r="DF51"/>
      <c s="321" r="DG51"/>
      <c s="418" r="DH51"/>
      <c s="550" r="DI51"/>
      <c s="550" r="DJ51"/>
      <c t="str" s="620" r="DK51">
        <f>IF((COUNT(DJ51:DJ$146,DL51:DL$146)=0),NA(),IF(ISBLANK(DJ51),DK50,(DK50+(DJ51-DL50))))</f>
        <v>#N/A:explicit</v>
      </c>
      <c s="550" r="DL51"/>
      <c t="str" s="620" r="DM51">
        <f>IF(OR(ISBLANK(DL51),ISNUMBER(DJ52)),NA(),(DK51-DL51))</f>
        <v>#N/A:explicit</v>
      </c>
      <c t="b" s="895" r="DN51">
        <v>0</v>
      </c>
      <c s="631" r="DO51"/>
      <c t="str" s="309" r="DP51">
        <f>IF((COUNT(DI51:DI$146)=0),NA(),IF(ISBLANK(DI51),IF(ISBLANK(DI50),MAX(DI$46:DI51),DI50),DI51))</f>
        <v>#N/A:explicit</v>
      </c>
      <c t="str" s="861" r="DQ51">
        <f>IF(ISNA(DM51),IF(ISNUMBER(DP51),DQ50,NA()),DM51)</f>
        <v>#N/A:explicit</v>
      </c>
      <c s="861" r="DR51">
        <f>IF(ISNUMBER(DQ51),DQ51,(DK$46+1000))</f>
        <v>1000</v>
      </c>
      <c t="str" s="588" r="DS51">
        <f>IF((DN51=TRUE),NA(),IF((DS$44=(DK$46-MAX(DL$46:DL$146))),NA(),DS$44))</f>
        <v>#N/A:explicit</v>
      </c>
      <c s="588" r="DT51">
        <f>IF((ISNA(((DQ51*DP51)*DQ50))),0,(IF((DP51&lt;DP50),-1,1)*(IF((DN50=FALSE),IF((DN51=FALSE),IF(ISNA(DQ51),0,IF((DQ50&lt;DS$44),IF((DQ51&lt;DS$44),(((DP51-DP50)^2)^0.5),(((((DS$44-DQ50)*(DP51-DP50))/(DQ51-DQ50))^2)^0.5)),IF((DQ51&lt;DS$44),(((((DS$44-DQ51)*(DP51-DP50))/(DQ50-DQ51))^2)^0.5),0))),0),0))))</f>
        <v>0</v>
      </c>
      <c s="588" r="DU51">
        <f>IF(ISNA((DQ51*DQ50)),0,IF((DN50=FALSE),IF((DN51=FALSE),IF(ISNA(DM51),0,IF((DQ50&lt;DS$44),IF((DQ51&lt;DS$44),((DS$44-((DQ50+DQ51)*0.5))*DT51),(((DS$44-DQ50)*0.5)*DT51)),IF((DQ51&lt;DS$44),(((DS$44-DQ51)*0.5)*DT51),0))),0),0))</f>
        <v>0</v>
      </c>
      <c s="588" r="DV51">
        <f>IF(ISNA((DQ51*DQ50)),0,IF((DN50=FALSE),IF((DN51=FALSE),IF(ISNA(DQ51),0,IF((DQ50&lt;DS$44),IF((DQ51&lt;DS$44),(((DT51^2)+((DQ51-DQ50)^2))^0.5),(((DT51^2)+((DS$44-DQ50)^2))^0.5)),IF((DQ51&lt;DS$44),(((DT51^2)+((DS$44-DQ51)^2))^0.5),0))),0),0))</f>
        <v>0</v>
      </c>
      <c s="588" r="DW51">
        <f>IF(ISNUMBER((DQ51*DQ50)),IF((DQ50&gt;=DC$148),IF((DQ51&lt;DC$148),1,0),IF((DQ51&gt;=DC$148),IF((DQ50&lt;DC$148),1,0),0)),0)</f>
        <v>0</v>
      </c>
      <c s="588" r="DX51">
        <f>IF(ISNA((DQ51*DQ50)),0,(IF((DP51&lt;DP50),-1,1)*(IF(ISNA(DQ51),0,IF((DQ50&lt;DC$148),IF((DQ51&lt;DC$148),(((DP51-DP50)^2)^0.5),(((((DC$148-DQ50)*(DP51-DP50))/(DQ51-DQ50))^2)^0.5)),IF((DQ51&lt;DC$148),(((((DC$148-DQ51)*(DP51-DP50))/(DQ50-DQ51))^2)^0.5),0))))))</f>
        <v>0</v>
      </c>
      <c s="441" r="DY51">
        <f>IF((DU51&gt;0),(MAX(DY$47:DY50)+1),0)</f>
        <v>0</v>
      </c>
      <c s="388" r="DZ51"/>
      <c s="406" r="EA51"/>
      <c t="s" s="729" r="EB51">
        <v>590</v>
      </c>
      <c s="566" r="EC51"/>
      <c s="529" r="ED51"/>
      <c s="321" r="EE51"/>
      <c s="418" r="EF51"/>
      <c s="550" r="EG51"/>
      <c s="550" r="EH51"/>
      <c t="str" s="620" r="EI51">
        <f>IF((COUNT(EH51:EH$146,EJ51:EJ$146)=0),NA(),IF(ISBLANK(EH51),EI50,(EI50+(EH51-EJ50))))</f>
        <v>#N/A:explicit</v>
      </c>
      <c s="550" r="EJ51"/>
      <c t="str" s="620" r="EK51">
        <f>IF(OR(ISBLANK(EJ51),ISNUMBER(EH52)),NA(),(EI51-EJ51))</f>
        <v>#N/A:explicit</v>
      </c>
      <c t="b" s="895" r="EL51">
        <v>0</v>
      </c>
      <c s="631" r="EM51"/>
      <c t="str" s="309" r="EN51">
        <f>IF((COUNT(EG51:EG$146)=0),NA(),IF(ISBLANK(EG51),IF(ISBLANK(EG50),MAX(EG$46:EG51),EG50),EG51))</f>
        <v>#N/A:explicit</v>
      </c>
      <c t="str" s="861" r="EO51">
        <f>IF(ISNA(EK51),IF(ISNUMBER(EN51),EO50,NA()),EK51)</f>
        <v>#N/A:explicit</v>
      </c>
      <c s="861" r="EP51">
        <f>IF(ISNUMBER(EO51),EO51,(EI$46+1000))</f>
        <v>1000</v>
      </c>
      <c t="str" s="588" r="EQ51">
        <f>IF((EL51=TRUE),NA(),IF((EQ$44=(EI$46-MAX(EJ$46:EJ$146))),NA(),EQ$44))</f>
        <v>#N/A:explicit</v>
      </c>
      <c s="588" r="ER51">
        <f>IF((ISNA(((EO51*EN51)*EO50))),0,(IF((EN51&lt;EN50),-1,1)*(IF((EL50=FALSE),IF((EL51=FALSE),IF(ISNA(EO51),0,IF((EO50&lt;EQ$44),IF((EO51&lt;EQ$44),(((EN51-EN50)^2)^0.5),(((((EQ$44-EO50)*(EN51-EN50))/(EO51-EO50))^2)^0.5)),IF((EO51&lt;EQ$44),(((((EQ$44-EO51)*(EN51-EN50))/(EO50-EO51))^2)^0.5),0))),0),0))))</f>
        <v>0</v>
      </c>
      <c s="588" r="ES51">
        <f>IF(ISNA((EO51*EO50)),0,IF((EL50=FALSE),IF((EL51=FALSE),IF(ISNA(EK51),0,IF((EO50&lt;EQ$44),IF((EO51&lt;EQ$44),((EQ$44-((EO50+EO51)*0.5))*ER51),(((EQ$44-EO50)*0.5)*ER51)),IF((EO51&lt;EQ$44),(((EQ$44-EO51)*0.5)*ER51),0))),0),0))</f>
        <v>0</v>
      </c>
      <c s="588" r="ET51">
        <f>IF(ISNA((EO51*EO50)),0,IF((EL50=FALSE),IF((EL51=FALSE),IF(ISNA(EO51),0,IF((EO50&lt;EQ$44),IF((EO51&lt;EQ$44),(((ER51^2)+((EO51-EO50)^2))^0.5),(((ER51^2)+((EQ$44-EO50)^2))^0.5)),IF((EO51&lt;EQ$44),(((ER51^2)+((EQ$44-EO51)^2))^0.5),0))),0),0))</f>
        <v>0</v>
      </c>
      <c s="588" r="EU51">
        <f>IF(ISNUMBER((EO51*EO50)),IF((EO50&gt;=EA$148),IF((EO51&lt;EA$148),1,0),IF((EO51&gt;=EA$148),IF((EO50&lt;EA$148),1,0),0)),0)</f>
        <v>0</v>
      </c>
      <c s="588" r="EV51">
        <f>IF(ISNA((EO51*EO50)),0,(IF((EN51&lt;EN50),-1,1)*(IF(ISNA(EO51),0,IF((EO50&lt;EA$148),IF((EO51&lt;EA$148),(((EN51-EN50)^2)^0.5),(((((EA$148-EO50)*(EN51-EN50))/(EO51-EO50))^2)^0.5)),IF((EO51&lt;EA$148),(((((EA$148-EO51)*(EN51-EN50))/(EO50-EO51))^2)^0.5),0))))))</f>
        <v>0</v>
      </c>
      <c s="441" r="EW51">
        <f>IF((ES51&gt;0),(MAX(EW$47:EW50)+1),0)</f>
        <v>0</v>
      </c>
      <c s="388" r="EX51"/>
      <c s="406" r="EY51"/>
      <c t="s" s="729" r="EZ51">
        <v>590</v>
      </c>
      <c s="566" r="FA51"/>
      <c s="529" r="FB51"/>
      <c s="321" r="FC51"/>
      <c s="418" r="FD51"/>
      <c s="550" r="FE51"/>
      <c s="550" r="FF51"/>
      <c t="str" s="620" r="FG51">
        <f>IF((COUNT(FF51:FF$146,FH51:FH$146)=0),NA(),IF(ISBLANK(FF51),FG50,(FG50+(FF51-FH50))))</f>
        <v>#N/A:explicit</v>
      </c>
      <c s="550" r="FH51"/>
      <c t="str" s="620" r="FI51">
        <f>IF(OR(ISBLANK(FH51),ISNUMBER(FF52)),NA(),(FG51-FH51))</f>
        <v>#N/A:explicit</v>
      </c>
      <c t="b" s="895" r="FJ51">
        <v>0</v>
      </c>
      <c s="631" r="FK51"/>
      <c t="str" s="309" r="FL51">
        <f>IF((COUNT(FE51:FE$146)=0),NA(),IF(ISBLANK(FE51),IF(ISBLANK(FE50),MAX(FE$46:FE51),FE50),FE51))</f>
        <v>#N/A:explicit</v>
      </c>
      <c t="str" s="861" r="FM51">
        <f>IF(ISNA(FI51),IF(ISNUMBER(FL51),FM50,NA()),FI51)</f>
        <v>#N/A:explicit</v>
      </c>
      <c s="861" r="FN51">
        <f>IF(ISNUMBER(FM51),FM51,(FG$46+1000))</f>
        <v>1000</v>
      </c>
      <c t="str" s="588" r="FO51">
        <f>IF((FJ51=TRUE),NA(),IF((FO$44=(FG$46-MAX(FH$46:FH$146))),NA(),FO$44))</f>
        <v>#N/A:explicit</v>
      </c>
      <c s="588" r="FP51">
        <f>IF((ISNA(((FM51*FL51)*FM50))),0,(IF((FL51&lt;FL50),-1,1)*(IF((FJ50=FALSE),IF((FJ51=FALSE),IF(ISNA(FM51),0,IF((FM50&lt;FO$44),IF((FM51&lt;FO$44),(((FL51-FL50)^2)^0.5),(((((FO$44-FM50)*(FL51-FL50))/(FM51-FM50))^2)^0.5)),IF((FM51&lt;FO$44),(((((FO$44-FM51)*(FL51-FL50))/(FM50-FM51))^2)^0.5),0))),0),0))))</f>
        <v>0</v>
      </c>
      <c s="588" r="FQ51">
        <f>IF(ISNA((FM51*FM50)),0,IF((FJ50=FALSE),IF((FJ51=FALSE),IF(ISNA(FI51),0,IF((FM50&lt;FO$44),IF((FM51&lt;FO$44),((FO$44-((FM50+FM51)*0.5))*FP51),(((FO$44-FM50)*0.5)*FP51)),IF((FM51&lt;FO$44),(((FO$44-FM51)*0.5)*FP51),0))),0),0))</f>
        <v>0</v>
      </c>
      <c s="588" r="FR51">
        <f>IF(ISNA((FM51*FM50)),0,IF((FJ50=FALSE),IF((FJ51=FALSE),IF(ISNA(FM51),0,IF((FM50&lt;FO$44),IF((FM51&lt;FO$44),(((FP51^2)+((FM51-FM50)^2))^0.5),(((FP51^2)+((FO$44-FM50)^2))^0.5)),IF((FM51&lt;FO$44),(((FP51^2)+((FO$44-FM51)^2))^0.5),0))),0),0))</f>
        <v>0</v>
      </c>
      <c s="588" r="FS51">
        <f>IF(ISNUMBER((FM51*FM50)),IF((FM50&gt;=EY$148),IF((FM51&lt;EY$148),1,0),IF((FM51&gt;=EY$148),IF((FM50&lt;EY$148),1,0),0)),0)</f>
        <v>0</v>
      </c>
      <c s="588" r="FT51">
        <f>IF(ISNA((FM51*FM50)),0,(IF((FL51&lt;FL50),-1,1)*(IF(ISNA(FM51),0,IF((FM50&lt;EY$148),IF((FM51&lt;EY$148),(((FL51-FL50)^2)^0.5),(((((EY$148-FM50)*(FL51-FL50))/(FM51-FM50))^2)^0.5)),IF((FM51&lt;EY$148),(((((EY$148-FM51)*(FL51-FL50))/(FM50-FM51))^2)^0.5),0))))))</f>
        <v>0</v>
      </c>
      <c s="441" r="FU51">
        <f>IF((FQ51&gt;0),(MAX(FU$47:FU50)+1),0)</f>
        <v>0</v>
      </c>
      <c s="222" r="FV51"/>
      <c s="125" r="FW51"/>
      <c s="125" r="FX51"/>
      <c s="125" r="FY51"/>
      <c s="125" r="FZ51"/>
      <c s="125" r="GA51"/>
      <c s="125" r="GB51"/>
      <c s="125" r="GC51"/>
      <c s="125" r="GD51"/>
      <c s="125" r="GE51"/>
      <c s="125" r="GF51"/>
      <c s="125" r="GG51"/>
      <c s="125" r="GH51"/>
      <c s="125" r="GI51"/>
      <c s="125" r="GJ51"/>
      <c s="125" r="GK51"/>
      <c s="125" r="GL51"/>
      <c s="125" r="GM51"/>
      <c s="125" r="GN51"/>
      <c s="125" r="GO51"/>
      <c s="125" r="GP51"/>
      <c s="125" r="GQ51"/>
      <c s="125" r="GR51"/>
      <c s="125" r="GS51"/>
      <c s="125" r="GT51"/>
      <c s="125" r="GU51"/>
      <c s="125" r="GV51"/>
      <c s="125" r="GW51"/>
      <c s="125" r="GX51"/>
      <c s="125" r="GY51"/>
      <c s="125" r="GZ51"/>
      <c s="125" r="HA51"/>
      <c s="125" r="HB51"/>
    </row>
    <row customHeight="1" r="52" ht="13.5">
      <c s="822" r="A52"/>
      <c s="406" r="B52"/>
      <c s="886" r="C52"/>
      <c t="s" s="836" r="D52">
        <v>79</v>
      </c>
      <c t="str" s="89" r="E52">
        <f>IF(ISNUMBER((1/(E40*E43))),(E40/E43),IF(ISNUMBER((1/(E41*E43))),(E41/E43),"---"))</f>
        <v>---</v>
      </c>
      <c s="734" r="F52"/>
      <c s="458" r="G52"/>
      <c s="458" r="H52"/>
      <c s="734" r="I52"/>
      <c t="s" s="702" r="J52">
        <v>2</v>
      </c>
      <c s="406" r="K52"/>
      <c s="301" r="L52"/>
      <c t="s" s="7" r="M52">
        <v>377</v>
      </c>
      <c s="550" r="N52"/>
      <c t="str" s="367" r="O52">
        <f>IF(ISBLANK(N52),"---",(("= "&amp;(S$46-N52))&amp;" elev"))</f>
        <v>---</v>
      </c>
      <c s="838" r="P52"/>
      <c s="550" r="Q52"/>
      <c s="550" r="R52"/>
      <c t="str" s="620" r="S52">
        <f>IF((COUNT(R52:R$146,T52:T$146)=0),NA(),IF(ISBLANK(R52),S51,(S51+(R52-T51))))</f>
        <v>#N/A:explicit</v>
      </c>
      <c s="550" r="T52"/>
      <c t="str" s="620" r="U52">
        <f>IF(OR(ISBLANK(T52),ISNUMBER(R53)),NA(),(S52-T52))</f>
        <v>#N/A:explicit</v>
      </c>
      <c t="b" s="895" r="V52">
        <v>0</v>
      </c>
      <c s="631" r="W52"/>
      <c t="str" s="309" r="X52">
        <f>IF((COUNT(Q52:Q$146)=0),NA(),IF(ISBLANK(Q52),IF(ISBLANK(Q51),MAX(Q$46:Q52),Q51),Q52))</f>
        <v>#N/A:explicit</v>
      </c>
      <c t="str" s="861" r="Y52">
        <f>IF(ISNA(U52),IF(ISNUMBER(X52),Y51,NA()),U52)</f>
        <v>#N/A:explicit</v>
      </c>
      <c s="861" r="Z52">
        <f>IF(ISNUMBER(Y52),Y52,(S$46+1000))</f>
        <v>1000</v>
      </c>
      <c t="str" s="588" r="AA52">
        <f>IF((V52=TRUE),NA(),IF((AA$44=(S$46-MAX(T$46:T$146))),NA(),AA$44))</f>
        <v>#N/A:explicit</v>
      </c>
      <c s="588" r="AB52">
        <f>IF((ISNA(((Y52*X52)*Y51))),0,(IF((X52&lt;X51),-1,1)*(IF((V51=FALSE),IF((V52=FALSE),IF(ISNA(Y52),0,IF((Y51&lt;AA$44),IF((Y52&lt;AA$44),(((X52-X51)^2)^0.5),(((((AA$44-Y51)*(X52-X51))/(Y52-Y51))^2)^0.5)),IF((Y52&lt;AA$44),(((((AA$44-Y52)*(X52-X51))/(Y51-Y52))^2)^0.5),0))),0),0))))</f>
        <v>0</v>
      </c>
      <c s="588" r="AC52">
        <f>IF(ISNA((Y52*Y51)),0,IF((V51=FALSE),IF((V52=FALSE),IF(ISNA(U52),0,IF((Y51&lt;AA$44),IF((Y52&lt;AA$44),((AA$44-((Y51+Y52)*0.5))*AB52),(((AA$44-Y51)*0.5)*AB52)),IF((Y52&lt;AA$44),(((AA$44-Y52)*0.5)*AB52),0))),0),0))</f>
        <v>0</v>
      </c>
      <c s="588" r="AD52">
        <f>IF(ISNA((Y52*Y51)),0,IF((V51=FALSE),IF((V52=FALSE),IF(ISNA(Y52),0,IF((Y51&lt;AA$44),IF((Y52&lt;AA$44),(((AB52^2)+((Y52-Y51)^2))^0.5),(((AB52^2)+((AA$44-Y51)^2))^0.5)),IF((Y52&lt;AA$44),(((AB52^2)+((AA$44-Y52)^2))^0.5),0))),0),0))</f>
        <v>0</v>
      </c>
      <c s="588" r="AE52">
        <f>IF(ISNUMBER((Y52*Y51)),IF((Y51&gt;=K$148),IF((Y52&lt;K$148),1,0),IF((Y52&gt;=K$148),IF((Y51&lt;K$148),1,0),0)),0)</f>
        <v>0</v>
      </c>
      <c s="588" r="AF52">
        <f>IF(ISNA((Y52*Y51)),0,(IF((X52&lt;X51),-1,1)*(IF(ISNA(Y52),0,IF((Y51&lt;K$148),IF((Y52&lt;K$148),(((X52-X51)^2)^0.5),(((((K$148-Y51)*(X52-X51))/(Y52-Y51))^2)^0.5)),IF((Y52&lt;K$148),(((((K$148-Y52)*(X52-X51))/(Y51-Y52))^2)^0.5),0))))))</f>
        <v>0</v>
      </c>
      <c s="441" r="AG52">
        <f>IF((AC52&gt;0),(MAX(AG$47:AG51)+1),0)</f>
        <v>0</v>
      </c>
      <c s="388" r="AH52"/>
      <c s="406" r="AI52"/>
      <c s="301" r="AJ52"/>
      <c t="s" s="7" r="AK52">
        <v>377</v>
      </c>
      <c s="550" r="AL52"/>
      <c t="str" s="367" r="AM52">
        <f>IF(ISBLANK(AL52),"---",(("= "&amp;(AQ$46-AL52))&amp;" elev"))</f>
        <v>---</v>
      </c>
      <c s="838" r="AN52"/>
      <c s="550" r="AO52"/>
      <c s="550" r="AP52"/>
      <c t="str" s="620" r="AQ52">
        <f>IF((COUNT(AP52:AP$146,AR52:AR$146)=0),NA(),IF(ISBLANK(AP52),AQ51,(AQ51+(AP52-AR51))))</f>
        <v>#N/A:explicit</v>
      </c>
      <c s="550" r="AR52"/>
      <c t="str" s="620" r="AS52">
        <f>IF(OR(ISBLANK(AR52),ISNUMBER(AP53)),NA(),(AQ52-AR52))</f>
        <v>#N/A:explicit</v>
      </c>
      <c t="b" s="895" r="AT52">
        <v>0</v>
      </c>
      <c s="631" r="AU52"/>
      <c t="str" s="309" r="AV52">
        <f>IF((COUNT(AO52:AO$146)=0),NA(),IF(ISBLANK(AO52),IF(ISBLANK(AO51),MAX(AO$46:AO52),AO51),AO52))</f>
        <v>#N/A:explicit</v>
      </c>
      <c t="str" s="861" r="AW52">
        <f>IF(ISNA(AS52),IF(ISNUMBER(AV52),AW51,NA()),AS52)</f>
        <v>#N/A:explicit</v>
      </c>
      <c s="861" r="AX52">
        <f>IF(ISNUMBER(AW52),AW52,(AQ$46+1000))</f>
        <v>1000</v>
      </c>
      <c t="str" s="588" r="AY52">
        <f>IF((AT52=TRUE),NA(),IF((AY$44=(AQ$46-MAX(AR$46:AR$146))),NA(),AY$44))</f>
        <v>#N/A:explicit</v>
      </c>
      <c s="588" r="AZ52">
        <f>IF((ISNA(((AW52*AV52)*AW51))),0,(IF((AV52&lt;AV51),-1,1)*(IF((AT51=FALSE),IF((AT52=FALSE),IF(ISNA(AW52),0,IF((AW51&lt;AY$44),IF((AW52&lt;AY$44),(((AV52-AV51)^2)^0.5),(((((AY$44-AW51)*(AV52-AV51))/(AW52-AW51))^2)^0.5)),IF((AW52&lt;AY$44),(((((AY$44-AW52)*(AV52-AV51))/(AW51-AW52))^2)^0.5),0))),0),0))))</f>
        <v>0</v>
      </c>
      <c s="588" r="BA52">
        <f>IF(ISNA((AW52*AW51)),0,IF((AT51=FALSE),IF((AT52=FALSE),IF(ISNA(AS52),0,IF((AW51&lt;AY$44),IF((AW52&lt;AY$44),((AY$44-((AW51+AW52)*0.5))*AZ52),(((AY$44-AW51)*0.5)*AZ52)),IF((AW52&lt;AY$44),(((AY$44-AW52)*0.5)*AZ52),0))),0),0))</f>
        <v>0</v>
      </c>
      <c s="588" r="BB52">
        <f>IF(ISNA((AW52*AW51)),0,IF((AT51=FALSE),IF((AT52=FALSE),IF(ISNA(AW52),0,IF((AW51&lt;AY$44),IF((AW52&lt;AY$44),(((AZ52^2)+((AW52-AW51)^2))^0.5),(((AZ52^2)+((AY$44-AW51)^2))^0.5)),IF((AW52&lt;AY$44),(((AZ52^2)+((AY$44-AW52)^2))^0.5),0))),0),0))</f>
        <v>0</v>
      </c>
      <c s="588" r="BC52">
        <f>IF(ISNUMBER((AW52*AW51)),IF((AW51&gt;=AI$148),IF((AW52&lt;AI$148),1,0),IF((AW52&gt;=AI$148),IF((AW51&lt;AI$148),1,0),0)),0)</f>
        <v>0</v>
      </c>
      <c s="588" r="BD52">
        <f>IF(ISNA((AW52*AW51)),0,(IF((AV52&lt;AV51),-1,1)*(IF(ISNA(AW52),0,IF((AW51&lt;AI$148),IF((AW52&lt;AI$148),(((AV52-AV51)^2)^0.5),(((((AI$148-AW51)*(AV52-AV51))/(AW52-AW51))^2)^0.5)),IF((AW52&lt;AI$148),(((((AI$148-AW52)*(AV52-AV51))/(AW51-AW52))^2)^0.5),0))))))</f>
        <v>0</v>
      </c>
      <c s="441" r="BE52">
        <f>IF((BA52&gt;0),(MAX(BE$47:BE51)+1),0)</f>
        <v>0</v>
      </c>
      <c s="388" r="BF52"/>
      <c s="406" r="BG52"/>
      <c s="301" r="BH52"/>
      <c t="s" s="7" r="BI52">
        <v>377</v>
      </c>
      <c s="550" r="BJ52"/>
      <c t="str" s="367" r="BK52">
        <f>IF(ISBLANK(BJ52),"---",(("= "&amp;(BO$46-BJ52))&amp;" elev"))</f>
        <v>---</v>
      </c>
      <c s="418" r="BL52"/>
      <c s="550" r="BM52"/>
      <c s="550" r="BN52"/>
      <c t="str" s="620" r="BO52">
        <f>IF((COUNT(BN52:BN$146,BP52:BP$146)=0),NA(),IF(ISBLANK(BN52),BO51,(BO51+(BN52-BP51))))</f>
        <v>#N/A:explicit</v>
      </c>
      <c s="550" r="BP52"/>
      <c t="str" s="620" r="BQ52">
        <f>IF(OR(ISBLANK(BP52),ISNUMBER(BN53)),NA(),(BO52-BP52))</f>
        <v>#N/A:explicit</v>
      </c>
      <c t="b" s="895" r="BR52">
        <v>0</v>
      </c>
      <c s="631" r="BS52"/>
      <c t="str" s="309" r="BT52">
        <f>IF((COUNT(BM52:BM$146)=0),NA(),IF(ISBLANK(BM52),IF(ISBLANK(BM51),MAX(BM$46:BM52),BM51),BM52))</f>
        <v>#N/A:explicit</v>
      </c>
      <c t="str" s="861" r="BU52">
        <f>IF(ISNA(BQ52),IF(ISNUMBER(BT52),BU51,NA()),BQ52)</f>
        <v>#N/A:explicit</v>
      </c>
      <c s="861" r="BV52">
        <f>IF(ISNUMBER(BU52),BU52,(BO$46+1000))</f>
        <v>1000</v>
      </c>
      <c t="str" s="588" r="BW52">
        <f>IF((BR52=TRUE),NA(),IF((BW$44=(BO$46-MAX(BP$46:BP$146))),NA(),BW$44))</f>
        <v>#N/A:explicit</v>
      </c>
      <c s="588" r="BX52">
        <f>IF((ISNA(((BU52*BT52)*BU51))),0,(IF((BT52&lt;BT51),-1,1)*(IF((BR51=FALSE),IF((BR52=FALSE),IF(ISNA(BU52),0,IF((BU51&lt;BW$44),IF((BU52&lt;BW$44),(((BT52-BT51)^2)^0.5),(((((BW$44-BU51)*(BT52-BT51))/(BU52-BU51))^2)^0.5)),IF((BU52&lt;BW$44),(((((BW$44-BU52)*(BT52-BT51))/(BU51-BU52))^2)^0.5),0))),0),0))))</f>
        <v>0</v>
      </c>
      <c s="588" r="BY52">
        <f>IF(ISNA((BU52*BU51)),0,IF((BR51=FALSE),IF((BR52=FALSE),IF(ISNA(BQ52),0,IF((BU51&lt;BW$44),IF((BU52&lt;BW$44),((BW$44-((BU51+BU52)*0.5))*BX52),(((BW$44-BU51)*0.5)*BX52)),IF((BU52&lt;BW$44),(((BW$44-BU52)*0.5)*BX52),0))),0),0))</f>
        <v>0</v>
      </c>
      <c s="588" r="BZ52">
        <f>IF(ISNA((BU52*BU51)),0,IF((BR51=FALSE),IF((BR52=FALSE),IF(ISNA(BU52),0,IF((BU51&lt;BW$44),IF((BU52&lt;BW$44),(((BX52^2)+((BU52-BU51)^2))^0.5),(((BX52^2)+((BW$44-BU51)^2))^0.5)),IF((BU52&lt;BW$44),(((BX52^2)+((BW$44-BU52)^2))^0.5),0))),0),0))</f>
        <v>0</v>
      </c>
      <c s="588" r="CA52">
        <f>IF(ISNUMBER((BU52*BU51)),IF((BU51&gt;=BG$148),IF((BU52&lt;BG$148),1,0),IF((BU52&gt;=BG$148),IF((BU51&lt;BG$148),1,0),0)),0)</f>
        <v>0</v>
      </c>
      <c s="588" r="CB52">
        <f>IF(ISNA((BU52*BU51)),0,(IF((BT52&lt;BT51),-1,1)*(IF(ISNA(BU52),0,IF((BU51&lt;BG$148),IF((BU52&lt;BG$148),(((BT52-BT51)^2)^0.5),(((((BG$148-BU51)*(BT52-BT51))/(BU52-BU51))^2)^0.5)),IF((BU52&lt;BG$148),(((((BG$148-BU52)*(BT52-BT51))/(BU51-BU52))^2)^0.5),0))))))</f>
        <v>0</v>
      </c>
      <c s="441" r="CC52">
        <f>IF((BY52&gt;0),(MAX(CC$47:CC51)+1),0)</f>
        <v>0</v>
      </c>
      <c s="388" r="CD52"/>
      <c s="406" r="CE52"/>
      <c s="301" r="CF52"/>
      <c t="s" s="7" r="CG52">
        <v>377</v>
      </c>
      <c s="550" r="CH52"/>
      <c t="str" s="367" r="CI52">
        <f>IF(ISBLANK(CH52),"---",(("= "&amp;(CM$46-CH52))&amp;" elev"))</f>
        <v>---</v>
      </c>
      <c s="418" r="CJ52"/>
      <c s="550" r="CK52"/>
      <c s="550" r="CL52"/>
      <c t="str" s="620" r="CM52">
        <f>IF((COUNT(CL52:CL$146,CN52:CN$146)=0),NA(),IF(ISBLANK(CL52),CM51,(CM51+(CL52-CN51))))</f>
        <v>#N/A:explicit</v>
      </c>
      <c s="550" r="CN52"/>
      <c t="str" s="620" r="CO52">
        <f>IF(OR(ISBLANK(CN52),ISNUMBER(CL53)),NA(),(CM52-CN52))</f>
        <v>#N/A:explicit</v>
      </c>
      <c t="b" s="895" r="CP52">
        <v>0</v>
      </c>
      <c s="631" r="CQ52"/>
      <c t="str" s="309" r="CR52">
        <f>IF((COUNT(CK52:CK$146)=0),NA(),IF(ISBLANK(CK52),IF(ISBLANK(CK51),MAX(CK$46:CK52),CK51),CK52))</f>
        <v>#N/A:explicit</v>
      </c>
      <c t="str" s="861" r="CS52">
        <f>IF(ISNA(CO52),IF(ISNUMBER(CR52),CS51,NA()),CO52)</f>
        <v>#N/A:explicit</v>
      </c>
      <c s="861" r="CT52">
        <f>IF(ISNUMBER(CS52),CS52,(CM$46+1000))</f>
        <v>1000</v>
      </c>
      <c t="str" s="588" r="CU52">
        <f>IF((CP52=TRUE),NA(),IF((CU$44=(CM$46-MAX(CN$46:CN$146))),NA(),CU$44))</f>
        <v>#N/A:explicit</v>
      </c>
      <c s="588" r="CV52">
        <f>IF((ISNA(((CS52*CR52)*CS51))),0,(IF((CR52&lt;CR51),-1,1)*(IF((CP51=FALSE),IF((CP52=FALSE),IF(ISNA(CS52),0,IF((CS51&lt;CU$44),IF((CS52&lt;CU$44),(((CR52-CR51)^2)^0.5),(((((CU$44-CS51)*(CR52-CR51))/(CS52-CS51))^2)^0.5)),IF((CS52&lt;CU$44),(((((CU$44-CS52)*(CR52-CR51))/(CS51-CS52))^2)^0.5),0))),0),0))))</f>
        <v>0</v>
      </c>
      <c s="588" r="CW52">
        <f>IF(ISNA((CS52*CS51)),0,IF((CP51=FALSE),IF((CP52=FALSE),IF(ISNA(CO52),0,IF((CS51&lt;CU$44),IF((CS52&lt;CU$44),((CU$44-((CS51+CS52)*0.5))*CV52),(((CU$44-CS51)*0.5)*CV52)),IF((CS52&lt;CU$44),(((CU$44-CS52)*0.5)*CV52),0))),0),0))</f>
        <v>0</v>
      </c>
      <c s="588" r="CX52">
        <f>IF(ISNA((CS52*CS51)),0,IF((CP51=FALSE),IF((CP52=FALSE),IF(ISNA(CS52),0,IF((CS51&lt;CU$44),IF((CS52&lt;CU$44),(((CV52^2)+((CS52-CS51)^2))^0.5),(((CV52^2)+((CU$44-CS51)^2))^0.5)),IF((CS52&lt;CU$44),(((CV52^2)+((CU$44-CS52)^2))^0.5),0))),0),0))</f>
        <v>0</v>
      </c>
      <c s="588" r="CY52">
        <f>IF(ISNUMBER((CS52*CS51)),IF((CS51&gt;=CE$148),IF((CS52&lt;CE$148),1,0),IF((CS52&gt;=CE$148),IF((CS51&lt;CE$148),1,0),0)),0)</f>
        <v>0</v>
      </c>
      <c s="588" r="CZ52">
        <f>IF(ISNA((CS52*CS51)),0,(IF((CR52&lt;CR51),-1,1)*(IF(ISNA(CS52),0,IF((CS51&lt;CE$148),IF((CS52&lt;CE$148),(((CR52-CR51)^2)^0.5),(((((CE$148-CS51)*(CR52-CR51))/(CS52-CS51))^2)^0.5)),IF((CS52&lt;CE$148),(((((CE$148-CS52)*(CR52-CR51))/(CS51-CS52))^2)^0.5),0))))))</f>
        <v>0</v>
      </c>
      <c s="441" r="DA52">
        <f>IF((CW52&gt;0),(MAX(DA$47:DA51)+1),0)</f>
        <v>0</v>
      </c>
      <c s="388" r="DB52"/>
      <c s="406" r="DC52"/>
      <c s="301" r="DD52"/>
      <c t="s" s="7" r="DE52">
        <v>377</v>
      </c>
      <c s="550" r="DF52"/>
      <c t="str" s="367" r="DG52">
        <f>IF(ISBLANK(DF52),"---",(("= "&amp;(DK$46-DF52))&amp;" elev"))</f>
        <v>---</v>
      </c>
      <c s="418" r="DH52"/>
      <c s="550" r="DI52"/>
      <c s="550" r="DJ52"/>
      <c t="str" s="620" r="DK52">
        <f>IF((COUNT(DJ52:DJ$146,DL52:DL$146)=0),NA(),IF(ISBLANK(DJ52),DK51,(DK51+(DJ52-DL51))))</f>
        <v>#N/A:explicit</v>
      </c>
      <c s="550" r="DL52"/>
      <c t="str" s="620" r="DM52">
        <f>IF(OR(ISBLANK(DL52),ISNUMBER(DJ53)),NA(),(DK52-DL52))</f>
        <v>#N/A:explicit</v>
      </c>
      <c t="b" s="895" r="DN52">
        <v>0</v>
      </c>
      <c s="631" r="DO52"/>
      <c t="str" s="309" r="DP52">
        <f>IF((COUNT(DI52:DI$146)=0),NA(),IF(ISBLANK(DI52),IF(ISBLANK(DI51),MAX(DI$46:DI52),DI51),DI52))</f>
        <v>#N/A:explicit</v>
      </c>
      <c t="str" s="861" r="DQ52">
        <f>IF(ISNA(DM52),IF(ISNUMBER(DP52),DQ51,NA()),DM52)</f>
        <v>#N/A:explicit</v>
      </c>
      <c s="861" r="DR52">
        <f>IF(ISNUMBER(DQ52),DQ52,(DK$46+1000))</f>
        <v>1000</v>
      </c>
      <c t="str" s="588" r="DS52">
        <f>IF((DN52=TRUE),NA(),IF((DS$44=(DK$46-MAX(DL$46:DL$146))),NA(),DS$44))</f>
        <v>#N/A:explicit</v>
      </c>
      <c s="588" r="DT52">
        <f>IF((ISNA(((DQ52*DP52)*DQ51))),0,(IF((DP52&lt;DP51),-1,1)*(IF((DN51=FALSE),IF((DN52=FALSE),IF(ISNA(DQ52),0,IF((DQ51&lt;DS$44),IF((DQ52&lt;DS$44),(((DP52-DP51)^2)^0.5),(((((DS$44-DQ51)*(DP52-DP51))/(DQ52-DQ51))^2)^0.5)),IF((DQ52&lt;DS$44),(((((DS$44-DQ52)*(DP52-DP51))/(DQ51-DQ52))^2)^0.5),0))),0),0))))</f>
        <v>0</v>
      </c>
      <c s="588" r="DU52">
        <f>IF(ISNA((DQ52*DQ51)),0,IF((DN51=FALSE),IF((DN52=FALSE),IF(ISNA(DM52),0,IF((DQ51&lt;DS$44),IF((DQ52&lt;DS$44),((DS$44-((DQ51+DQ52)*0.5))*DT52),(((DS$44-DQ51)*0.5)*DT52)),IF((DQ52&lt;DS$44),(((DS$44-DQ52)*0.5)*DT52),0))),0),0))</f>
        <v>0</v>
      </c>
      <c s="588" r="DV52">
        <f>IF(ISNA((DQ52*DQ51)),0,IF((DN51=FALSE),IF((DN52=FALSE),IF(ISNA(DQ52),0,IF((DQ51&lt;DS$44),IF((DQ52&lt;DS$44),(((DT52^2)+((DQ52-DQ51)^2))^0.5),(((DT52^2)+((DS$44-DQ51)^2))^0.5)),IF((DQ52&lt;DS$44),(((DT52^2)+((DS$44-DQ52)^2))^0.5),0))),0),0))</f>
        <v>0</v>
      </c>
      <c s="588" r="DW52">
        <f>IF(ISNUMBER((DQ52*DQ51)),IF((DQ51&gt;=DC$148),IF((DQ52&lt;DC$148),1,0),IF((DQ52&gt;=DC$148),IF((DQ51&lt;DC$148),1,0),0)),0)</f>
        <v>0</v>
      </c>
      <c s="588" r="DX52">
        <f>IF(ISNA((DQ52*DQ51)),0,(IF((DP52&lt;DP51),-1,1)*(IF(ISNA(DQ52),0,IF((DQ51&lt;DC$148),IF((DQ52&lt;DC$148),(((DP52-DP51)^2)^0.5),(((((DC$148-DQ51)*(DP52-DP51))/(DQ52-DQ51))^2)^0.5)),IF((DQ52&lt;DC$148),(((((DC$148-DQ52)*(DP52-DP51))/(DQ51-DQ52))^2)^0.5),0))))))</f>
        <v>0</v>
      </c>
      <c s="441" r="DY52">
        <f>IF((DU52&gt;0),(MAX(DY$47:DY51)+1),0)</f>
        <v>0</v>
      </c>
      <c s="388" r="DZ52"/>
      <c s="406" r="EA52"/>
      <c s="301" r="EB52"/>
      <c t="s" s="7" r="EC52">
        <v>377</v>
      </c>
      <c s="550" r="ED52"/>
      <c t="str" s="367" r="EE52">
        <f>IF(ISBLANK(ED52),"---",(("= "&amp;(EI$46-ED52))&amp;" elev"))</f>
        <v>---</v>
      </c>
      <c s="418" r="EF52"/>
      <c s="550" r="EG52"/>
      <c s="550" r="EH52"/>
      <c t="str" s="620" r="EI52">
        <f>IF((COUNT(EH52:EH$146,EJ52:EJ$146)=0),NA(),IF(ISBLANK(EH52),EI51,(EI51+(EH52-EJ51))))</f>
        <v>#N/A:explicit</v>
      </c>
      <c s="550" r="EJ52"/>
      <c t="str" s="620" r="EK52">
        <f>IF(OR(ISBLANK(EJ52),ISNUMBER(EH53)),NA(),(EI52-EJ52))</f>
        <v>#N/A:explicit</v>
      </c>
      <c t="b" s="895" r="EL52">
        <v>0</v>
      </c>
      <c s="631" r="EM52"/>
      <c t="str" s="309" r="EN52">
        <f>IF((COUNT(EG52:EG$146)=0),NA(),IF(ISBLANK(EG52),IF(ISBLANK(EG51),MAX(EG$46:EG52),EG51),EG52))</f>
        <v>#N/A:explicit</v>
      </c>
      <c t="str" s="861" r="EO52">
        <f>IF(ISNA(EK52),IF(ISNUMBER(EN52),EO51,NA()),EK52)</f>
        <v>#N/A:explicit</v>
      </c>
      <c s="861" r="EP52">
        <f>IF(ISNUMBER(EO52),EO52,(EI$46+1000))</f>
        <v>1000</v>
      </c>
      <c t="str" s="588" r="EQ52">
        <f>IF((EL52=TRUE),NA(),IF((EQ$44=(EI$46-MAX(EJ$46:EJ$146))),NA(),EQ$44))</f>
        <v>#N/A:explicit</v>
      </c>
      <c s="588" r="ER52">
        <f>IF((ISNA(((EO52*EN52)*EO51))),0,(IF((EN52&lt;EN51),-1,1)*(IF((EL51=FALSE),IF((EL52=FALSE),IF(ISNA(EO52),0,IF((EO51&lt;EQ$44),IF((EO52&lt;EQ$44),(((EN52-EN51)^2)^0.5),(((((EQ$44-EO51)*(EN52-EN51))/(EO52-EO51))^2)^0.5)),IF((EO52&lt;EQ$44),(((((EQ$44-EO52)*(EN52-EN51))/(EO51-EO52))^2)^0.5),0))),0),0))))</f>
        <v>0</v>
      </c>
      <c s="588" r="ES52">
        <f>IF(ISNA((EO52*EO51)),0,IF((EL51=FALSE),IF((EL52=FALSE),IF(ISNA(EK52),0,IF((EO51&lt;EQ$44),IF((EO52&lt;EQ$44),((EQ$44-((EO51+EO52)*0.5))*ER52),(((EQ$44-EO51)*0.5)*ER52)),IF((EO52&lt;EQ$44),(((EQ$44-EO52)*0.5)*ER52),0))),0),0))</f>
        <v>0</v>
      </c>
      <c s="588" r="ET52">
        <f>IF(ISNA((EO52*EO51)),0,IF((EL51=FALSE),IF((EL52=FALSE),IF(ISNA(EO52),0,IF((EO51&lt;EQ$44),IF((EO52&lt;EQ$44),(((ER52^2)+((EO52-EO51)^2))^0.5),(((ER52^2)+((EQ$44-EO51)^2))^0.5)),IF((EO52&lt;EQ$44),(((ER52^2)+((EQ$44-EO52)^2))^0.5),0))),0),0))</f>
        <v>0</v>
      </c>
      <c s="588" r="EU52">
        <f>IF(ISNUMBER((EO52*EO51)),IF((EO51&gt;=EA$148),IF((EO52&lt;EA$148),1,0),IF((EO52&gt;=EA$148),IF((EO51&lt;EA$148),1,0),0)),0)</f>
        <v>0</v>
      </c>
      <c s="588" r="EV52">
        <f>IF(ISNA((EO52*EO51)),0,(IF((EN52&lt;EN51),-1,1)*(IF(ISNA(EO52),0,IF((EO51&lt;EA$148),IF((EO52&lt;EA$148),(((EN52-EN51)^2)^0.5),(((((EA$148-EO51)*(EN52-EN51))/(EO52-EO51))^2)^0.5)),IF((EO52&lt;EA$148),(((((EA$148-EO52)*(EN52-EN51))/(EO51-EO52))^2)^0.5),0))))))</f>
        <v>0</v>
      </c>
      <c s="441" r="EW52">
        <f>IF((ES52&gt;0),(MAX(EW$47:EW51)+1),0)</f>
        <v>0</v>
      </c>
      <c s="388" r="EX52"/>
      <c s="406" r="EY52"/>
      <c s="301" r="EZ52"/>
      <c t="s" s="7" r="FA52">
        <v>377</v>
      </c>
      <c s="550" r="FB52"/>
      <c t="str" s="367" r="FC52">
        <f>IF(ISBLANK(FB52),"---",(("= "&amp;(FG$46-FB52))&amp;" elev"))</f>
        <v>---</v>
      </c>
      <c s="418" r="FD52"/>
      <c s="550" r="FE52"/>
      <c s="550" r="FF52"/>
      <c t="str" s="620" r="FG52">
        <f>IF((COUNT(FF52:FF$146,FH52:FH$146)=0),NA(),IF(ISBLANK(FF52),FG51,(FG51+(FF52-FH51))))</f>
        <v>#N/A:explicit</v>
      </c>
      <c s="550" r="FH52"/>
      <c t="str" s="620" r="FI52">
        <f>IF(OR(ISBLANK(FH52),ISNUMBER(FF53)),NA(),(FG52-FH52))</f>
        <v>#N/A:explicit</v>
      </c>
      <c t="b" s="895" r="FJ52">
        <v>0</v>
      </c>
      <c s="631" r="FK52"/>
      <c t="str" s="309" r="FL52">
        <f>IF((COUNT(FE52:FE$146)=0),NA(),IF(ISBLANK(FE52),IF(ISBLANK(FE51),MAX(FE$46:FE52),FE51),FE52))</f>
        <v>#N/A:explicit</v>
      </c>
      <c t="str" s="861" r="FM52">
        <f>IF(ISNA(FI52),IF(ISNUMBER(FL52),FM51,NA()),FI52)</f>
        <v>#N/A:explicit</v>
      </c>
      <c s="861" r="FN52">
        <f>IF(ISNUMBER(FM52),FM52,(FG$46+1000))</f>
        <v>1000</v>
      </c>
      <c t="str" s="588" r="FO52">
        <f>IF((FJ52=TRUE),NA(),IF((FO$44=(FG$46-MAX(FH$46:FH$146))),NA(),FO$44))</f>
        <v>#N/A:explicit</v>
      </c>
      <c s="588" r="FP52">
        <f>IF((ISNA(((FM52*FL52)*FM51))),0,(IF((FL52&lt;FL51),-1,1)*(IF((FJ51=FALSE),IF((FJ52=FALSE),IF(ISNA(FM52),0,IF((FM51&lt;FO$44),IF((FM52&lt;FO$44),(((FL52-FL51)^2)^0.5),(((((FO$44-FM51)*(FL52-FL51))/(FM52-FM51))^2)^0.5)),IF((FM52&lt;FO$44),(((((FO$44-FM52)*(FL52-FL51))/(FM51-FM52))^2)^0.5),0))),0),0))))</f>
        <v>0</v>
      </c>
      <c s="588" r="FQ52">
        <f>IF(ISNA((FM52*FM51)),0,IF((FJ51=FALSE),IF((FJ52=FALSE),IF(ISNA(FI52),0,IF((FM51&lt;FO$44),IF((FM52&lt;FO$44),((FO$44-((FM51+FM52)*0.5))*FP52),(((FO$44-FM51)*0.5)*FP52)),IF((FM52&lt;FO$44),(((FO$44-FM52)*0.5)*FP52),0))),0),0))</f>
        <v>0</v>
      </c>
      <c s="588" r="FR52">
        <f>IF(ISNA((FM52*FM51)),0,IF((FJ51=FALSE),IF((FJ52=FALSE),IF(ISNA(FM52),0,IF((FM51&lt;FO$44),IF((FM52&lt;FO$44),(((FP52^2)+((FM52-FM51)^2))^0.5),(((FP52^2)+((FO$44-FM51)^2))^0.5)),IF((FM52&lt;FO$44),(((FP52^2)+((FO$44-FM52)^2))^0.5),0))),0),0))</f>
        <v>0</v>
      </c>
      <c s="588" r="FS52">
        <f>IF(ISNUMBER((FM52*FM51)),IF((FM51&gt;=EY$148),IF((FM52&lt;EY$148),1,0),IF((FM52&gt;=EY$148),IF((FM51&lt;EY$148),1,0),0)),0)</f>
        <v>0</v>
      </c>
      <c s="588" r="FT52">
        <f>IF(ISNA((FM52*FM51)),0,(IF((FL52&lt;FL51),-1,1)*(IF(ISNA(FM52),0,IF((FM51&lt;EY$148),IF((FM52&lt;EY$148),(((FL52-FL51)^2)^0.5),(((((EY$148-FM51)*(FL52-FL51))/(FM52-FM51))^2)^0.5)),IF((FM52&lt;EY$148),(((((EY$148-FM52)*(FL52-FL51))/(FM51-FM52))^2)^0.5),0))))))</f>
        <v>0</v>
      </c>
      <c s="441" r="FU52">
        <f>IF((FQ52&gt;0),(MAX(FU$47:FU51)+1),0)</f>
        <v>0</v>
      </c>
      <c s="222" r="FV52"/>
      <c s="125" r="FW52"/>
      <c s="125" r="FX52"/>
      <c s="125" r="FY52"/>
      <c s="125" r="FZ52"/>
      <c s="125" r="GA52"/>
      <c s="125" r="GB52"/>
      <c s="125" r="GC52"/>
      <c s="125" r="GD52"/>
      <c s="125" r="GE52"/>
      <c s="125" r="GF52"/>
      <c s="125" r="GG52"/>
      <c s="125" r="GH52"/>
      <c s="125" r="GI52"/>
      <c s="125" r="GJ52"/>
      <c s="125" r="GK52"/>
      <c s="125" r="GL52"/>
      <c s="125" r="GM52"/>
      <c s="125" r="GN52"/>
      <c s="125" r="GO52"/>
      <c s="125" r="GP52"/>
      <c s="125" r="GQ52"/>
      <c s="125" r="GR52"/>
      <c s="125" r="GS52"/>
      <c s="125" r="GT52"/>
      <c s="125" r="GU52"/>
      <c s="125" r="GV52"/>
      <c s="125" r="GW52"/>
      <c s="125" r="GX52"/>
      <c s="125" r="GY52"/>
      <c s="125" r="GZ52"/>
      <c s="125" r="HA52"/>
      <c s="125" r="HB52"/>
    </row>
    <row customHeight="1" r="53" ht="13.5">
      <c s="822" r="A53"/>
      <c s="406" r="B53"/>
      <c s="886" r="C53"/>
      <c s="886" r="D53"/>
      <c s="756" r="E53"/>
      <c s="886" r="F53"/>
      <c t="str" s="654" r="G53">
        <f>'Dimension Estimated Values'!J6</f>
        <v>---</v>
      </c>
      <c t="str" s="654" r="H53">
        <f>'Dimension Estimated Values'!J7</f>
        <v>---</v>
      </c>
      <c s="418" r="I53"/>
      <c s="702" r="J53"/>
      <c s="406" r="K53"/>
      <c s="789" r="L53"/>
      <c t="s" s="836" r="M53">
        <v>368</v>
      </c>
      <c s="894" r="N53"/>
      <c t="str" s="181" r="O53">
        <f>IF(OR(ISERROR(Profile!$AM$41),ISERROR(Profile!$AM$42)),"---",IF(ISBLANK(N49),IF(ISNA(MATCH(N47,Profile!$L$44:$L$215,0)),"---",((O49*Profile!$AM$41)+Profile!$AM$42)),((N49*Profile!$AM$41)+Profile!$AM$42)))</f>
        <v>---</v>
      </c>
      <c s="418" r="P53"/>
      <c s="550" r="Q53"/>
      <c s="550" r="R53"/>
      <c t="str" s="620" r="S53">
        <f>IF((COUNT(R53:R$146,T53:T$146)=0),NA(),IF(ISBLANK(R53),S52,(S52+(R53-T52))))</f>
        <v>#N/A:explicit</v>
      </c>
      <c s="550" r="T53"/>
      <c t="str" s="620" r="U53">
        <f>IF(OR(ISBLANK(T53),ISNUMBER(R54)),NA(),(S53-T53))</f>
        <v>#N/A:explicit</v>
      </c>
      <c t="b" s="895" r="V53">
        <v>0</v>
      </c>
      <c s="631" r="W53"/>
      <c t="str" s="309" r="X53">
        <f>IF((COUNT(Q53:Q$146)=0),NA(),IF(ISBLANK(Q53),IF(ISBLANK(Q52),MAX(Q$46:Q53),Q52),Q53))</f>
        <v>#N/A:explicit</v>
      </c>
      <c t="str" s="861" r="Y53">
        <f>IF(ISNA(U53),IF(ISNUMBER(X53),Y52,NA()),U53)</f>
        <v>#N/A:explicit</v>
      </c>
      <c s="861" r="Z53">
        <f>IF(ISNUMBER(Y53),Y53,(S$46+1000))</f>
        <v>1000</v>
      </c>
      <c t="str" s="588" r="AA53">
        <f>IF((V53=TRUE),NA(),IF((AA$44=(S$46-MAX(T$46:T$146))),NA(),AA$44))</f>
        <v>#N/A:explicit</v>
      </c>
      <c s="588" r="AB53">
        <f>IF((ISNA(((Y53*X53)*Y52))),0,(IF((X53&lt;X52),-1,1)*(IF((V52=FALSE),IF((V53=FALSE),IF(ISNA(Y53),0,IF((Y52&lt;AA$44),IF((Y53&lt;AA$44),(((X53-X52)^2)^0.5),(((((AA$44-Y52)*(X53-X52))/(Y53-Y52))^2)^0.5)),IF((Y53&lt;AA$44),(((((AA$44-Y53)*(X53-X52))/(Y52-Y53))^2)^0.5),0))),0),0))))</f>
        <v>0</v>
      </c>
      <c s="588" r="AC53">
        <f>IF(ISNA((Y53*Y52)),0,IF((V52=FALSE),IF((V53=FALSE),IF(ISNA(U53),0,IF((Y52&lt;AA$44),IF((Y53&lt;AA$44),((AA$44-((Y52+Y53)*0.5))*AB53),(((AA$44-Y52)*0.5)*AB53)),IF((Y53&lt;AA$44),(((AA$44-Y53)*0.5)*AB53),0))),0),0))</f>
        <v>0</v>
      </c>
      <c s="588" r="AD53">
        <f>IF(ISNA((Y53*Y52)),0,IF((V52=FALSE),IF((V53=FALSE),IF(ISNA(Y53),0,IF((Y52&lt;AA$44),IF((Y53&lt;AA$44),(((AB53^2)+((Y53-Y52)^2))^0.5),(((AB53^2)+((AA$44-Y52)^2))^0.5)),IF((Y53&lt;AA$44),(((AB53^2)+((AA$44-Y53)^2))^0.5),0))),0),0))</f>
        <v>0</v>
      </c>
      <c s="588" r="AE53">
        <f>IF(ISNUMBER((Y53*Y52)),IF((Y52&gt;=K$148),IF((Y53&lt;K$148),1,0),IF((Y53&gt;=K$148),IF((Y52&lt;K$148),1,0),0)),0)</f>
        <v>0</v>
      </c>
      <c s="588" r="AF53">
        <f>IF(ISNA((Y53*Y52)),0,(IF((X53&lt;X52),-1,1)*(IF(ISNA(Y53),0,IF((Y52&lt;K$148),IF((Y53&lt;K$148),(((X53-X52)^2)^0.5),(((((K$148-Y52)*(X53-X52))/(Y53-Y52))^2)^0.5)),IF((Y53&lt;K$148),(((((K$148-Y53)*(X53-X52))/(Y52-Y53))^2)^0.5),0))))))</f>
        <v>0</v>
      </c>
      <c s="441" r="AG53">
        <f>IF((AC53&gt;0),(MAX(AG$47:AG52)+1),0)</f>
        <v>0</v>
      </c>
      <c s="388" r="AH53"/>
      <c s="406" r="AI53"/>
      <c s="789" r="AJ53"/>
      <c t="s" s="836" r="AK53">
        <v>368</v>
      </c>
      <c s="894" r="AL53"/>
      <c t="str" s="181" r="AM53">
        <f>IF(OR(ISERROR(Profile!$AM$41),ISERROR(Profile!$AM$42)),"---",IF(ISBLANK(AL49),IF(ISNA(MATCH(AL47,Profile!$L$44:$L$215,0)),"---",((AM49*Profile!$AM$41)+Profile!$AM$42)),((AL49*Profile!$AM$41)+Profile!$AM$42)))</f>
        <v>---</v>
      </c>
      <c s="418" r="AN53"/>
      <c s="550" r="AO53"/>
      <c s="550" r="AP53"/>
      <c t="str" s="620" r="AQ53">
        <f>IF((COUNT(AP53:AP$146,AR53:AR$146)=0),NA(),IF(ISBLANK(AP53),AQ52,(AQ52+(AP53-AR52))))</f>
        <v>#N/A:explicit</v>
      </c>
      <c s="550" r="AR53"/>
      <c t="str" s="620" r="AS53">
        <f>IF(OR(ISBLANK(AR53),ISNUMBER(AP54)),NA(),(AQ53-AR53))</f>
        <v>#N/A:explicit</v>
      </c>
      <c t="b" s="895" r="AT53">
        <v>0</v>
      </c>
      <c s="631" r="AU53"/>
      <c t="str" s="309" r="AV53">
        <f>IF((COUNT(AO53:AO$146)=0),NA(),IF(ISBLANK(AO53),IF(ISBLANK(AO52),MAX(AO$46:AO53),AO52),AO53))</f>
        <v>#N/A:explicit</v>
      </c>
      <c t="str" s="861" r="AW53">
        <f>IF(ISNA(AS53),IF(ISNUMBER(AV53),AW52,NA()),AS53)</f>
        <v>#N/A:explicit</v>
      </c>
      <c s="861" r="AX53">
        <f>IF(ISNUMBER(AW53),AW53,(AQ$46+1000))</f>
        <v>1000</v>
      </c>
      <c t="str" s="588" r="AY53">
        <f>IF((AT53=TRUE),NA(),IF((AY$44=(AQ$46-MAX(AR$46:AR$146))),NA(),AY$44))</f>
        <v>#N/A:explicit</v>
      </c>
      <c s="588" r="AZ53">
        <f>IF((ISNA(((AW53*AV53)*AW52))),0,(IF((AV53&lt;AV52),-1,1)*(IF((AT52=FALSE),IF((AT53=FALSE),IF(ISNA(AW53),0,IF((AW52&lt;AY$44),IF((AW53&lt;AY$44),(((AV53-AV52)^2)^0.5),(((((AY$44-AW52)*(AV53-AV52))/(AW53-AW52))^2)^0.5)),IF((AW53&lt;AY$44),(((((AY$44-AW53)*(AV53-AV52))/(AW52-AW53))^2)^0.5),0))),0),0))))</f>
        <v>0</v>
      </c>
      <c s="588" r="BA53">
        <f>IF(ISNA((AW53*AW52)),0,IF((AT52=FALSE),IF((AT53=FALSE),IF(ISNA(AS53),0,IF((AW52&lt;AY$44),IF((AW53&lt;AY$44),((AY$44-((AW52+AW53)*0.5))*AZ53),(((AY$44-AW52)*0.5)*AZ53)),IF((AW53&lt;AY$44),(((AY$44-AW53)*0.5)*AZ53),0))),0),0))</f>
        <v>0</v>
      </c>
      <c s="588" r="BB53">
        <f>IF(ISNA((AW53*AW52)),0,IF((AT52=FALSE),IF((AT53=FALSE),IF(ISNA(AW53),0,IF((AW52&lt;AY$44),IF((AW53&lt;AY$44),(((AZ53^2)+((AW53-AW52)^2))^0.5),(((AZ53^2)+((AY$44-AW52)^2))^0.5)),IF((AW53&lt;AY$44),(((AZ53^2)+((AY$44-AW53)^2))^0.5),0))),0),0))</f>
        <v>0</v>
      </c>
      <c s="588" r="BC53">
        <f>IF(ISNUMBER((AW53*AW52)),IF((AW52&gt;=AI$148),IF((AW53&lt;AI$148),1,0),IF((AW53&gt;=AI$148),IF((AW52&lt;AI$148),1,0),0)),0)</f>
        <v>0</v>
      </c>
      <c s="588" r="BD53">
        <f>IF(ISNA((AW53*AW52)),0,(IF((AV53&lt;AV52),-1,1)*(IF(ISNA(AW53),0,IF((AW52&lt;AI$148),IF((AW53&lt;AI$148),(((AV53-AV52)^2)^0.5),(((((AI$148-AW52)*(AV53-AV52))/(AW53-AW52))^2)^0.5)),IF((AW53&lt;AI$148),(((((AI$148-AW53)*(AV53-AV52))/(AW52-AW53))^2)^0.5),0))))))</f>
        <v>0</v>
      </c>
      <c s="441" r="BE53">
        <f>IF((BA53&gt;0),(MAX(BE$47:BE52)+1),0)</f>
        <v>0</v>
      </c>
      <c s="388" r="BF53"/>
      <c s="406" r="BG53"/>
      <c s="789" r="BH53"/>
      <c t="s" s="836" r="BI53">
        <v>368</v>
      </c>
      <c s="894" r="BJ53"/>
      <c t="str" s="181" r="BK53">
        <f>IF(OR(ISERROR(Profile!$AM$41),ISERROR(Profile!$AM$42)),"---",IF(ISBLANK(BJ49),IF(ISNA(MATCH(BJ47,Profile!$L$44:$L$215,0)),"---",((BK49*Profile!$AM$41)+Profile!$AM$42)),((BJ49*Profile!$AM$41)+Profile!$AM$42)))</f>
        <v>---</v>
      </c>
      <c s="418" r="BL53"/>
      <c s="550" r="BM53"/>
      <c s="550" r="BN53"/>
      <c t="str" s="620" r="BO53">
        <f>IF((COUNT(BN53:BN$146,BP53:BP$146)=0),NA(),IF(ISBLANK(BN53),BO52,(BO52+(BN53-BP52))))</f>
        <v>#N/A:explicit</v>
      </c>
      <c s="550" r="BP53"/>
      <c t="str" s="620" r="BQ53">
        <f>IF(OR(ISBLANK(BP53),ISNUMBER(BN54)),NA(),(BO53-BP53))</f>
        <v>#N/A:explicit</v>
      </c>
      <c t="b" s="895" r="BR53">
        <v>0</v>
      </c>
      <c s="631" r="BS53"/>
      <c t="str" s="309" r="BT53">
        <f>IF((COUNT(BM53:BM$146)=0),NA(),IF(ISBLANK(BM53),IF(ISBLANK(BM52),MAX(BM$46:BM53),BM52),BM53))</f>
        <v>#N/A:explicit</v>
      </c>
      <c t="str" s="861" r="BU53">
        <f>IF(ISNA(BQ53),IF(ISNUMBER(BT53),BU52,NA()),BQ53)</f>
        <v>#N/A:explicit</v>
      </c>
      <c s="861" r="BV53">
        <f>IF(ISNUMBER(BU53),BU53,(BO$46+1000))</f>
        <v>1000</v>
      </c>
      <c t="str" s="588" r="BW53">
        <f>IF((BR53=TRUE),NA(),IF((BW$44=(BO$46-MAX(BP$46:BP$146))),NA(),BW$44))</f>
        <v>#N/A:explicit</v>
      </c>
      <c s="588" r="BX53">
        <f>IF((ISNA(((BU53*BT53)*BU52))),0,(IF((BT53&lt;BT52),-1,1)*(IF((BR52=FALSE),IF((BR53=FALSE),IF(ISNA(BU53),0,IF((BU52&lt;BW$44),IF((BU53&lt;BW$44),(((BT53-BT52)^2)^0.5),(((((BW$44-BU52)*(BT53-BT52))/(BU53-BU52))^2)^0.5)),IF((BU53&lt;BW$44),(((((BW$44-BU53)*(BT53-BT52))/(BU52-BU53))^2)^0.5),0))),0),0))))</f>
        <v>0</v>
      </c>
      <c s="588" r="BY53">
        <f>IF(ISNA((BU53*BU52)),0,IF((BR52=FALSE),IF((BR53=FALSE),IF(ISNA(BQ53),0,IF((BU52&lt;BW$44),IF((BU53&lt;BW$44),((BW$44-((BU52+BU53)*0.5))*BX53),(((BW$44-BU52)*0.5)*BX53)),IF((BU53&lt;BW$44),(((BW$44-BU53)*0.5)*BX53),0))),0),0))</f>
        <v>0</v>
      </c>
      <c s="588" r="BZ53">
        <f>IF(ISNA((BU53*BU52)),0,IF((BR52=FALSE),IF((BR53=FALSE),IF(ISNA(BU53),0,IF((BU52&lt;BW$44),IF((BU53&lt;BW$44),(((BX53^2)+((BU53-BU52)^2))^0.5),(((BX53^2)+((BW$44-BU52)^2))^0.5)),IF((BU53&lt;BW$44),(((BX53^2)+((BW$44-BU53)^2))^0.5),0))),0),0))</f>
        <v>0</v>
      </c>
      <c s="588" r="CA53">
        <f>IF(ISNUMBER((BU53*BU52)),IF((BU52&gt;=BG$148),IF((BU53&lt;BG$148),1,0),IF((BU53&gt;=BG$148),IF((BU52&lt;BG$148),1,0),0)),0)</f>
        <v>0</v>
      </c>
      <c s="588" r="CB53">
        <f>IF(ISNA((BU53*BU52)),0,(IF((BT53&lt;BT52),-1,1)*(IF(ISNA(BU53),0,IF((BU52&lt;BG$148),IF((BU53&lt;BG$148),(((BT53-BT52)^2)^0.5),(((((BG$148-BU52)*(BT53-BT52))/(BU53-BU52))^2)^0.5)),IF((BU53&lt;BG$148),(((((BG$148-BU53)*(BT53-BT52))/(BU52-BU53))^2)^0.5),0))))))</f>
        <v>0</v>
      </c>
      <c s="441" r="CC53">
        <f>IF((BY53&gt;0),(MAX(CC$47:CC52)+1),0)</f>
        <v>0</v>
      </c>
      <c s="388" r="CD53"/>
      <c s="406" r="CE53"/>
      <c s="789" r="CF53"/>
      <c t="s" s="836" r="CG53">
        <v>368</v>
      </c>
      <c s="894" r="CH53"/>
      <c t="str" s="181" r="CI53">
        <f>IF(OR(ISERROR(Profile!$AM$41),ISERROR(Profile!$AM$42)),"---",IF(ISBLANK(CH49),IF(ISNA(MATCH(CH47,Profile!$L$44:$L$215,0)),"---",((CI49*Profile!$AM$41)+Profile!$AM$42)),((CH49*Profile!$AM$41)+Profile!$AM$42)))</f>
        <v>---</v>
      </c>
      <c s="418" r="CJ53"/>
      <c s="550" r="CK53"/>
      <c s="550" r="CL53"/>
      <c t="str" s="620" r="CM53">
        <f>IF((COUNT(CL53:CL$146,CN53:CN$146)=0),NA(),IF(ISBLANK(CL53),CM52,(CM52+(CL53-CN52))))</f>
        <v>#N/A:explicit</v>
      </c>
      <c s="550" r="CN53"/>
      <c t="str" s="620" r="CO53">
        <f>IF(OR(ISBLANK(CN53),ISNUMBER(CL54)),NA(),(CM53-CN53))</f>
        <v>#N/A:explicit</v>
      </c>
      <c t="b" s="895" r="CP53">
        <v>0</v>
      </c>
      <c s="631" r="CQ53"/>
      <c t="str" s="309" r="CR53">
        <f>IF((COUNT(CK53:CK$146)=0),NA(),IF(ISBLANK(CK53),IF(ISBLANK(CK52),MAX(CK$46:CK53),CK52),CK53))</f>
        <v>#N/A:explicit</v>
      </c>
      <c t="str" s="861" r="CS53">
        <f>IF(ISNA(CO53),IF(ISNUMBER(CR53),CS52,NA()),CO53)</f>
        <v>#N/A:explicit</v>
      </c>
      <c s="861" r="CT53">
        <f>IF(ISNUMBER(CS53),CS53,(CM$46+1000))</f>
        <v>1000</v>
      </c>
      <c t="str" s="588" r="CU53">
        <f>IF((CP53=TRUE),NA(),IF((CU$44=(CM$46-MAX(CN$46:CN$146))),NA(),CU$44))</f>
        <v>#N/A:explicit</v>
      </c>
      <c s="588" r="CV53">
        <f>IF((ISNA(((CS53*CR53)*CS52))),0,(IF((CR53&lt;CR52),-1,1)*(IF((CP52=FALSE),IF((CP53=FALSE),IF(ISNA(CS53),0,IF((CS52&lt;CU$44),IF((CS53&lt;CU$44),(((CR53-CR52)^2)^0.5),(((((CU$44-CS52)*(CR53-CR52))/(CS53-CS52))^2)^0.5)),IF((CS53&lt;CU$44),(((((CU$44-CS53)*(CR53-CR52))/(CS52-CS53))^2)^0.5),0))),0),0))))</f>
        <v>0</v>
      </c>
      <c s="588" r="CW53">
        <f>IF(ISNA((CS53*CS52)),0,IF((CP52=FALSE),IF((CP53=FALSE),IF(ISNA(CO53),0,IF((CS52&lt;CU$44),IF((CS53&lt;CU$44),((CU$44-((CS52+CS53)*0.5))*CV53),(((CU$44-CS52)*0.5)*CV53)),IF((CS53&lt;CU$44),(((CU$44-CS53)*0.5)*CV53),0))),0),0))</f>
        <v>0</v>
      </c>
      <c s="588" r="CX53">
        <f>IF(ISNA((CS53*CS52)),0,IF((CP52=FALSE),IF((CP53=FALSE),IF(ISNA(CS53),0,IF((CS52&lt;CU$44),IF((CS53&lt;CU$44),(((CV53^2)+((CS53-CS52)^2))^0.5),(((CV53^2)+((CU$44-CS52)^2))^0.5)),IF((CS53&lt;CU$44),(((CV53^2)+((CU$44-CS53)^2))^0.5),0))),0),0))</f>
        <v>0</v>
      </c>
      <c s="588" r="CY53">
        <f>IF(ISNUMBER((CS53*CS52)),IF((CS52&gt;=CE$148),IF((CS53&lt;CE$148),1,0),IF((CS53&gt;=CE$148),IF((CS52&lt;CE$148),1,0),0)),0)</f>
        <v>0</v>
      </c>
      <c s="588" r="CZ53">
        <f>IF(ISNA((CS53*CS52)),0,(IF((CR53&lt;CR52),-1,1)*(IF(ISNA(CS53),0,IF((CS52&lt;CE$148),IF((CS53&lt;CE$148),(((CR53-CR52)^2)^0.5),(((((CE$148-CS52)*(CR53-CR52))/(CS53-CS52))^2)^0.5)),IF((CS53&lt;CE$148),(((((CE$148-CS53)*(CR53-CR52))/(CS52-CS53))^2)^0.5),0))))))</f>
        <v>0</v>
      </c>
      <c s="441" r="DA53">
        <f>IF((CW53&gt;0),(MAX(DA$47:DA52)+1),0)</f>
        <v>0</v>
      </c>
      <c s="388" r="DB53"/>
      <c s="406" r="DC53"/>
      <c s="789" r="DD53"/>
      <c t="s" s="836" r="DE53">
        <v>368</v>
      </c>
      <c s="894" r="DF53"/>
      <c t="str" s="181" r="DG53">
        <f>IF(OR(ISERROR(Profile!$AM$41),ISERROR(Profile!$AM$42)),"---",IF(ISBLANK(DF49),IF(ISNA(MATCH(DF47,Profile!$L$44:$L$215,0)),"---",((DG49*Profile!$AM$41)+Profile!$AM$42)),((DF49*Profile!$AM$41)+Profile!$AM$42)))</f>
        <v>---</v>
      </c>
      <c s="418" r="DH53"/>
      <c s="550" r="DI53"/>
      <c s="550" r="DJ53"/>
      <c t="str" s="620" r="DK53">
        <f>IF((COUNT(DJ53:DJ$146,DL53:DL$146)=0),NA(),IF(ISBLANK(DJ53),DK52,(DK52+(DJ53-DL52))))</f>
        <v>#N/A:explicit</v>
      </c>
      <c s="550" r="DL53"/>
      <c t="str" s="620" r="DM53">
        <f>IF(OR(ISBLANK(DL53),ISNUMBER(DJ54)),NA(),(DK53-DL53))</f>
        <v>#N/A:explicit</v>
      </c>
      <c t="b" s="895" r="DN53">
        <v>0</v>
      </c>
      <c s="631" r="DO53"/>
      <c t="str" s="309" r="DP53">
        <f>IF((COUNT(DI53:DI$146)=0),NA(),IF(ISBLANK(DI53),IF(ISBLANK(DI52),MAX(DI$46:DI53),DI52),DI53))</f>
        <v>#N/A:explicit</v>
      </c>
      <c t="str" s="861" r="DQ53">
        <f>IF(ISNA(DM53),IF(ISNUMBER(DP53),DQ52,NA()),DM53)</f>
        <v>#N/A:explicit</v>
      </c>
      <c s="861" r="DR53">
        <f>IF(ISNUMBER(DQ53),DQ53,(DK$46+1000))</f>
        <v>1000</v>
      </c>
      <c t="str" s="588" r="DS53">
        <f>IF((DN53=TRUE),NA(),IF((DS$44=(DK$46-MAX(DL$46:DL$146))),NA(),DS$44))</f>
        <v>#N/A:explicit</v>
      </c>
      <c s="588" r="DT53">
        <f>IF((ISNA(((DQ53*DP53)*DQ52))),0,(IF((DP53&lt;DP52),-1,1)*(IF((DN52=FALSE),IF((DN53=FALSE),IF(ISNA(DQ53),0,IF((DQ52&lt;DS$44),IF((DQ53&lt;DS$44),(((DP53-DP52)^2)^0.5),(((((DS$44-DQ52)*(DP53-DP52))/(DQ53-DQ52))^2)^0.5)),IF((DQ53&lt;DS$44),(((((DS$44-DQ53)*(DP53-DP52))/(DQ52-DQ53))^2)^0.5),0))),0),0))))</f>
        <v>0</v>
      </c>
      <c s="588" r="DU53">
        <f>IF(ISNA((DQ53*DQ52)),0,IF((DN52=FALSE),IF((DN53=FALSE),IF(ISNA(DM53),0,IF((DQ52&lt;DS$44),IF((DQ53&lt;DS$44),((DS$44-((DQ52+DQ53)*0.5))*DT53),(((DS$44-DQ52)*0.5)*DT53)),IF((DQ53&lt;DS$44),(((DS$44-DQ53)*0.5)*DT53),0))),0),0))</f>
        <v>0</v>
      </c>
      <c s="588" r="DV53">
        <f>IF(ISNA((DQ53*DQ52)),0,IF((DN52=FALSE),IF((DN53=FALSE),IF(ISNA(DQ53),0,IF((DQ52&lt;DS$44),IF((DQ53&lt;DS$44),(((DT53^2)+((DQ53-DQ52)^2))^0.5),(((DT53^2)+((DS$44-DQ52)^2))^0.5)),IF((DQ53&lt;DS$44),(((DT53^2)+((DS$44-DQ53)^2))^0.5),0))),0),0))</f>
        <v>0</v>
      </c>
      <c s="588" r="DW53">
        <f>IF(ISNUMBER((DQ53*DQ52)),IF((DQ52&gt;=DC$148),IF((DQ53&lt;DC$148),1,0),IF((DQ53&gt;=DC$148),IF((DQ52&lt;DC$148),1,0),0)),0)</f>
        <v>0</v>
      </c>
      <c s="588" r="DX53">
        <f>IF(ISNA((DQ53*DQ52)),0,(IF((DP53&lt;DP52),-1,1)*(IF(ISNA(DQ53),0,IF((DQ52&lt;DC$148),IF((DQ53&lt;DC$148),(((DP53-DP52)^2)^0.5),(((((DC$148-DQ52)*(DP53-DP52))/(DQ53-DQ52))^2)^0.5)),IF((DQ53&lt;DC$148),(((((DC$148-DQ53)*(DP53-DP52))/(DQ52-DQ53))^2)^0.5),0))))))</f>
        <v>0</v>
      </c>
      <c s="441" r="DY53">
        <f>IF((DU53&gt;0),(MAX(DY$47:DY52)+1),0)</f>
        <v>0</v>
      </c>
      <c s="388" r="DZ53"/>
      <c s="406" r="EA53"/>
      <c s="789" r="EB53"/>
      <c t="s" s="836" r="EC53">
        <v>368</v>
      </c>
      <c s="894" r="ED53"/>
      <c t="str" s="181" r="EE53">
        <f>IF(OR(ISERROR(Profile!$AM$41),ISERROR(Profile!$AM$42)),"---",IF(ISBLANK(ED49),IF(ISNA(MATCH(ED47,Profile!$L$44:$L$215,0)),"---",((EE49*Profile!$AM$41)+Profile!$AM$42)),((ED49*Profile!$AM$41)+Profile!$AM$42)))</f>
        <v>---</v>
      </c>
      <c s="418" r="EF53"/>
      <c s="550" r="EG53"/>
      <c s="550" r="EH53"/>
      <c t="str" s="620" r="EI53">
        <f>IF((COUNT(EH53:EH$146,EJ53:EJ$146)=0),NA(),IF(ISBLANK(EH53),EI52,(EI52+(EH53-EJ52))))</f>
        <v>#N/A:explicit</v>
      </c>
      <c s="550" r="EJ53"/>
      <c t="str" s="620" r="EK53">
        <f>IF(OR(ISBLANK(EJ53),ISNUMBER(EH54)),NA(),(EI53-EJ53))</f>
        <v>#N/A:explicit</v>
      </c>
      <c t="b" s="895" r="EL53">
        <v>0</v>
      </c>
      <c s="631" r="EM53"/>
      <c t="str" s="309" r="EN53">
        <f>IF((COUNT(EG53:EG$146)=0),NA(),IF(ISBLANK(EG53),IF(ISBLANK(EG52),MAX(EG$46:EG53),EG52),EG53))</f>
        <v>#N/A:explicit</v>
      </c>
      <c t="str" s="861" r="EO53">
        <f>IF(ISNA(EK53),IF(ISNUMBER(EN53),EO52,NA()),EK53)</f>
        <v>#N/A:explicit</v>
      </c>
      <c s="861" r="EP53">
        <f>IF(ISNUMBER(EO53),EO53,(EI$46+1000))</f>
        <v>1000</v>
      </c>
      <c t="str" s="588" r="EQ53">
        <f>IF((EL53=TRUE),NA(),IF((EQ$44=(EI$46-MAX(EJ$46:EJ$146))),NA(),EQ$44))</f>
        <v>#N/A:explicit</v>
      </c>
      <c s="588" r="ER53">
        <f>IF((ISNA(((EO53*EN53)*EO52))),0,(IF((EN53&lt;EN52),-1,1)*(IF((EL52=FALSE),IF((EL53=FALSE),IF(ISNA(EO53),0,IF((EO52&lt;EQ$44),IF((EO53&lt;EQ$44),(((EN53-EN52)^2)^0.5),(((((EQ$44-EO52)*(EN53-EN52))/(EO53-EO52))^2)^0.5)),IF((EO53&lt;EQ$44),(((((EQ$44-EO53)*(EN53-EN52))/(EO52-EO53))^2)^0.5),0))),0),0))))</f>
        <v>0</v>
      </c>
      <c s="588" r="ES53">
        <f>IF(ISNA((EO53*EO52)),0,IF((EL52=FALSE),IF((EL53=FALSE),IF(ISNA(EK53),0,IF((EO52&lt;EQ$44),IF((EO53&lt;EQ$44),((EQ$44-((EO52+EO53)*0.5))*ER53),(((EQ$44-EO52)*0.5)*ER53)),IF((EO53&lt;EQ$44),(((EQ$44-EO53)*0.5)*ER53),0))),0),0))</f>
        <v>0</v>
      </c>
      <c s="588" r="ET53">
        <f>IF(ISNA((EO53*EO52)),0,IF((EL52=FALSE),IF((EL53=FALSE),IF(ISNA(EO53),0,IF((EO52&lt;EQ$44),IF((EO53&lt;EQ$44),(((ER53^2)+((EO53-EO52)^2))^0.5),(((ER53^2)+((EQ$44-EO52)^2))^0.5)),IF((EO53&lt;EQ$44),(((ER53^2)+((EQ$44-EO53)^2))^0.5),0))),0),0))</f>
        <v>0</v>
      </c>
      <c s="588" r="EU53">
        <f>IF(ISNUMBER((EO53*EO52)),IF((EO52&gt;=EA$148),IF((EO53&lt;EA$148),1,0),IF((EO53&gt;=EA$148),IF((EO52&lt;EA$148),1,0),0)),0)</f>
        <v>0</v>
      </c>
      <c s="588" r="EV53">
        <f>IF(ISNA((EO53*EO52)),0,(IF((EN53&lt;EN52),-1,1)*(IF(ISNA(EO53),0,IF((EO52&lt;EA$148),IF((EO53&lt;EA$148),(((EN53-EN52)^2)^0.5),(((((EA$148-EO52)*(EN53-EN52))/(EO53-EO52))^2)^0.5)),IF((EO53&lt;EA$148),(((((EA$148-EO53)*(EN53-EN52))/(EO52-EO53))^2)^0.5),0))))))</f>
        <v>0</v>
      </c>
      <c s="441" r="EW53">
        <f>IF((ES53&gt;0),(MAX(EW$47:EW52)+1),0)</f>
        <v>0</v>
      </c>
      <c s="388" r="EX53"/>
      <c s="406" r="EY53"/>
      <c s="789" r="EZ53"/>
      <c t="s" s="836" r="FA53">
        <v>368</v>
      </c>
      <c s="894" r="FB53"/>
      <c t="str" s="181" r="FC53">
        <f>IF(OR(ISERROR(Profile!$AM$41),ISERROR(Profile!$AM$42)),"---",IF(ISBLANK(FB49),IF(ISNA(MATCH(FB47,Profile!$L$44:$L$215,0)),"---",((FC49*Profile!$AM$41)+Profile!$AM$42)),((FB49*Profile!$AM$41)+Profile!$AM$42)))</f>
        <v>---</v>
      </c>
      <c s="418" r="FD53"/>
      <c s="550" r="FE53"/>
      <c s="550" r="FF53"/>
      <c t="str" s="620" r="FG53">
        <f>IF((COUNT(FF53:FF$146,FH53:FH$146)=0),NA(),IF(ISBLANK(FF53),FG52,(FG52+(FF53-FH52))))</f>
        <v>#N/A:explicit</v>
      </c>
      <c s="550" r="FH53"/>
      <c t="str" s="620" r="FI53">
        <f>IF(OR(ISBLANK(FH53),ISNUMBER(FF54)),NA(),(FG53-FH53))</f>
        <v>#N/A:explicit</v>
      </c>
      <c t="b" s="895" r="FJ53">
        <v>0</v>
      </c>
      <c s="631" r="FK53"/>
      <c t="str" s="309" r="FL53">
        <f>IF((COUNT(FE53:FE$146)=0),NA(),IF(ISBLANK(FE53),IF(ISBLANK(FE52),MAX(FE$46:FE53),FE52),FE53))</f>
        <v>#N/A:explicit</v>
      </c>
      <c t="str" s="861" r="FM53">
        <f>IF(ISNA(FI53),IF(ISNUMBER(FL53),FM52,NA()),FI53)</f>
        <v>#N/A:explicit</v>
      </c>
      <c s="861" r="FN53">
        <f>IF(ISNUMBER(FM53),FM53,(FG$46+1000))</f>
        <v>1000</v>
      </c>
      <c t="str" s="588" r="FO53">
        <f>IF((FJ53=TRUE),NA(),IF((FO$44=(FG$46-MAX(FH$46:FH$146))),NA(),FO$44))</f>
        <v>#N/A:explicit</v>
      </c>
      <c s="588" r="FP53">
        <f>IF((ISNA(((FM53*FL53)*FM52))),0,(IF((FL53&lt;FL52),-1,1)*(IF((FJ52=FALSE),IF((FJ53=FALSE),IF(ISNA(FM53),0,IF((FM52&lt;FO$44),IF((FM53&lt;FO$44),(((FL53-FL52)^2)^0.5),(((((FO$44-FM52)*(FL53-FL52))/(FM53-FM52))^2)^0.5)),IF((FM53&lt;FO$44),(((((FO$44-FM53)*(FL53-FL52))/(FM52-FM53))^2)^0.5),0))),0),0))))</f>
        <v>0</v>
      </c>
      <c s="588" r="FQ53">
        <f>IF(ISNA((FM53*FM52)),0,IF((FJ52=FALSE),IF((FJ53=FALSE),IF(ISNA(FI53),0,IF((FM52&lt;FO$44),IF((FM53&lt;FO$44),((FO$44-((FM52+FM53)*0.5))*FP53),(((FO$44-FM52)*0.5)*FP53)),IF((FM53&lt;FO$44),(((FO$44-FM53)*0.5)*FP53),0))),0),0))</f>
        <v>0</v>
      </c>
      <c s="588" r="FR53">
        <f>IF(ISNA((FM53*FM52)),0,IF((FJ52=FALSE),IF((FJ53=FALSE),IF(ISNA(FM53),0,IF((FM52&lt;FO$44),IF((FM53&lt;FO$44),(((FP53^2)+((FM53-FM52)^2))^0.5),(((FP53^2)+((FO$44-FM52)^2))^0.5)),IF((FM53&lt;FO$44),(((FP53^2)+((FO$44-FM53)^2))^0.5),0))),0),0))</f>
        <v>0</v>
      </c>
      <c s="588" r="FS53">
        <f>IF(ISNUMBER((FM53*FM52)),IF((FM52&gt;=EY$148),IF((FM53&lt;EY$148),1,0),IF((FM53&gt;=EY$148),IF((FM52&lt;EY$148),1,0),0)),0)</f>
        <v>0</v>
      </c>
      <c s="588" r="FT53">
        <f>IF(ISNA((FM53*FM52)),0,(IF((FL53&lt;FL52),-1,1)*(IF(ISNA(FM53),0,IF((FM52&lt;EY$148),IF((FM53&lt;EY$148),(((FL53-FL52)^2)^0.5),(((((EY$148-FM52)*(FL53-FL52))/(FM53-FM52))^2)^0.5)),IF((FM53&lt;EY$148),(((((EY$148-FM53)*(FL53-FL52))/(FM52-FM53))^2)^0.5),0))))))</f>
        <v>0</v>
      </c>
      <c s="441" r="FU53">
        <f>IF((FQ53&gt;0),(MAX(FU$47:FU52)+1),0)</f>
        <v>0</v>
      </c>
      <c s="222" r="FV53"/>
      <c s="125" r="FW53"/>
      <c s="125" r="FX53"/>
      <c s="125" r="FY53"/>
      <c s="125" r="FZ53"/>
      <c s="125" r="GA53"/>
      <c s="125" r="GB53"/>
      <c s="125" r="GC53"/>
      <c s="125" r="GD53"/>
      <c s="125" r="GE53"/>
      <c s="125" r="GF53"/>
      <c s="125" r="GG53"/>
      <c s="125" r="GH53"/>
      <c s="125" r="GI53"/>
      <c s="125" r="GJ53"/>
      <c s="125" r="GK53"/>
      <c s="125" r="GL53"/>
      <c s="125" r="GM53"/>
      <c s="125" r="GN53"/>
      <c s="125" r="GO53"/>
      <c s="125" r="GP53"/>
      <c s="125" r="GQ53"/>
      <c s="125" r="GR53"/>
      <c s="125" r="GS53"/>
      <c s="125" r="GT53"/>
      <c s="125" r="GU53"/>
      <c s="125" r="GV53"/>
      <c s="125" r="GW53"/>
      <c s="125" r="GX53"/>
      <c s="125" r="GY53"/>
      <c s="125" r="GZ53"/>
      <c s="125" r="HA53"/>
      <c s="125" r="HB53"/>
    </row>
    <row customHeight="1" r="54" ht="13.5">
      <c s="822" r="A54"/>
      <c s="406" r="B54"/>
      <c s="886" r="C54"/>
      <c s="886" r="D54"/>
      <c s="886" r="E54"/>
      <c s="886" r="F54"/>
      <c s="886" r="G54"/>
      <c s="886" r="H54"/>
      <c s="418" r="I54"/>
      <c s="702" r="J54"/>
      <c s="406" r="K54"/>
      <c s="789" r="L54"/>
      <c s="861" r="M54"/>
      <c s="274" r="N54"/>
      <c s="321" r="O54"/>
      <c s="418" r="P54"/>
      <c s="550" r="Q54"/>
      <c s="550" r="R54"/>
      <c t="str" s="620" r="S54">
        <f>IF((COUNT(R54:R$146,T54:T$146)=0),NA(),IF(ISBLANK(R54),S53,(S53+(R54-T53))))</f>
        <v>#N/A:explicit</v>
      </c>
      <c s="550" r="T54"/>
      <c t="str" s="620" r="U54">
        <f>IF(OR(ISBLANK(T54),ISNUMBER(R55)),NA(),(S54-T54))</f>
        <v>#N/A:explicit</v>
      </c>
      <c t="b" s="895" r="V54">
        <v>0</v>
      </c>
      <c s="631" r="W54"/>
      <c t="str" s="309" r="X54">
        <f>IF((COUNT(Q54:Q$146)=0),NA(),IF(ISBLANK(Q54),IF(ISBLANK(Q53),MAX(Q$46:Q54),Q53),Q54))</f>
        <v>#N/A:explicit</v>
      </c>
      <c t="str" s="861" r="Y54">
        <f>IF(ISNA(U54),IF(ISNUMBER(X54),Y53,NA()),U54)</f>
        <v>#N/A:explicit</v>
      </c>
      <c s="861" r="Z54">
        <f>IF(ISNUMBER(Y54),Y54,(S$46+1000))</f>
        <v>1000</v>
      </c>
      <c t="str" s="588" r="AA54">
        <f>IF((V54=TRUE),NA(),IF((AA$44=(S$46-MAX(T$46:T$146))),NA(),AA$44))</f>
        <v>#N/A:explicit</v>
      </c>
      <c s="588" r="AB54">
        <f>IF((ISNA(((Y54*X54)*Y53))),0,(IF((X54&lt;X53),-1,1)*(IF((V53=FALSE),IF((V54=FALSE),IF(ISNA(Y54),0,IF((Y53&lt;AA$44),IF((Y54&lt;AA$44),(((X54-X53)^2)^0.5),(((((AA$44-Y53)*(X54-X53))/(Y54-Y53))^2)^0.5)),IF((Y54&lt;AA$44),(((((AA$44-Y54)*(X54-X53))/(Y53-Y54))^2)^0.5),0))),0),0))))</f>
        <v>0</v>
      </c>
      <c s="588" r="AC54">
        <f>IF(ISNA((Y54*Y53)),0,IF((V53=FALSE),IF((V54=FALSE),IF(ISNA(U54),0,IF((Y53&lt;AA$44),IF((Y54&lt;AA$44),((AA$44-((Y53+Y54)*0.5))*AB54),(((AA$44-Y53)*0.5)*AB54)),IF((Y54&lt;AA$44),(((AA$44-Y54)*0.5)*AB54),0))),0),0))</f>
        <v>0</v>
      </c>
      <c s="588" r="AD54">
        <f>IF(ISNA((Y54*Y53)),0,IF((V53=FALSE),IF((V54=FALSE),IF(ISNA(Y54),0,IF((Y53&lt;AA$44),IF((Y54&lt;AA$44),(((AB54^2)+((Y54-Y53)^2))^0.5),(((AB54^2)+((AA$44-Y53)^2))^0.5)),IF((Y54&lt;AA$44),(((AB54^2)+((AA$44-Y54)^2))^0.5),0))),0),0))</f>
        <v>0</v>
      </c>
      <c s="588" r="AE54">
        <f>IF(ISNUMBER((Y54*Y53)),IF((Y53&gt;=K$148),IF((Y54&lt;K$148),1,0),IF((Y54&gt;=K$148),IF((Y53&lt;K$148),1,0),0)),0)</f>
        <v>0</v>
      </c>
      <c s="588" r="AF54">
        <f>IF(ISNA((Y54*Y53)),0,(IF((X54&lt;X53),-1,1)*(IF(ISNA(Y54),0,IF((Y53&lt;K$148),IF((Y54&lt;K$148),(((X54-X53)^2)^0.5),(((((K$148-Y53)*(X54-X53))/(Y54-Y53))^2)^0.5)),IF((Y54&lt;K$148),(((((K$148-Y54)*(X54-X53))/(Y53-Y54))^2)^0.5),0))))))</f>
        <v>0</v>
      </c>
      <c s="441" r="AG54">
        <f>IF((AC54&gt;0),(MAX(AG$47:AG53)+1),0)</f>
        <v>0</v>
      </c>
      <c s="388" r="AH54"/>
      <c s="406" r="AI54"/>
      <c s="789" r="AJ54"/>
      <c s="861" r="AK54"/>
      <c s="274" r="AL54"/>
      <c s="321" r="AM54"/>
      <c s="418" r="AN54"/>
      <c s="550" r="AO54"/>
      <c s="550" r="AP54"/>
      <c t="str" s="620" r="AQ54">
        <f>IF((COUNT(AP54:AP$146,AR54:AR$146)=0),NA(),IF(ISBLANK(AP54),AQ53,(AQ53+(AP54-AR53))))</f>
        <v>#N/A:explicit</v>
      </c>
      <c s="550" r="AR54"/>
      <c t="str" s="620" r="AS54">
        <f>IF(OR(ISBLANK(AR54),ISNUMBER(AP55)),NA(),(AQ54-AR54))</f>
        <v>#N/A:explicit</v>
      </c>
      <c t="b" s="895" r="AT54">
        <v>0</v>
      </c>
      <c s="631" r="AU54"/>
      <c t="str" s="309" r="AV54">
        <f>IF((COUNT(AO54:AO$146)=0),NA(),IF(ISBLANK(AO54),IF(ISBLANK(AO53),MAX(AO$46:AO54),AO53),AO54))</f>
        <v>#N/A:explicit</v>
      </c>
      <c t="str" s="861" r="AW54">
        <f>IF(ISNA(AS54),IF(ISNUMBER(AV54),AW53,NA()),AS54)</f>
        <v>#N/A:explicit</v>
      </c>
      <c s="861" r="AX54">
        <f>IF(ISNUMBER(AW54),AW54,(AQ$46+1000))</f>
        <v>1000</v>
      </c>
      <c t="str" s="588" r="AY54">
        <f>IF((AT54=TRUE),NA(),IF((AY$44=(AQ$46-MAX(AR$46:AR$146))),NA(),AY$44))</f>
        <v>#N/A:explicit</v>
      </c>
      <c s="588" r="AZ54">
        <f>IF((ISNA(((AW54*AV54)*AW53))),0,(IF((AV54&lt;AV53),-1,1)*(IF((AT53=FALSE),IF((AT54=FALSE),IF(ISNA(AW54),0,IF((AW53&lt;AY$44),IF((AW54&lt;AY$44),(((AV54-AV53)^2)^0.5),(((((AY$44-AW53)*(AV54-AV53))/(AW54-AW53))^2)^0.5)),IF((AW54&lt;AY$44),(((((AY$44-AW54)*(AV54-AV53))/(AW53-AW54))^2)^0.5),0))),0),0))))</f>
        <v>0</v>
      </c>
      <c s="588" r="BA54">
        <f>IF(ISNA((AW54*AW53)),0,IF((AT53=FALSE),IF((AT54=FALSE),IF(ISNA(AS54),0,IF((AW53&lt;AY$44),IF((AW54&lt;AY$44),((AY$44-((AW53+AW54)*0.5))*AZ54),(((AY$44-AW53)*0.5)*AZ54)),IF((AW54&lt;AY$44),(((AY$44-AW54)*0.5)*AZ54),0))),0),0))</f>
        <v>0</v>
      </c>
      <c s="588" r="BB54">
        <f>IF(ISNA((AW54*AW53)),0,IF((AT53=FALSE),IF((AT54=FALSE),IF(ISNA(AW54),0,IF((AW53&lt;AY$44),IF((AW54&lt;AY$44),(((AZ54^2)+((AW54-AW53)^2))^0.5),(((AZ54^2)+((AY$44-AW53)^2))^0.5)),IF((AW54&lt;AY$44),(((AZ54^2)+((AY$44-AW54)^2))^0.5),0))),0),0))</f>
        <v>0</v>
      </c>
      <c s="588" r="BC54">
        <f>IF(ISNUMBER((AW54*AW53)),IF((AW53&gt;=AI$148),IF((AW54&lt;AI$148),1,0),IF((AW54&gt;=AI$148),IF((AW53&lt;AI$148),1,0),0)),0)</f>
        <v>0</v>
      </c>
      <c s="588" r="BD54">
        <f>IF(ISNA((AW54*AW53)),0,(IF((AV54&lt;AV53),-1,1)*(IF(ISNA(AW54),0,IF((AW53&lt;AI$148),IF((AW54&lt;AI$148),(((AV54-AV53)^2)^0.5),(((((AI$148-AW53)*(AV54-AV53))/(AW54-AW53))^2)^0.5)),IF((AW54&lt;AI$148),(((((AI$148-AW54)*(AV54-AV53))/(AW53-AW54))^2)^0.5),0))))))</f>
        <v>0</v>
      </c>
      <c s="441" r="BE54">
        <f>IF((BA54&gt;0),(MAX(BE$47:BE53)+1),0)</f>
        <v>0</v>
      </c>
      <c s="388" r="BF54"/>
      <c s="406" r="BG54"/>
      <c s="789" r="BH54"/>
      <c s="861" r="BI54"/>
      <c s="274" r="BJ54"/>
      <c s="321" r="BK54"/>
      <c s="418" r="BL54"/>
      <c s="550" r="BM54"/>
      <c s="550" r="BN54"/>
      <c t="str" s="620" r="BO54">
        <f>IF((COUNT(BN54:BN$146,BP54:BP$146)=0),NA(),IF(ISBLANK(BN54),BO53,(BO53+(BN54-BP53))))</f>
        <v>#N/A:explicit</v>
      </c>
      <c s="550" r="BP54"/>
      <c t="str" s="620" r="BQ54">
        <f>IF(OR(ISBLANK(BP54),ISNUMBER(BN55)),NA(),(BO54-BP54))</f>
        <v>#N/A:explicit</v>
      </c>
      <c t="b" s="895" r="BR54">
        <v>0</v>
      </c>
      <c s="631" r="BS54"/>
      <c t="str" s="309" r="BT54">
        <f>IF((COUNT(BM54:BM$146)=0),NA(),IF(ISBLANK(BM54),IF(ISBLANK(BM53),MAX(BM$46:BM54),BM53),BM54))</f>
        <v>#N/A:explicit</v>
      </c>
      <c t="str" s="861" r="BU54">
        <f>IF(ISNA(BQ54),IF(ISNUMBER(BT54),BU53,NA()),BQ54)</f>
        <v>#N/A:explicit</v>
      </c>
      <c s="861" r="BV54">
        <f>IF(ISNUMBER(BU54),BU54,(BO$46+1000))</f>
        <v>1000</v>
      </c>
      <c t="str" s="588" r="BW54">
        <f>IF((BR54=TRUE),NA(),IF((BW$44=(BO$46-MAX(BP$46:BP$146))),NA(),BW$44))</f>
        <v>#N/A:explicit</v>
      </c>
      <c s="588" r="BX54">
        <f>IF((ISNA(((BU54*BT54)*BU53))),0,(IF((BT54&lt;BT53),-1,1)*(IF((BR53=FALSE),IF((BR54=FALSE),IF(ISNA(BU54),0,IF((BU53&lt;BW$44),IF((BU54&lt;BW$44),(((BT54-BT53)^2)^0.5),(((((BW$44-BU53)*(BT54-BT53))/(BU54-BU53))^2)^0.5)),IF((BU54&lt;BW$44),(((((BW$44-BU54)*(BT54-BT53))/(BU53-BU54))^2)^0.5),0))),0),0))))</f>
        <v>0</v>
      </c>
      <c s="588" r="BY54">
        <f>IF(ISNA((BU54*BU53)),0,IF((BR53=FALSE),IF((BR54=FALSE),IF(ISNA(BQ54),0,IF((BU53&lt;BW$44),IF((BU54&lt;BW$44),((BW$44-((BU53+BU54)*0.5))*BX54),(((BW$44-BU53)*0.5)*BX54)),IF((BU54&lt;BW$44),(((BW$44-BU54)*0.5)*BX54),0))),0),0))</f>
        <v>0</v>
      </c>
      <c s="588" r="BZ54">
        <f>IF(ISNA((BU54*BU53)),0,IF((BR53=FALSE),IF((BR54=FALSE),IF(ISNA(BU54),0,IF((BU53&lt;BW$44),IF((BU54&lt;BW$44),(((BX54^2)+((BU54-BU53)^2))^0.5),(((BX54^2)+((BW$44-BU53)^2))^0.5)),IF((BU54&lt;BW$44),(((BX54^2)+((BW$44-BU54)^2))^0.5),0))),0),0))</f>
        <v>0</v>
      </c>
      <c s="588" r="CA54">
        <f>IF(ISNUMBER((BU54*BU53)),IF((BU53&gt;=BG$148),IF((BU54&lt;BG$148),1,0),IF((BU54&gt;=BG$148),IF((BU53&lt;BG$148),1,0),0)),0)</f>
        <v>0</v>
      </c>
      <c s="588" r="CB54">
        <f>IF(ISNA((BU54*BU53)),0,(IF((BT54&lt;BT53),-1,1)*(IF(ISNA(BU54),0,IF((BU53&lt;BG$148),IF((BU54&lt;BG$148),(((BT54-BT53)^2)^0.5),(((((BG$148-BU53)*(BT54-BT53))/(BU54-BU53))^2)^0.5)),IF((BU54&lt;BG$148),(((((BG$148-BU54)*(BT54-BT53))/(BU53-BU54))^2)^0.5),0))))))</f>
        <v>0</v>
      </c>
      <c s="441" r="CC54">
        <f>IF((BY54&gt;0),(MAX(CC$47:CC53)+1),0)</f>
        <v>0</v>
      </c>
      <c s="388" r="CD54"/>
      <c s="406" r="CE54"/>
      <c s="789" r="CF54"/>
      <c s="861" r="CG54"/>
      <c s="274" r="CH54"/>
      <c s="321" r="CI54"/>
      <c s="418" r="CJ54"/>
      <c s="550" r="CK54"/>
      <c s="550" r="CL54"/>
      <c t="str" s="620" r="CM54">
        <f>IF((COUNT(CL54:CL$146,CN54:CN$146)=0),NA(),IF(ISBLANK(CL54),CM53,(CM53+(CL54-CN53))))</f>
        <v>#N/A:explicit</v>
      </c>
      <c s="550" r="CN54"/>
      <c t="str" s="620" r="CO54">
        <f>IF(OR(ISBLANK(CN54),ISNUMBER(CL55)),NA(),(CM54-CN54))</f>
        <v>#N/A:explicit</v>
      </c>
      <c t="b" s="895" r="CP54">
        <v>0</v>
      </c>
      <c s="631" r="CQ54"/>
      <c t="str" s="309" r="CR54">
        <f>IF((COUNT(CK54:CK$146)=0),NA(),IF(ISBLANK(CK54),IF(ISBLANK(CK53),MAX(CK$46:CK54),CK53),CK54))</f>
        <v>#N/A:explicit</v>
      </c>
      <c t="str" s="861" r="CS54">
        <f>IF(ISNA(CO54),IF(ISNUMBER(CR54),CS53,NA()),CO54)</f>
        <v>#N/A:explicit</v>
      </c>
      <c s="861" r="CT54">
        <f>IF(ISNUMBER(CS54),CS54,(CM$46+1000))</f>
        <v>1000</v>
      </c>
      <c t="str" s="588" r="CU54">
        <f>IF((CP54=TRUE),NA(),IF((CU$44=(CM$46-MAX(CN$46:CN$146))),NA(),CU$44))</f>
        <v>#N/A:explicit</v>
      </c>
      <c s="588" r="CV54">
        <f>IF((ISNA(((CS54*CR54)*CS53))),0,(IF((CR54&lt;CR53),-1,1)*(IF((CP53=FALSE),IF((CP54=FALSE),IF(ISNA(CS54),0,IF((CS53&lt;CU$44),IF((CS54&lt;CU$44),(((CR54-CR53)^2)^0.5),(((((CU$44-CS53)*(CR54-CR53))/(CS54-CS53))^2)^0.5)),IF((CS54&lt;CU$44),(((((CU$44-CS54)*(CR54-CR53))/(CS53-CS54))^2)^0.5),0))),0),0))))</f>
        <v>0</v>
      </c>
      <c s="588" r="CW54">
        <f>IF(ISNA((CS54*CS53)),0,IF((CP53=FALSE),IF((CP54=FALSE),IF(ISNA(CO54),0,IF((CS53&lt;CU$44),IF((CS54&lt;CU$44),((CU$44-((CS53+CS54)*0.5))*CV54),(((CU$44-CS53)*0.5)*CV54)),IF((CS54&lt;CU$44),(((CU$44-CS54)*0.5)*CV54),0))),0),0))</f>
        <v>0</v>
      </c>
      <c s="588" r="CX54">
        <f>IF(ISNA((CS54*CS53)),0,IF((CP53=FALSE),IF((CP54=FALSE),IF(ISNA(CS54),0,IF((CS53&lt;CU$44),IF((CS54&lt;CU$44),(((CV54^2)+((CS54-CS53)^2))^0.5),(((CV54^2)+((CU$44-CS53)^2))^0.5)),IF((CS54&lt;CU$44),(((CV54^2)+((CU$44-CS54)^2))^0.5),0))),0),0))</f>
        <v>0</v>
      </c>
      <c s="588" r="CY54">
        <f>IF(ISNUMBER((CS54*CS53)),IF((CS53&gt;=CE$148),IF((CS54&lt;CE$148),1,0),IF((CS54&gt;=CE$148),IF((CS53&lt;CE$148),1,0),0)),0)</f>
        <v>0</v>
      </c>
      <c s="588" r="CZ54">
        <f>IF(ISNA((CS54*CS53)),0,(IF((CR54&lt;CR53),-1,1)*(IF(ISNA(CS54),0,IF((CS53&lt;CE$148),IF((CS54&lt;CE$148),(((CR54-CR53)^2)^0.5),(((((CE$148-CS53)*(CR54-CR53))/(CS54-CS53))^2)^0.5)),IF((CS54&lt;CE$148),(((((CE$148-CS54)*(CR54-CR53))/(CS53-CS54))^2)^0.5),0))))))</f>
        <v>0</v>
      </c>
      <c s="441" r="DA54">
        <f>IF((CW54&gt;0),(MAX(DA$47:DA53)+1),0)</f>
        <v>0</v>
      </c>
      <c s="388" r="DB54"/>
      <c s="406" r="DC54"/>
      <c s="789" r="DD54"/>
      <c s="861" r="DE54"/>
      <c s="274" r="DF54"/>
      <c s="321" r="DG54"/>
      <c s="418" r="DH54"/>
      <c s="550" r="DI54"/>
      <c s="550" r="DJ54"/>
      <c t="str" s="620" r="DK54">
        <f>IF((COUNT(DJ54:DJ$146,DL54:DL$146)=0),NA(),IF(ISBLANK(DJ54),DK53,(DK53+(DJ54-DL53))))</f>
        <v>#N/A:explicit</v>
      </c>
      <c s="550" r="DL54"/>
      <c t="str" s="620" r="DM54">
        <f>IF(OR(ISBLANK(DL54),ISNUMBER(DJ55)),NA(),(DK54-DL54))</f>
        <v>#N/A:explicit</v>
      </c>
      <c t="b" s="895" r="DN54">
        <v>0</v>
      </c>
      <c s="631" r="DO54"/>
      <c t="str" s="309" r="DP54">
        <f>IF((COUNT(DI54:DI$146)=0),NA(),IF(ISBLANK(DI54),IF(ISBLANK(DI53),MAX(DI$46:DI54),DI53),DI54))</f>
        <v>#N/A:explicit</v>
      </c>
      <c t="str" s="861" r="DQ54">
        <f>IF(ISNA(DM54),IF(ISNUMBER(DP54),DQ53,NA()),DM54)</f>
        <v>#N/A:explicit</v>
      </c>
      <c s="861" r="DR54">
        <f>IF(ISNUMBER(DQ54),DQ54,(DK$46+1000))</f>
        <v>1000</v>
      </c>
      <c t="str" s="588" r="DS54">
        <f>IF((DN54=TRUE),NA(),IF((DS$44=(DK$46-MAX(DL$46:DL$146))),NA(),DS$44))</f>
        <v>#N/A:explicit</v>
      </c>
      <c s="588" r="DT54">
        <f>IF((ISNA(((DQ54*DP54)*DQ53))),0,(IF((DP54&lt;DP53),-1,1)*(IF((DN53=FALSE),IF((DN54=FALSE),IF(ISNA(DQ54),0,IF((DQ53&lt;DS$44),IF((DQ54&lt;DS$44),(((DP54-DP53)^2)^0.5),(((((DS$44-DQ53)*(DP54-DP53))/(DQ54-DQ53))^2)^0.5)),IF((DQ54&lt;DS$44),(((((DS$44-DQ54)*(DP54-DP53))/(DQ53-DQ54))^2)^0.5),0))),0),0))))</f>
        <v>0</v>
      </c>
      <c s="588" r="DU54">
        <f>IF(ISNA((DQ54*DQ53)),0,IF((DN53=FALSE),IF((DN54=FALSE),IF(ISNA(DM54),0,IF((DQ53&lt;DS$44),IF((DQ54&lt;DS$44),((DS$44-((DQ53+DQ54)*0.5))*DT54),(((DS$44-DQ53)*0.5)*DT54)),IF((DQ54&lt;DS$44),(((DS$44-DQ54)*0.5)*DT54),0))),0),0))</f>
        <v>0</v>
      </c>
      <c s="588" r="DV54">
        <f>IF(ISNA((DQ54*DQ53)),0,IF((DN53=FALSE),IF((DN54=FALSE),IF(ISNA(DQ54),0,IF((DQ53&lt;DS$44),IF((DQ54&lt;DS$44),(((DT54^2)+((DQ54-DQ53)^2))^0.5),(((DT54^2)+((DS$44-DQ53)^2))^0.5)),IF((DQ54&lt;DS$44),(((DT54^2)+((DS$44-DQ54)^2))^0.5),0))),0),0))</f>
        <v>0</v>
      </c>
      <c s="588" r="DW54">
        <f>IF(ISNUMBER((DQ54*DQ53)),IF((DQ53&gt;=DC$148),IF((DQ54&lt;DC$148),1,0),IF((DQ54&gt;=DC$148),IF((DQ53&lt;DC$148),1,0),0)),0)</f>
        <v>0</v>
      </c>
      <c s="588" r="DX54">
        <f>IF(ISNA((DQ54*DQ53)),0,(IF((DP54&lt;DP53),-1,1)*(IF(ISNA(DQ54),0,IF((DQ53&lt;DC$148),IF((DQ54&lt;DC$148),(((DP54-DP53)^2)^0.5),(((((DC$148-DQ53)*(DP54-DP53))/(DQ54-DQ53))^2)^0.5)),IF((DQ54&lt;DC$148),(((((DC$148-DQ54)*(DP54-DP53))/(DQ53-DQ54))^2)^0.5),0))))))</f>
        <v>0</v>
      </c>
      <c s="441" r="DY54">
        <f>IF((DU54&gt;0),(MAX(DY$47:DY53)+1),0)</f>
        <v>0</v>
      </c>
      <c s="388" r="DZ54"/>
      <c s="406" r="EA54"/>
      <c s="789" r="EB54"/>
      <c s="861" r="EC54"/>
      <c s="274" r="ED54"/>
      <c s="321" r="EE54"/>
      <c s="418" r="EF54"/>
      <c s="550" r="EG54"/>
      <c s="550" r="EH54"/>
      <c t="str" s="620" r="EI54">
        <f>IF((COUNT(EH54:EH$146,EJ54:EJ$146)=0),NA(),IF(ISBLANK(EH54),EI53,(EI53+(EH54-EJ53))))</f>
        <v>#N/A:explicit</v>
      </c>
      <c s="550" r="EJ54"/>
      <c t="str" s="620" r="EK54">
        <f>IF(OR(ISBLANK(EJ54),ISNUMBER(EH55)),NA(),(EI54-EJ54))</f>
        <v>#N/A:explicit</v>
      </c>
      <c t="b" s="895" r="EL54">
        <v>0</v>
      </c>
      <c s="631" r="EM54"/>
      <c t="str" s="309" r="EN54">
        <f>IF((COUNT(EG54:EG$146)=0),NA(),IF(ISBLANK(EG54),IF(ISBLANK(EG53),MAX(EG$46:EG54),EG53),EG54))</f>
        <v>#N/A:explicit</v>
      </c>
      <c t="str" s="861" r="EO54">
        <f>IF(ISNA(EK54),IF(ISNUMBER(EN54),EO53,NA()),EK54)</f>
        <v>#N/A:explicit</v>
      </c>
      <c s="861" r="EP54">
        <f>IF(ISNUMBER(EO54),EO54,(EI$46+1000))</f>
        <v>1000</v>
      </c>
      <c t="str" s="588" r="EQ54">
        <f>IF((EL54=TRUE),NA(),IF((EQ$44=(EI$46-MAX(EJ$46:EJ$146))),NA(),EQ$44))</f>
        <v>#N/A:explicit</v>
      </c>
      <c s="588" r="ER54">
        <f>IF((ISNA(((EO54*EN54)*EO53))),0,(IF((EN54&lt;EN53),-1,1)*(IF((EL53=FALSE),IF((EL54=FALSE),IF(ISNA(EO54),0,IF((EO53&lt;EQ$44),IF((EO54&lt;EQ$44),(((EN54-EN53)^2)^0.5),(((((EQ$44-EO53)*(EN54-EN53))/(EO54-EO53))^2)^0.5)),IF((EO54&lt;EQ$44),(((((EQ$44-EO54)*(EN54-EN53))/(EO53-EO54))^2)^0.5),0))),0),0))))</f>
        <v>0</v>
      </c>
      <c s="588" r="ES54">
        <f>IF(ISNA((EO54*EO53)),0,IF((EL53=FALSE),IF((EL54=FALSE),IF(ISNA(EK54),0,IF((EO53&lt;EQ$44),IF((EO54&lt;EQ$44),((EQ$44-((EO53+EO54)*0.5))*ER54),(((EQ$44-EO53)*0.5)*ER54)),IF((EO54&lt;EQ$44),(((EQ$44-EO54)*0.5)*ER54),0))),0),0))</f>
        <v>0</v>
      </c>
      <c s="588" r="ET54">
        <f>IF(ISNA((EO54*EO53)),0,IF((EL53=FALSE),IF((EL54=FALSE),IF(ISNA(EO54),0,IF((EO53&lt;EQ$44),IF((EO54&lt;EQ$44),(((ER54^2)+((EO54-EO53)^2))^0.5),(((ER54^2)+((EQ$44-EO53)^2))^0.5)),IF((EO54&lt;EQ$44),(((ER54^2)+((EQ$44-EO54)^2))^0.5),0))),0),0))</f>
        <v>0</v>
      </c>
      <c s="588" r="EU54">
        <f>IF(ISNUMBER((EO54*EO53)),IF((EO53&gt;=EA$148),IF((EO54&lt;EA$148),1,0),IF((EO54&gt;=EA$148),IF((EO53&lt;EA$148),1,0),0)),0)</f>
        <v>0</v>
      </c>
      <c s="588" r="EV54">
        <f>IF(ISNA((EO54*EO53)),0,(IF((EN54&lt;EN53),-1,1)*(IF(ISNA(EO54),0,IF((EO53&lt;EA$148),IF((EO54&lt;EA$148),(((EN54-EN53)^2)^0.5),(((((EA$148-EO53)*(EN54-EN53))/(EO54-EO53))^2)^0.5)),IF((EO54&lt;EA$148),(((((EA$148-EO54)*(EN54-EN53))/(EO53-EO54))^2)^0.5),0))))))</f>
        <v>0</v>
      </c>
      <c s="441" r="EW54">
        <f>IF((ES54&gt;0),(MAX(EW$47:EW53)+1),0)</f>
        <v>0</v>
      </c>
      <c s="388" r="EX54"/>
      <c s="406" r="EY54"/>
      <c s="789" r="EZ54"/>
      <c s="861" r="FA54"/>
      <c s="274" r="FB54"/>
      <c s="321" r="FC54"/>
      <c s="418" r="FD54"/>
      <c s="550" r="FE54"/>
      <c s="550" r="FF54"/>
      <c t="str" s="620" r="FG54">
        <f>IF((COUNT(FF54:FF$146,FH54:FH$146)=0),NA(),IF(ISBLANK(FF54),FG53,(FG53+(FF54-FH53))))</f>
        <v>#N/A:explicit</v>
      </c>
      <c s="550" r="FH54"/>
      <c t="str" s="620" r="FI54">
        <f>IF(OR(ISBLANK(FH54),ISNUMBER(FF55)),NA(),(FG54-FH54))</f>
        <v>#N/A:explicit</v>
      </c>
      <c t="b" s="895" r="FJ54">
        <v>0</v>
      </c>
      <c s="631" r="FK54"/>
      <c t="str" s="309" r="FL54">
        <f>IF((COUNT(FE54:FE$146)=0),NA(),IF(ISBLANK(FE54),IF(ISBLANK(FE53),MAX(FE$46:FE54),FE53),FE54))</f>
        <v>#N/A:explicit</v>
      </c>
      <c t="str" s="861" r="FM54">
        <f>IF(ISNA(FI54),IF(ISNUMBER(FL54),FM53,NA()),FI54)</f>
        <v>#N/A:explicit</v>
      </c>
      <c s="861" r="FN54">
        <f>IF(ISNUMBER(FM54),FM54,(FG$46+1000))</f>
        <v>1000</v>
      </c>
      <c t="str" s="588" r="FO54">
        <f>IF((FJ54=TRUE),NA(),IF((FO$44=(FG$46-MAX(FH$46:FH$146))),NA(),FO$44))</f>
        <v>#N/A:explicit</v>
      </c>
      <c s="588" r="FP54">
        <f>IF((ISNA(((FM54*FL54)*FM53))),0,(IF((FL54&lt;FL53),-1,1)*(IF((FJ53=FALSE),IF((FJ54=FALSE),IF(ISNA(FM54),0,IF((FM53&lt;FO$44),IF((FM54&lt;FO$44),(((FL54-FL53)^2)^0.5),(((((FO$44-FM53)*(FL54-FL53))/(FM54-FM53))^2)^0.5)),IF((FM54&lt;FO$44),(((((FO$44-FM54)*(FL54-FL53))/(FM53-FM54))^2)^0.5),0))),0),0))))</f>
        <v>0</v>
      </c>
      <c s="588" r="FQ54">
        <f>IF(ISNA((FM54*FM53)),0,IF((FJ53=FALSE),IF((FJ54=FALSE),IF(ISNA(FI54),0,IF((FM53&lt;FO$44),IF((FM54&lt;FO$44),((FO$44-((FM53+FM54)*0.5))*FP54),(((FO$44-FM53)*0.5)*FP54)),IF((FM54&lt;FO$44),(((FO$44-FM54)*0.5)*FP54),0))),0),0))</f>
        <v>0</v>
      </c>
      <c s="588" r="FR54">
        <f>IF(ISNA((FM54*FM53)),0,IF((FJ53=FALSE),IF((FJ54=FALSE),IF(ISNA(FM54),0,IF((FM53&lt;FO$44),IF((FM54&lt;FO$44),(((FP54^2)+((FM54-FM53)^2))^0.5),(((FP54^2)+((FO$44-FM53)^2))^0.5)),IF((FM54&lt;FO$44),(((FP54^2)+((FO$44-FM54)^2))^0.5),0))),0),0))</f>
        <v>0</v>
      </c>
      <c s="588" r="FS54">
        <f>IF(ISNUMBER((FM54*FM53)),IF((FM53&gt;=EY$148),IF((FM54&lt;EY$148),1,0),IF((FM54&gt;=EY$148),IF((FM53&lt;EY$148),1,0),0)),0)</f>
        <v>0</v>
      </c>
      <c s="588" r="FT54">
        <f>IF(ISNA((FM54*FM53)),0,(IF((FL54&lt;FL53),-1,1)*(IF(ISNA(FM54),0,IF((FM53&lt;EY$148),IF((FM54&lt;EY$148),(((FL54-FL53)^2)^0.5),(((((EY$148-FM53)*(FL54-FL53))/(FM54-FM53))^2)^0.5)),IF((FM54&lt;EY$148),(((((EY$148-FM54)*(FL54-FL53))/(FM53-FM54))^2)^0.5),0))))))</f>
        <v>0</v>
      </c>
      <c s="441" r="FU54">
        <f>IF((FQ54&gt;0),(MAX(FU$47:FU53)+1),0)</f>
        <v>0</v>
      </c>
      <c s="222" r="FV54"/>
      <c s="125" r="FW54"/>
      <c s="125" r="FX54"/>
      <c s="125" r="FY54"/>
      <c s="125" r="FZ54"/>
      <c s="125" r="GA54"/>
      <c s="125" r="GB54"/>
      <c s="125" r="GC54"/>
      <c s="125" r="GD54"/>
      <c s="125" r="GE54"/>
      <c s="125" r="GF54"/>
      <c s="125" r="GG54"/>
      <c s="125" r="GH54"/>
      <c s="125" r="GI54"/>
      <c s="125" r="GJ54"/>
      <c s="125" r="GK54"/>
      <c s="125" r="GL54"/>
      <c s="125" r="GM54"/>
      <c s="125" r="GN54"/>
      <c s="125" r="GO54"/>
      <c s="125" r="GP54"/>
      <c s="125" r="GQ54"/>
      <c s="125" r="GR54"/>
      <c s="125" r="GS54"/>
      <c s="125" r="GT54"/>
      <c s="125" r="GU54"/>
      <c s="125" r="GV54"/>
      <c s="125" r="GW54"/>
      <c s="125" r="GX54"/>
      <c s="125" r="GY54"/>
      <c s="125" r="GZ54"/>
      <c s="125" r="HA54"/>
      <c s="125" r="HB54"/>
    </row>
    <row customHeight="1" r="55" ht="13.5">
      <c s="822" r="A55"/>
      <c s="406" r="B55"/>
      <c s="886" r="C55"/>
      <c s="886" r="D55"/>
      <c s="886" r="E55"/>
      <c s="886" r="F55"/>
      <c s="886" r="G55"/>
      <c s="886" r="H55"/>
      <c s="418" r="I55"/>
      <c s="702" r="J55"/>
      <c s="406" r="K55"/>
      <c t="s" s="729" r="L55">
        <v>591</v>
      </c>
      <c s="566" r="M55"/>
      <c s="529" r="N55"/>
      <c s="321" r="O55"/>
      <c s="418" r="P55"/>
      <c s="550" r="Q55"/>
      <c s="550" r="R55"/>
      <c t="str" s="620" r="S55">
        <f>IF((COUNT(R55:R$146,T55:T$146)=0),NA(),IF(ISBLANK(R55),S54,(S54+(R55-T54))))</f>
        <v>#N/A:explicit</v>
      </c>
      <c s="550" r="T55"/>
      <c t="str" s="620" r="U55">
        <f>IF(OR(ISBLANK(T55),ISNUMBER(R56)),NA(),(S55-T55))</f>
        <v>#N/A:explicit</v>
      </c>
      <c t="b" s="895" r="V55">
        <v>0</v>
      </c>
      <c s="631" r="W55"/>
      <c t="str" s="309" r="X55">
        <f>IF((COUNT(Q55:Q$146)=0),NA(),IF(ISBLANK(Q55),IF(ISBLANK(Q54),MAX(Q$46:Q55),Q54),Q55))</f>
        <v>#N/A:explicit</v>
      </c>
      <c t="str" s="861" r="Y55">
        <f>IF(ISNA(U55),IF(ISNUMBER(X55),Y54,NA()),U55)</f>
        <v>#N/A:explicit</v>
      </c>
      <c s="861" r="Z55">
        <f>IF(ISNUMBER(Y55),Y55,(S$46+1000))</f>
        <v>1000</v>
      </c>
      <c t="str" s="588" r="AA55">
        <f>IF((V55=TRUE),NA(),IF((AA$44=(S$46-MAX(T$46:T$146))),NA(),AA$44))</f>
        <v>#N/A:explicit</v>
      </c>
      <c s="588" r="AB55">
        <f>IF((ISNA(((Y55*X55)*Y54))),0,(IF((X55&lt;X54),-1,1)*(IF((V54=FALSE),IF((V55=FALSE),IF(ISNA(Y55),0,IF((Y54&lt;AA$44),IF((Y55&lt;AA$44),(((X55-X54)^2)^0.5),(((((AA$44-Y54)*(X55-X54))/(Y55-Y54))^2)^0.5)),IF((Y55&lt;AA$44),(((((AA$44-Y55)*(X55-X54))/(Y54-Y55))^2)^0.5),0))),0),0))))</f>
        <v>0</v>
      </c>
      <c s="588" r="AC55">
        <f>IF(ISNA((Y55*Y54)),0,IF((V54=FALSE),IF((V55=FALSE),IF(ISNA(U55),0,IF((Y54&lt;AA$44),IF((Y55&lt;AA$44),((AA$44-((Y54+Y55)*0.5))*AB55),(((AA$44-Y54)*0.5)*AB55)),IF((Y55&lt;AA$44),(((AA$44-Y55)*0.5)*AB55),0))),0),0))</f>
        <v>0</v>
      </c>
      <c s="588" r="AD55">
        <f>IF(ISNA((Y55*Y54)),0,IF((V54=FALSE),IF((V55=FALSE),IF(ISNA(Y55),0,IF((Y54&lt;AA$44),IF((Y55&lt;AA$44),(((AB55^2)+((Y55-Y54)^2))^0.5),(((AB55^2)+((AA$44-Y54)^2))^0.5)),IF((Y55&lt;AA$44),(((AB55^2)+((AA$44-Y55)^2))^0.5),0))),0),0))</f>
        <v>0</v>
      </c>
      <c s="588" r="AE55">
        <f>IF(ISNUMBER((Y55*Y54)),IF((Y54&gt;=K$148),IF((Y55&lt;K$148),1,0),IF((Y55&gt;=K$148),IF((Y54&lt;K$148),1,0),0)),0)</f>
        <v>0</v>
      </c>
      <c s="588" r="AF55">
        <f>IF(ISNA((Y55*Y54)),0,(IF((X55&lt;X54),-1,1)*(IF(ISNA(Y55),0,IF((Y54&lt;K$148),IF((Y55&lt;K$148),(((X55-X54)^2)^0.5),(((((K$148-Y54)*(X55-X54))/(Y55-Y54))^2)^0.5)),IF((Y55&lt;K$148),(((((K$148-Y55)*(X55-X54))/(Y54-Y55))^2)^0.5),0))))))</f>
        <v>0</v>
      </c>
      <c s="441" r="AG55">
        <f>IF((AC55&gt;0),(MAX(AG$47:AG54)+1),0)</f>
        <v>0</v>
      </c>
      <c s="388" r="AH55"/>
      <c s="406" r="AI55"/>
      <c t="s" s="729" r="AJ55">
        <v>591</v>
      </c>
      <c s="566" r="AK55"/>
      <c s="529" r="AL55"/>
      <c s="321" r="AM55"/>
      <c s="418" r="AN55"/>
      <c s="550" r="AO55"/>
      <c s="550" r="AP55"/>
      <c t="str" s="620" r="AQ55">
        <f>IF((COUNT(AP55:AP$146,AR55:AR$146)=0),NA(),IF(ISBLANK(AP55),AQ54,(AQ54+(AP55-AR54))))</f>
        <v>#N/A:explicit</v>
      </c>
      <c s="550" r="AR55"/>
      <c t="str" s="620" r="AS55">
        <f>IF(OR(ISBLANK(AR55),ISNUMBER(AP56)),NA(),(AQ55-AR55))</f>
        <v>#N/A:explicit</v>
      </c>
      <c t="b" s="895" r="AT55">
        <v>0</v>
      </c>
      <c s="631" r="AU55"/>
      <c t="str" s="309" r="AV55">
        <f>IF((COUNT(AO55:AO$146)=0),NA(),IF(ISBLANK(AO55),IF(ISBLANK(AO54),MAX(AO$46:AO55),AO54),AO55))</f>
        <v>#N/A:explicit</v>
      </c>
      <c t="str" s="861" r="AW55">
        <f>IF(ISNA(AS55),IF(ISNUMBER(AV55),AW54,NA()),AS55)</f>
        <v>#N/A:explicit</v>
      </c>
      <c s="861" r="AX55">
        <f>IF(ISNUMBER(AW55),AW55,(AQ$46+1000))</f>
        <v>1000</v>
      </c>
      <c t="str" s="588" r="AY55">
        <f>IF((AT55=TRUE),NA(),IF((AY$44=(AQ$46-MAX(AR$46:AR$146))),NA(),AY$44))</f>
        <v>#N/A:explicit</v>
      </c>
      <c s="588" r="AZ55">
        <f>IF((ISNA(((AW55*AV55)*AW54))),0,(IF((AV55&lt;AV54),-1,1)*(IF((AT54=FALSE),IF((AT55=FALSE),IF(ISNA(AW55),0,IF((AW54&lt;AY$44),IF((AW55&lt;AY$44),(((AV55-AV54)^2)^0.5),(((((AY$44-AW54)*(AV55-AV54))/(AW55-AW54))^2)^0.5)),IF((AW55&lt;AY$44),(((((AY$44-AW55)*(AV55-AV54))/(AW54-AW55))^2)^0.5),0))),0),0))))</f>
        <v>0</v>
      </c>
      <c s="588" r="BA55">
        <f>IF(ISNA((AW55*AW54)),0,IF((AT54=FALSE),IF((AT55=FALSE),IF(ISNA(AS55),0,IF((AW54&lt;AY$44),IF((AW55&lt;AY$44),((AY$44-((AW54+AW55)*0.5))*AZ55),(((AY$44-AW54)*0.5)*AZ55)),IF((AW55&lt;AY$44),(((AY$44-AW55)*0.5)*AZ55),0))),0),0))</f>
        <v>0</v>
      </c>
      <c s="588" r="BB55">
        <f>IF(ISNA((AW55*AW54)),0,IF((AT54=FALSE),IF((AT55=FALSE),IF(ISNA(AW55),0,IF((AW54&lt;AY$44),IF((AW55&lt;AY$44),(((AZ55^2)+((AW55-AW54)^2))^0.5),(((AZ55^2)+((AY$44-AW54)^2))^0.5)),IF((AW55&lt;AY$44),(((AZ55^2)+((AY$44-AW55)^2))^0.5),0))),0),0))</f>
        <v>0</v>
      </c>
      <c s="588" r="BC55">
        <f>IF(ISNUMBER((AW55*AW54)),IF((AW54&gt;=AI$148),IF((AW55&lt;AI$148),1,0),IF((AW55&gt;=AI$148),IF((AW54&lt;AI$148),1,0),0)),0)</f>
        <v>0</v>
      </c>
      <c s="588" r="BD55">
        <f>IF(ISNA((AW55*AW54)),0,(IF((AV55&lt;AV54),-1,1)*(IF(ISNA(AW55),0,IF((AW54&lt;AI$148),IF((AW55&lt;AI$148),(((AV55-AV54)^2)^0.5),(((((AI$148-AW54)*(AV55-AV54))/(AW55-AW54))^2)^0.5)),IF((AW55&lt;AI$148),(((((AI$148-AW55)*(AV55-AV54))/(AW54-AW55))^2)^0.5),0))))))</f>
        <v>0</v>
      </c>
      <c s="441" r="BE55">
        <f>IF((BA55&gt;0),(MAX(BE$47:BE54)+1),0)</f>
        <v>0</v>
      </c>
      <c s="388" r="BF55"/>
      <c s="406" r="BG55"/>
      <c t="s" s="729" r="BH55">
        <v>591</v>
      </c>
      <c s="566" r="BI55"/>
      <c s="529" r="BJ55"/>
      <c s="321" r="BK55"/>
      <c s="418" r="BL55"/>
      <c s="550" r="BM55"/>
      <c s="550" r="BN55"/>
      <c t="str" s="620" r="BO55">
        <f>IF((COUNT(BN55:BN$146,BP55:BP$146)=0),NA(),IF(ISBLANK(BN55),BO54,(BO54+(BN55-BP54))))</f>
        <v>#N/A:explicit</v>
      </c>
      <c s="550" r="BP55"/>
      <c t="str" s="620" r="BQ55">
        <f>IF(OR(ISBLANK(BP55),ISNUMBER(BN56)),NA(),(BO55-BP55))</f>
        <v>#N/A:explicit</v>
      </c>
      <c t="b" s="895" r="BR55">
        <v>0</v>
      </c>
      <c s="631" r="BS55"/>
      <c t="str" s="309" r="BT55">
        <f>IF((COUNT(BM55:BM$146)=0),NA(),IF(ISBLANK(BM55),IF(ISBLANK(BM54),MAX(BM$46:BM55),BM54),BM55))</f>
        <v>#N/A:explicit</v>
      </c>
      <c t="str" s="861" r="BU55">
        <f>IF(ISNA(BQ55),IF(ISNUMBER(BT55),BU54,NA()),BQ55)</f>
        <v>#N/A:explicit</v>
      </c>
      <c s="861" r="BV55">
        <f>IF(ISNUMBER(BU55),BU55,(BO$46+1000))</f>
        <v>1000</v>
      </c>
      <c t="str" s="588" r="BW55">
        <f>IF((BR55=TRUE),NA(),IF((BW$44=(BO$46-MAX(BP$46:BP$146))),NA(),BW$44))</f>
        <v>#N/A:explicit</v>
      </c>
      <c s="588" r="BX55">
        <f>IF((ISNA(((BU55*BT55)*BU54))),0,(IF((BT55&lt;BT54),-1,1)*(IF((BR54=FALSE),IF((BR55=FALSE),IF(ISNA(BU55),0,IF((BU54&lt;BW$44),IF((BU55&lt;BW$44),(((BT55-BT54)^2)^0.5),(((((BW$44-BU54)*(BT55-BT54))/(BU55-BU54))^2)^0.5)),IF((BU55&lt;BW$44),(((((BW$44-BU55)*(BT55-BT54))/(BU54-BU55))^2)^0.5),0))),0),0))))</f>
        <v>0</v>
      </c>
      <c s="588" r="BY55">
        <f>IF(ISNA((BU55*BU54)),0,IF((BR54=FALSE),IF((BR55=FALSE),IF(ISNA(BQ55),0,IF((BU54&lt;BW$44),IF((BU55&lt;BW$44),((BW$44-((BU54+BU55)*0.5))*BX55),(((BW$44-BU54)*0.5)*BX55)),IF((BU55&lt;BW$44),(((BW$44-BU55)*0.5)*BX55),0))),0),0))</f>
        <v>0</v>
      </c>
      <c s="588" r="BZ55">
        <f>IF(ISNA((BU55*BU54)),0,IF((BR54=FALSE),IF((BR55=FALSE),IF(ISNA(BU55),0,IF((BU54&lt;BW$44),IF((BU55&lt;BW$44),(((BX55^2)+((BU55-BU54)^2))^0.5),(((BX55^2)+((BW$44-BU54)^2))^0.5)),IF((BU55&lt;BW$44),(((BX55^2)+((BW$44-BU55)^2))^0.5),0))),0),0))</f>
        <v>0</v>
      </c>
      <c s="588" r="CA55">
        <f>IF(ISNUMBER((BU55*BU54)),IF((BU54&gt;=BG$148),IF((BU55&lt;BG$148),1,0),IF((BU55&gt;=BG$148),IF((BU54&lt;BG$148),1,0),0)),0)</f>
        <v>0</v>
      </c>
      <c s="588" r="CB55">
        <f>IF(ISNA((BU55*BU54)),0,(IF((BT55&lt;BT54),-1,1)*(IF(ISNA(BU55),0,IF((BU54&lt;BG$148),IF((BU55&lt;BG$148),(((BT55-BT54)^2)^0.5),(((((BG$148-BU54)*(BT55-BT54))/(BU55-BU54))^2)^0.5)),IF((BU55&lt;BG$148),(((((BG$148-BU55)*(BT55-BT54))/(BU54-BU55))^2)^0.5),0))))))</f>
        <v>0</v>
      </c>
      <c s="441" r="CC55">
        <f>IF((BY55&gt;0),(MAX(CC$47:CC54)+1),0)</f>
        <v>0</v>
      </c>
      <c s="388" r="CD55"/>
      <c s="406" r="CE55"/>
      <c t="s" s="729" r="CF55">
        <v>591</v>
      </c>
      <c s="566" r="CG55"/>
      <c s="529" r="CH55"/>
      <c s="321" r="CI55"/>
      <c s="418" r="CJ55"/>
      <c s="550" r="CK55"/>
      <c s="550" r="CL55"/>
      <c t="str" s="620" r="CM55">
        <f>IF((COUNT(CL55:CL$146,CN55:CN$146)=0),NA(),IF(ISBLANK(CL55),CM54,(CM54+(CL55-CN54))))</f>
        <v>#N/A:explicit</v>
      </c>
      <c s="550" r="CN55"/>
      <c t="str" s="620" r="CO55">
        <f>IF(OR(ISBLANK(CN55),ISNUMBER(CL56)),NA(),(CM55-CN55))</f>
        <v>#N/A:explicit</v>
      </c>
      <c t="b" s="895" r="CP55">
        <v>0</v>
      </c>
      <c s="631" r="CQ55"/>
      <c t="str" s="309" r="CR55">
        <f>IF((COUNT(CK55:CK$146)=0),NA(),IF(ISBLANK(CK55),IF(ISBLANK(CK54),MAX(CK$46:CK55),CK54),CK55))</f>
        <v>#N/A:explicit</v>
      </c>
      <c t="str" s="861" r="CS55">
        <f>IF(ISNA(CO55),IF(ISNUMBER(CR55),CS54,NA()),CO55)</f>
        <v>#N/A:explicit</v>
      </c>
      <c s="861" r="CT55">
        <f>IF(ISNUMBER(CS55),CS55,(CM$46+1000))</f>
        <v>1000</v>
      </c>
      <c t="str" s="588" r="CU55">
        <f>IF((CP55=TRUE),NA(),IF((CU$44=(CM$46-MAX(CN$46:CN$146))),NA(),CU$44))</f>
        <v>#N/A:explicit</v>
      </c>
      <c s="588" r="CV55">
        <f>IF((ISNA(((CS55*CR55)*CS54))),0,(IF((CR55&lt;CR54),-1,1)*(IF((CP54=FALSE),IF((CP55=FALSE),IF(ISNA(CS55),0,IF((CS54&lt;CU$44),IF((CS55&lt;CU$44),(((CR55-CR54)^2)^0.5),(((((CU$44-CS54)*(CR55-CR54))/(CS55-CS54))^2)^0.5)),IF((CS55&lt;CU$44),(((((CU$44-CS55)*(CR55-CR54))/(CS54-CS55))^2)^0.5),0))),0),0))))</f>
        <v>0</v>
      </c>
      <c s="588" r="CW55">
        <f>IF(ISNA((CS55*CS54)),0,IF((CP54=FALSE),IF((CP55=FALSE),IF(ISNA(CO55),0,IF((CS54&lt;CU$44),IF((CS55&lt;CU$44),((CU$44-((CS54+CS55)*0.5))*CV55),(((CU$44-CS54)*0.5)*CV55)),IF((CS55&lt;CU$44),(((CU$44-CS55)*0.5)*CV55),0))),0),0))</f>
        <v>0</v>
      </c>
      <c s="588" r="CX55">
        <f>IF(ISNA((CS55*CS54)),0,IF((CP54=FALSE),IF((CP55=FALSE),IF(ISNA(CS55),0,IF((CS54&lt;CU$44),IF((CS55&lt;CU$44),(((CV55^2)+((CS55-CS54)^2))^0.5),(((CV55^2)+((CU$44-CS54)^2))^0.5)),IF((CS55&lt;CU$44),(((CV55^2)+((CU$44-CS55)^2))^0.5),0))),0),0))</f>
        <v>0</v>
      </c>
      <c s="588" r="CY55">
        <f>IF(ISNUMBER((CS55*CS54)),IF((CS54&gt;=CE$148),IF((CS55&lt;CE$148),1,0),IF((CS55&gt;=CE$148),IF((CS54&lt;CE$148),1,0),0)),0)</f>
        <v>0</v>
      </c>
      <c s="588" r="CZ55">
        <f>IF(ISNA((CS55*CS54)),0,(IF((CR55&lt;CR54),-1,1)*(IF(ISNA(CS55),0,IF((CS54&lt;CE$148),IF((CS55&lt;CE$148),(((CR55-CR54)^2)^0.5),(((((CE$148-CS54)*(CR55-CR54))/(CS55-CS54))^2)^0.5)),IF((CS55&lt;CE$148),(((((CE$148-CS55)*(CR55-CR54))/(CS54-CS55))^2)^0.5),0))))))</f>
        <v>0</v>
      </c>
      <c s="441" r="DA55">
        <f>IF((CW55&gt;0),(MAX(DA$47:DA54)+1),0)</f>
        <v>0</v>
      </c>
      <c s="388" r="DB55"/>
      <c s="406" r="DC55"/>
      <c t="s" s="729" r="DD55">
        <v>591</v>
      </c>
      <c s="566" r="DE55"/>
      <c s="529" r="DF55"/>
      <c s="321" r="DG55"/>
      <c s="418" r="DH55"/>
      <c s="550" r="DI55"/>
      <c s="550" r="DJ55"/>
      <c t="str" s="620" r="DK55">
        <f>IF((COUNT(DJ55:DJ$146,DL55:DL$146)=0),NA(),IF(ISBLANK(DJ55),DK54,(DK54+(DJ55-DL54))))</f>
        <v>#N/A:explicit</v>
      </c>
      <c s="550" r="DL55"/>
      <c t="str" s="620" r="DM55">
        <f>IF(OR(ISBLANK(DL55),ISNUMBER(DJ56)),NA(),(DK55-DL55))</f>
        <v>#N/A:explicit</v>
      </c>
      <c t="b" s="895" r="DN55">
        <v>0</v>
      </c>
      <c s="631" r="DO55"/>
      <c t="str" s="309" r="DP55">
        <f>IF((COUNT(DI55:DI$146)=0),NA(),IF(ISBLANK(DI55),IF(ISBLANK(DI54),MAX(DI$46:DI55),DI54),DI55))</f>
        <v>#N/A:explicit</v>
      </c>
      <c t="str" s="861" r="DQ55">
        <f>IF(ISNA(DM55),IF(ISNUMBER(DP55),DQ54,NA()),DM55)</f>
        <v>#N/A:explicit</v>
      </c>
      <c s="861" r="DR55">
        <f>IF(ISNUMBER(DQ55),DQ55,(DK$46+1000))</f>
        <v>1000</v>
      </c>
      <c t="str" s="588" r="DS55">
        <f>IF((DN55=TRUE),NA(),IF((DS$44=(DK$46-MAX(DL$46:DL$146))),NA(),DS$44))</f>
        <v>#N/A:explicit</v>
      </c>
      <c s="588" r="DT55">
        <f>IF((ISNA(((DQ55*DP55)*DQ54))),0,(IF((DP55&lt;DP54),-1,1)*(IF((DN54=FALSE),IF((DN55=FALSE),IF(ISNA(DQ55),0,IF((DQ54&lt;DS$44),IF((DQ55&lt;DS$44),(((DP55-DP54)^2)^0.5),(((((DS$44-DQ54)*(DP55-DP54))/(DQ55-DQ54))^2)^0.5)),IF((DQ55&lt;DS$44),(((((DS$44-DQ55)*(DP55-DP54))/(DQ54-DQ55))^2)^0.5),0))),0),0))))</f>
        <v>0</v>
      </c>
      <c s="588" r="DU55">
        <f>IF(ISNA((DQ55*DQ54)),0,IF((DN54=FALSE),IF((DN55=FALSE),IF(ISNA(DM55),0,IF((DQ54&lt;DS$44),IF((DQ55&lt;DS$44),((DS$44-((DQ54+DQ55)*0.5))*DT55),(((DS$44-DQ54)*0.5)*DT55)),IF((DQ55&lt;DS$44),(((DS$44-DQ55)*0.5)*DT55),0))),0),0))</f>
        <v>0</v>
      </c>
      <c s="588" r="DV55">
        <f>IF(ISNA((DQ55*DQ54)),0,IF((DN54=FALSE),IF((DN55=FALSE),IF(ISNA(DQ55),0,IF((DQ54&lt;DS$44),IF((DQ55&lt;DS$44),(((DT55^2)+((DQ55-DQ54)^2))^0.5),(((DT55^2)+((DS$44-DQ54)^2))^0.5)),IF((DQ55&lt;DS$44),(((DT55^2)+((DS$44-DQ55)^2))^0.5),0))),0),0))</f>
        <v>0</v>
      </c>
      <c s="588" r="DW55">
        <f>IF(ISNUMBER((DQ55*DQ54)),IF((DQ54&gt;=DC$148),IF((DQ55&lt;DC$148),1,0),IF((DQ55&gt;=DC$148),IF((DQ54&lt;DC$148),1,0),0)),0)</f>
        <v>0</v>
      </c>
      <c s="588" r="DX55">
        <f>IF(ISNA((DQ55*DQ54)),0,(IF((DP55&lt;DP54),-1,1)*(IF(ISNA(DQ55),0,IF((DQ54&lt;DC$148),IF((DQ55&lt;DC$148),(((DP55-DP54)^2)^0.5),(((((DC$148-DQ54)*(DP55-DP54))/(DQ55-DQ54))^2)^0.5)),IF((DQ55&lt;DC$148),(((((DC$148-DQ55)*(DP55-DP54))/(DQ54-DQ55))^2)^0.5),0))))))</f>
        <v>0</v>
      </c>
      <c s="441" r="DY55">
        <f>IF((DU55&gt;0),(MAX(DY$47:DY54)+1),0)</f>
        <v>0</v>
      </c>
      <c s="388" r="DZ55"/>
      <c s="406" r="EA55"/>
      <c t="s" s="729" r="EB55">
        <v>591</v>
      </c>
      <c s="566" r="EC55"/>
      <c s="529" r="ED55"/>
      <c s="321" r="EE55"/>
      <c s="418" r="EF55"/>
      <c s="550" r="EG55"/>
      <c s="550" r="EH55"/>
      <c t="str" s="620" r="EI55">
        <f>IF((COUNT(EH55:EH$146,EJ55:EJ$146)=0),NA(),IF(ISBLANK(EH55),EI54,(EI54+(EH55-EJ54))))</f>
        <v>#N/A:explicit</v>
      </c>
      <c s="550" r="EJ55"/>
      <c t="str" s="620" r="EK55">
        <f>IF(OR(ISBLANK(EJ55),ISNUMBER(EH56)),NA(),(EI55-EJ55))</f>
        <v>#N/A:explicit</v>
      </c>
      <c t="b" s="895" r="EL55">
        <v>0</v>
      </c>
      <c s="631" r="EM55"/>
      <c t="str" s="309" r="EN55">
        <f>IF((COUNT(EG55:EG$146)=0),NA(),IF(ISBLANK(EG55),IF(ISBLANK(EG54),MAX(EG$46:EG55),EG54),EG55))</f>
        <v>#N/A:explicit</v>
      </c>
      <c t="str" s="861" r="EO55">
        <f>IF(ISNA(EK55),IF(ISNUMBER(EN55),EO54,NA()),EK55)</f>
        <v>#N/A:explicit</v>
      </c>
      <c s="861" r="EP55">
        <f>IF(ISNUMBER(EO55),EO55,(EI$46+1000))</f>
        <v>1000</v>
      </c>
      <c t="str" s="588" r="EQ55">
        <f>IF((EL55=TRUE),NA(),IF((EQ$44=(EI$46-MAX(EJ$46:EJ$146))),NA(),EQ$44))</f>
        <v>#N/A:explicit</v>
      </c>
      <c s="588" r="ER55">
        <f>IF((ISNA(((EO55*EN55)*EO54))),0,(IF((EN55&lt;EN54),-1,1)*(IF((EL54=FALSE),IF((EL55=FALSE),IF(ISNA(EO55),0,IF((EO54&lt;EQ$44),IF((EO55&lt;EQ$44),(((EN55-EN54)^2)^0.5),(((((EQ$44-EO54)*(EN55-EN54))/(EO55-EO54))^2)^0.5)),IF((EO55&lt;EQ$44),(((((EQ$44-EO55)*(EN55-EN54))/(EO54-EO55))^2)^0.5),0))),0),0))))</f>
        <v>0</v>
      </c>
      <c s="588" r="ES55">
        <f>IF(ISNA((EO55*EO54)),0,IF((EL54=FALSE),IF((EL55=FALSE),IF(ISNA(EK55),0,IF((EO54&lt;EQ$44),IF((EO55&lt;EQ$44),((EQ$44-((EO54+EO55)*0.5))*ER55),(((EQ$44-EO54)*0.5)*ER55)),IF((EO55&lt;EQ$44),(((EQ$44-EO55)*0.5)*ER55),0))),0),0))</f>
        <v>0</v>
      </c>
      <c s="588" r="ET55">
        <f>IF(ISNA((EO55*EO54)),0,IF((EL54=FALSE),IF((EL55=FALSE),IF(ISNA(EO55),0,IF((EO54&lt;EQ$44),IF((EO55&lt;EQ$44),(((ER55^2)+((EO55-EO54)^2))^0.5),(((ER55^2)+((EQ$44-EO54)^2))^0.5)),IF((EO55&lt;EQ$44),(((ER55^2)+((EQ$44-EO55)^2))^0.5),0))),0),0))</f>
        <v>0</v>
      </c>
      <c s="588" r="EU55">
        <f>IF(ISNUMBER((EO55*EO54)),IF((EO54&gt;=EA$148),IF((EO55&lt;EA$148),1,0),IF((EO55&gt;=EA$148),IF((EO54&lt;EA$148),1,0),0)),0)</f>
        <v>0</v>
      </c>
      <c s="588" r="EV55">
        <f>IF(ISNA((EO55*EO54)),0,(IF((EN55&lt;EN54),-1,1)*(IF(ISNA(EO55),0,IF((EO54&lt;EA$148),IF((EO55&lt;EA$148),(((EN55-EN54)^2)^0.5),(((((EA$148-EO54)*(EN55-EN54))/(EO55-EO54))^2)^0.5)),IF((EO55&lt;EA$148),(((((EA$148-EO55)*(EN55-EN54))/(EO54-EO55))^2)^0.5),0))))))</f>
        <v>0</v>
      </c>
      <c s="441" r="EW55">
        <f>IF((ES55&gt;0),(MAX(EW$47:EW54)+1),0)</f>
        <v>0</v>
      </c>
      <c s="388" r="EX55"/>
      <c s="406" r="EY55"/>
      <c t="s" s="729" r="EZ55">
        <v>591</v>
      </c>
      <c s="566" r="FA55"/>
      <c s="529" r="FB55"/>
      <c s="321" r="FC55"/>
      <c s="418" r="FD55"/>
      <c s="550" r="FE55"/>
      <c s="550" r="FF55"/>
      <c t="str" s="620" r="FG55">
        <f>IF((COUNT(FF55:FF$146,FH55:FH$146)=0),NA(),IF(ISBLANK(FF55),FG54,(FG54+(FF55-FH54))))</f>
        <v>#N/A:explicit</v>
      </c>
      <c s="550" r="FH55"/>
      <c t="str" s="620" r="FI55">
        <f>IF(OR(ISBLANK(FH55),ISNUMBER(FF56)),NA(),(FG55-FH55))</f>
        <v>#N/A:explicit</v>
      </c>
      <c t="b" s="895" r="FJ55">
        <v>0</v>
      </c>
      <c s="631" r="FK55"/>
      <c t="str" s="309" r="FL55">
        <f>IF((COUNT(FE55:FE$146)=0),NA(),IF(ISBLANK(FE55),IF(ISBLANK(FE54),MAX(FE$46:FE55),FE54),FE55))</f>
        <v>#N/A:explicit</v>
      </c>
      <c t="str" s="861" r="FM55">
        <f>IF(ISNA(FI55),IF(ISNUMBER(FL55),FM54,NA()),FI55)</f>
        <v>#N/A:explicit</v>
      </c>
      <c s="861" r="FN55">
        <f>IF(ISNUMBER(FM55),FM55,(FG$46+1000))</f>
        <v>1000</v>
      </c>
      <c t="str" s="588" r="FO55">
        <f>IF((FJ55=TRUE),NA(),IF((FO$44=(FG$46-MAX(FH$46:FH$146))),NA(),FO$44))</f>
        <v>#N/A:explicit</v>
      </c>
      <c s="588" r="FP55">
        <f>IF((ISNA(((FM55*FL55)*FM54))),0,(IF((FL55&lt;FL54),-1,1)*(IF((FJ54=FALSE),IF((FJ55=FALSE),IF(ISNA(FM55),0,IF((FM54&lt;FO$44),IF((FM55&lt;FO$44),(((FL55-FL54)^2)^0.5),(((((FO$44-FM54)*(FL55-FL54))/(FM55-FM54))^2)^0.5)),IF((FM55&lt;FO$44),(((((FO$44-FM55)*(FL55-FL54))/(FM54-FM55))^2)^0.5),0))),0),0))))</f>
        <v>0</v>
      </c>
      <c s="588" r="FQ55">
        <f>IF(ISNA((FM55*FM54)),0,IF((FJ54=FALSE),IF((FJ55=FALSE),IF(ISNA(FI55),0,IF((FM54&lt;FO$44),IF((FM55&lt;FO$44),((FO$44-((FM54+FM55)*0.5))*FP55),(((FO$44-FM54)*0.5)*FP55)),IF((FM55&lt;FO$44),(((FO$44-FM55)*0.5)*FP55),0))),0),0))</f>
        <v>0</v>
      </c>
      <c s="588" r="FR55">
        <f>IF(ISNA((FM55*FM54)),0,IF((FJ54=FALSE),IF((FJ55=FALSE),IF(ISNA(FM55),0,IF((FM54&lt;FO$44),IF((FM55&lt;FO$44),(((FP55^2)+((FM55-FM54)^2))^0.5),(((FP55^2)+((FO$44-FM54)^2))^0.5)),IF((FM55&lt;FO$44),(((FP55^2)+((FO$44-FM55)^2))^0.5),0))),0),0))</f>
        <v>0</v>
      </c>
      <c s="588" r="FS55">
        <f>IF(ISNUMBER((FM55*FM54)),IF((FM54&gt;=EY$148),IF((FM55&lt;EY$148),1,0),IF((FM55&gt;=EY$148),IF((FM54&lt;EY$148),1,0),0)),0)</f>
        <v>0</v>
      </c>
      <c s="588" r="FT55">
        <f>IF(ISNA((FM55*FM54)),0,(IF((FL55&lt;FL54),-1,1)*(IF(ISNA(FM55),0,IF((FM54&lt;EY$148),IF((FM55&lt;EY$148),(((FL55-FL54)^2)^0.5),(((((EY$148-FM54)*(FL55-FL54))/(FM55-FM54))^2)^0.5)),IF((FM55&lt;EY$148),(((((EY$148-FM55)*(FL55-FL54))/(FM54-FM55))^2)^0.5),0))))))</f>
        <v>0</v>
      </c>
      <c s="441" r="FU55">
        <f>IF((FQ55&gt;0),(MAX(FU$47:FU54)+1),0)</f>
        <v>0</v>
      </c>
      <c s="222" r="FV55"/>
      <c s="125" r="FW55"/>
      <c s="125" r="FX55"/>
      <c s="125" r="FY55"/>
      <c s="125" r="FZ55"/>
      <c s="125" r="GA55"/>
      <c s="125" r="GB55"/>
      <c s="125" r="GC55"/>
      <c s="125" r="GD55"/>
      <c s="125" r="GE55"/>
      <c s="125" r="GF55"/>
      <c s="125" r="GG55"/>
      <c s="125" r="GH55"/>
      <c s="125" r="GI55"/>
      <c s="125" r="GJ55"/>
      <c s="125" r="GK55"/>
      <c s="125" r="GL55"/>
      <c s="125" r="GM55"/>
      <c s="125" r="GN55"/>
      <c s="125" r="GO55"/>
      <c s="125" r="GP55"/>
      <c s="125" r="GQ55"/>
      <c s="125" r="GR55"/>
      <c s="125" r="GS55"/>
      <c s="125" r="GT55"/>
      <c s="125" r="GU55"/>
      <c s="125" r="GV55"/>
      <c s="125" r="GW55"/>
      <c s="125" r="GX55"/>
      <c s="125" r="GY55"/>
      <c s="125" r="GZ55"/>
      <c s="125" r="HA55"/>
      <c s="125" r="HB55"/>
    </row>
    <row customHeight="1" r="56" ht="13.5">
      <c s="822" r="A56"/>
      <c s="406" r="B56"/>
      <c t="s" s="729" r="C56">
        <v>592</v>
      </c>
      <c s="566" r="D56"/>
      <c s="566" r="E56"/>
      <c s="566" r="F56"/>
      <c t="s" s="529" r="G56">
        <v>76</v>
      </c>
      <c t="s" s="529" r="H56">
        <v>77</v>
      </c>
      <c s="418" r="I56"/>
      <c t="s" s="702" r="J56">
        <v>2</v>
      </c>
      <c s="406" r="K56"/>
      <c s="301" r="L56"/>
      <c t="s" s="7" r="M56">
        <v>377</v>
      </c>
      <c s="550" r="N56"/>
      <c t="str" s="367" r="O56">
        <f>IF(ISBLANK(N56),"---",(("= "&amp;(S$46-N56))&amp;" elev"))</f>
        <v>---</v>
      </c>
      <c s="418" r="P56"/>
      <c s="550" r="Q56"/>
      <c s="550" r="R56"/>
      <c t="str" s="620" r="S56">
        <f>IF((COUNT(R56:R$146,T56:T$146)=0),NA(),IF(ISBLANK(R56),S55,(S55+(R56-T55))))</f>
        <v>#N/A:explicit</v>
      </c>
      <c s="550" r="T56"/>
      <c t="str" s="620" r="U56">
        <f>IF(OR(ISBLANK(T56),ISNUMBER(R57)),NA(),(S56-T56))</f>
        <v>#N/A:explicit</v>
      </c>
      <c t="b" s="895" r="V56">
        <v>0</v>
      </c>
      <c s="631" r="W56"/>
      <c t="str" s="309" r="X56">
        <f>IF((COUNT(Q56:Q$146)=0),NA(),IF(ISBLANK(Q56),IF(ISBLANK(Q55),MAX(Q$46:Q56),Q55),Q56))</f>
        <v>#N/A:explicit</v>
      </c>
      <c t="str" s="861" r="Y56">
        <f>IF(ISNA(U56),IF(ISNUMBER(X56),Y55,NA()),U56)</f>
        <v>#N/A:explicit</v>
      </c>
      <c s="861" r="Z56">
        <f>IF(ISNUMBER(Y56),Y56,(S$46+1000))</f>
        <v>1000</v>
      </c>
      <c t="str" s="588" r="AA56">
        <f>IF((V56=TRUE),NA(),IF((AA$44=(S$46-MAX(T$46:T$146))),NA(),AA$44))</f>
        <v>#N/A:explicit</v>
      </c>
      <c s="588" r="AB56">
        <f>IF((ISNA(((Y56*X56)*Y55))),0,(IF((X56&lt;X55),-1,1)*(IF((V55=FALSE),IF((V56=FALSE),IF(ISNA(Y56),0,IF((Y55&lt;AA$44),IF((Y56&lt;AA$44),(((X56-X55)^2)^0.5),(((((AA$44-Y55)*(X56-X55))/(Y56-Y55))^2)^0.5)),IF((Y56&lt;AA$44),(((((AA$44-Y56)*(X56-X55))/(Y55-Y56))^2)^0.5),0))),0),0))))</f>
        <v>0</v>
      </c>
      <c s="588" r="AC56">
        <f>IF(ISNA((Y56*Y55)),0,IF((V55=FALSE),IF((V56=FALSE),IF(ISNA(U56),0,IF((Y55&lt;AA$44),IF((Y56&lt;AA$44),((AA$44-((Y55+Y56)*0.5))*AB56),(((AA$44-Y55)*0.5)*AB56)),IF((Y56&lt;AA$44),(((AA$44-Y56)*0.5)*AB56),0))),0),0))</f>
        <v>0</v>
      </c>
      <c s="588" r="AD56">
        <f>IF(ISNA((Y56*Y55)),0,IF((V55=FALSE),IF((V56=FALSE),IF(ISNA(Y56),0,IF((Y55&lt;AA$44),IF((Y56&lt;AA$44),(((AB56^2)+((Y56-Y55)^2))^0.5),(((AB56^2)+((AA$44-Y55)^2))^0.5)),IF((Y56&lt;AA$44),(((AB56^2)+((AA$44-Y56)^2))^0.5),0))),0),0))</f>
        <v>0</v>
      </c>
      <c s="588" r="AE56">
        <f>IF(ISNUMBER((Y56*Y55)),IF((Y55&gt;=K$148),IF((Y56&lt;K$148),1,0),IF((Y56&gt;=K$148),IF((Y55&lt;K$148),1,0),0)),0)</f>
        <v>0</v>
      </c>
      <c s="588" r="AF56">
        <f>IF(ISNA((Y56*Y55)),0,(IF((X56&lt;X55),-1,1)*(IF(ISNA(Y56),0,IF((Y55&lt;K$148),IF((Y56&lt;K$148),(((X56-X55)^2)^0.5),(((((K$148-Y55)*(X56-X55))/(Y56-Y55))^2)^0.5)),IF((Y56&lt;K$148),(((((K$148-Y56)*(X56-X55))/(Y55-Y56))^2)^0.5),0))))))</f>
        <v>0</v>
      </c>
      <c s="441" r="AG56">
        <f>IF((AC56&gt;0),(MAX(AG$47:AG55)+1),0)</f>
        <v>0</v>
      </c>
      <c s="388" r="AH56"/>
      <c s="406" r="AI56"/>
      <c s="301" r="AJ56"/>
      <c t="s" s="7" r="AK56">
        <v>377</v>
      </c>
      <c s="550" r="AL56"/>
      <c t="str" s="367" r="AM56">
        <f>IF(ISBLANK(AL56),"---",(("= "&amp;(AQ$46-AL56))&amp;" elev"))</f>
        <v>---</v>
      </c>
      <c s="418" r="AN56"/>
      <c s="550" r="AO56"/>
      <c s="550" r="AP56"/>
      <c t="str" s="620" r="AQ56">
        <f>IF((COUNT(AP56:AP$146,AR56:AR$146)=0),NA(),IF(ISBLANK(AP56),AQ55,(AQ55+(AP56-AR55))))</f>
        <v>#N/A:explicit</v>
      </c>
      <c s="550" r="AR56"/>
      <c t="str" s="620" r="AS56">
        <f>IF(OR(ISBLANK(AR56),ISNUMBER(AP57)),NA(),(AQ56-AR56))</f>
        <v>#N/A:explicit</v>
      </c>
      <c t="b" s="895" r="AT56">
        <v>0</v>
      </c>
      <c s="631" r="AU56"/>
      <c t="str" s="309" r="AV56">
        <f>IF((COUNT(AO56:AO$146)=0),NA(),IF(ISBLANK(AO56),IF(ISBLANK(AO55),MAX(AO$46:AO56),AO55),AO56))</f>
        <v>#N/A:explicit</v>
      </c>
      <c t="str" s="861" r="AW56">
        <f>IF(ISNA(AS56),IF(ISNUMBER(AV56),AW55,NA()),AS56)</f>
        <v>#N/A:explicit</v>
      </c>
      <c s="861" r="AX56">
        <f>IF(ISNUMBER(AW56),AW56,(AQ$46+1000))</f>
        <v>1000</v>
      </c>
      <c t="str" s="588" r="AY56">
        <f>IF((AT56=TRUE),NA(),IF((AY$44=(AQ$46-MAX(AR$46:AR$146))),NA(),AY$44))</f>
        <v>#N/A:explicit</v>
      </c>
      <c s="588" r="AZ56">
        <f>IF((ISNA(((AW56*AV56)*AW55))),0,(IF((AV56&lt;AV55),-1,1)*(IF((AT55=FALSE),IF((AT56=FALSE),IF(ISNA(AW56),0,IF((AW55&lt;AY$44),IF((AW56&lt;AY$44),(((AV56-AV55)^2)^0.5),(((((AY$44-AW55)*(AV56-AV55))/(AW56-AW55))^2)^0.5)),IF((AW56&lt;AY$44),(((((AY$44-AW56)*(AV56-AV55))/(AW55-AW56))^2)^0.5),0))),0),0))))</f>
        <v>0</v>
      </c>
      <c s="588" r="BA56">
        <f>IF(ISNA((AW56*AW55)),0,IF((AT55=FALSE),IF((AT56=FALSE),IF(ISNA(AS56),0,IF((AW55&lt;AY$44),IF((AW56&lt;AY$44),((AY$44-((AW55+AW56)*0.5))*AZ56),(((AY$44-AW55)*0.5)*AZ56)),IF((AW56&lt;AY$44),(((AY$44-AW56)*0.5)*AZ56),0))),0),0))</f>
        <v>0</v>
      </c>
      <c s="588" r="BB56">
        <f>IF(ISNA((AW56*AW55)),0,IF((AT55=FALSE),IF((AT56=FALSE),IF(ISNA(AW56),0,IF((AW55&lt;AY$44),IF((AW56&lt;AY$44),(((AZ56^2)+((AW56-AW55)^2))^0.5),(((AZ56^2)+((AY$44-AW55)^2))^0.5)),IF((AW56&lt;AY$44),(((AZ56^2)+((AY$44-AW56)^2))^0.5),0))),0),0))</f>
        <v>0</v>
      </c>
      <c s="588" r="BC56">
        <f>IF(ISNUMBER((AW56*AW55)),IF((AW55&gt;=AI$148),IF((AW56&lt;AI$148),1,0),IF((AW56&gt;=AI$148),IF((AW55&lt;AI$148),1,0),0)),0)</f>
        <v>0</v>
      </c>
      <c s="588" r="BD56">
        <f>IF(ISNA((AW56*AW55)),0,(IF((AV56&lt;AV55),-1,1)*(IF(ISNA(AW56),0,IF((AW55&lt;AI$148),IF((AW56&lt;AI$148),(((AV56-AV55)^2)^0.5),(((((AI$148-AW55)*(AV56-AV55))/(AW56-AW55))^2)^0.5)),IF((AW56&lt;AI$148),(((((AI$148-AW56)*(AV56-AV55))/(AW55-AW56))^2)^0.5),0))))))</f>
        <v>0</v>
      </c>
      <c s="441" r="BE56">
        <f>IF((BA56&gt;0),(MAX(BE$47:BE55)+1),0)</f>
        <v>0</v>
      </c>
      <c s="388" r="BF56"/>
      <c s="406" r="BG56"/>
      <c s="301" r="BH56"/>
      <c t="s" s="7" r="BI56">
        <v>377</v>
      </c>
      <c s="550" r="BJ56"/>
      <c t="str" s="367" r="BK56">
        <f>IF(ISBLANK(BJ56),"---",(("= "&amp;(BO$46-BJ56))&amp;" elev"))</f>
        <v>---</v>
      </c>
      <c s="418" r="BL56"/>
      <c s="550" r="BM56"/>
      <c s="550" r="BN56"/>
      <c t="str" s="620" r="BO56">
        <f>IF((COUNT(BN56:BN$146,BP56:BP$146)=0),NA(),IF(ISBLANK(BN56),BO55,(BO55+(BN56-BP55))))</f>
        <v>#N/A:explicit</v>
      </c>
      <c s="550" r="BP56"/>
      <c t="str" s="620" r="BQ56">
        <f>IF(OR(ISBLANK(BP56),ISNUMBER(BN57)),NA(),(BO56-BP56))</f>
        <v>#N/A:explicit</v>
      </c>
      <c t="b" s="895" r="BR56">
        <v>0</v>
      </c>
      <c s="631" r="BS56"/>
      <c t="str" s="309" r="BT56">
        <f>IF((COUNT(BM56:BM$146)=0),NA(),IF(ISBLANK(BM56),IF(ISBLANK(BM55),MAX(BM$46:BM56),BM55),BM56))</f>
        <v>#N/A:explicit</v>
      </c>
      <c t="str" s="861" r="BU56">
        <f>IF(ISNA(BQ56),IF(ISNUMBER(BT56),BU55,NA()),BQ56)</f>
        <v>#N/A:explicit</v>
      </c>
      <c s="861" r="BV56">
        <f>IF(ISNUMBER(BU56),BU56,(BO$46+1000))</f>
        <v>1000</v>
      </c>
      <c t="str" s="588" r="BW56">
        <f>IF((BR56=TRUE),NA(),IF((BW$44=(BO$46-MAX(BP$46:BP$146))),NA(),BW$44))</f>
        <v>#N/A:explicit</v>
      </c>
      <c s="588" r="BX56">
        <f>IF((ISNA(((BU56*BT56)*BU55))),0,(IF((BT56&lt;BT55),-1,1)*(IF((BR55=FALSE),IF((BR56=FALSE),IF(ISNA(BU56),0,IF((BU55&lt;BW$44),IF((BU56&lt;BW$44),(((BT56-BT55)^2)^0.5),(((((BW$44-BU55)*(BT56-BT55))/(BU56-BU55))^2)^0.5)),IF((BU56&lt;BW$44),(((((BW$44-BU56)*(BT56-BT55))/(BU55-BU56))^2)^0.5),0))),0),0))))</f>
        <v>0</v>
      </c>
      <c s="588" r="BY56">
        <f>IF(ISNA((BU56*BU55)),0,IF((BR55=FALSE),IF((BR56=FALSE),IF(ISNA(BQ56),0,IF((BU55&lt;BW$44),IF((BU56&lt;BW$44),((BW$44-((BU55+BU56)*0.5))*BX56),(((BW$44-BU55)*0.5)*BX56)),IF((BU56&lt;BW$44),(((BW$44-BU56)*0.5)*BX56),0))),0),0))</f>
        <v>0</v>
      </c>
      <c s="588" r="BZ56">
        <f>IF(ISNA((BU56*BU55)),0,IF((BR55=FALSE),IF((BR56=FALSE),IF(ISNA(BU56),0,IF((BU55&lt;BW$44),IF((BU56&lt;BW$44),(((BX56^2)+((BU56-BU55)^2))^0.5),(((BX56^2)+((BW$44-BU55)^2))^0.5)),IF((BU56&lt;BW$44),(((BX56^2)+((BW$44-BU56)^2))^0.5),0))),0),0))</f>
        <v>0</v>
      </c>
      <c s="588" r="CA56">
        <f>IF(ISNUMBER((BU56*BU55)),IF((BU55&gt;=BG$148),IF((BU56&lt;BG$148),1,0),IF((BU56&gt;=BG$148),IF((BU55&lt;BG$148),1,0),0)),0)</f>
        <v>0</v>
      </c>
      <c s="588" r="CB56">
        <f>IF(ISNA((BU56*BU55)),0,(IF((BT56&lt;BT55),-1,1)*(IF(ISNA(BU56),0,IF((BU55&lt;BG$148),IF((BU56&lt;BG$148),(((BT56-BT55)^2)^0.5),(((((BG$148-BU55)*(BT56-BT55))/(BU56-BU55))^2)^0.5)),IF((BU56&lt;BG$148),(((((BG$148-BU56)*(BT56-BT55))/(BU55-BU56))^2)^0.5),0))))))</f>
        <v>0</v>
      </c>
      <c s="441" r="CC56">
        <f>IF((BY56&gt;0),(MAX(CC$47:CC55)+1),0)</f>
        <v>0</v>
      </c>
      <c s="388" r="CD56"/>
      <c s="406" r="CE56"/>
      <c s="301" r="CF56"/>
      <c t="s" s="7" r="CG56">
        <v>377</v>
      </c>
      <c s="550" r="CH56"/>
      <c t="str" s="367" r="CI56">
        <f>IF(ISBLANK(CH56),"---",(("= "&amp;(CM$46-CH56))&amp;" elev"))</f>
        <v>---</v>
      </c>
      <c t="s" s="418" r="CJ56">
        <v>2</v>
      </c>
      <c s="550" r="CK56"/>
      <c s="550" r="CL56"/>
      <c t="str" s="620" r="CM56">
        <f>IF((COUNT(CL56:CL$146,CN56:CN$146)=0),NA(),IF(ISBLANK(CL56),CM55,(CM55+(CL56-CN55))))</f>
        <v>#N/A:explicit</v>
      </c>
      <c s="550" r="CN56"/>
      <c t="str" s="620" r="CO56">
        <f>IF(OR(ISBLANK(CN56),ISNUMBER(CL57)),NA(),(CM56-CN56))</f>
        <v>#N/A:explicit</v>
      </c>
      <c t="b" s="895" r="CP56">
        <v>0</v>
      </c>
      <c s="631" r="CQ56"/>
      <c t="str" s="309" r="CR56">
        <f>IF((COUNT(CK56:CK$146)=0),NA(),IF(ISBLANK(CK56),IF(ISBLANK(CK55),MAX(CK$46:CK56),CK55),CK56))</f>
        <v>#N/A:explicit</v>
      </c>
      <c t="str" s="861" r="CS56">
        <f>IF(ISNA(CO56),IF(ISNUMBER(CR56),CS55,NA()),CO56)</f>
        <v>#N/A:explicit</v>
      </c>
      <c s="861" r="CT56">
        <f>IF(ISNUMBER(CS56),CS56,(CM$46+1000))</f>
        <v>1000</v>
      </c>
      <c t="str" s="588" r="CU56">
        <f>IF((CP56=TRUE),NA(),IF((CU$44=(CM$46-MAX(CN$46:CN$146))),NA(),CU$44))</f>
        <v>#N/A:explicit</v>
      </c>
      <c s="588" r="CV56">
        <f>IF((ISNA(((CS56*CR56)*CS55))),0,(IF((CR56&lt;CR55),-1,1)*(IF((CP55=FALSE),IF((CP56=FALSE),IF(ISNA(CS56),0,IF((CS55&lt;CU$44),IF((CS56&lt;CU$44),(((CR56-CR55)^2)^0.5),(((((CU$44-CS55)*(CR56-CR55))/(CS56-CS55))^2)^0.5)),IF((CS56&lt;CU$44),(((((CU$44-CS56)*(CR56-CR55))/(CS55-CS56))^2)^0.5),0))),0),0))))</f>
        <v>0</v>
      </c>
      <c s="588" r="CW56">
        <f>IF(ISNA((CS56*CS55)),0,IF((CP55=FALSE),IF((CP56=FALSE),IF(ISNA(CO56),0,IF((CS55&lt;CU$44),IF((CS56&lt;CU$44),((CU$44-((CS55+CS56)*0.5))*CV56),(((CU$44-CS55)*0.5)*CV56)),IF((CS56&lt;CU$44),(((CU$44-CS56)*0.5)*CV56),0))),0),0))</f>
        <v>0</v>
      </c>
      <c s="588" r="CX56">
        <f>IF(ISNA((CS56*CS55)),0,IF((CP55=FALSE),IF((CP56=FALSE),IF(ISNA(CS56),0,IF((CS55&lt;CU$44),IF((CS56&lt;CU$44),(((CV56^2)+((CS56-CS55)^2))^0.5),(((CV56^2)+((CU$44-CS55)^2))^0.5)),IF((CS56&lt;CU$44),(((CV56^2)+((CU$44-CS56)^2))^0.5),0))),0),0))</f>
        <v>0</v>
      </c>
      <c s="588" r="CY56">
        <f>IF(ISNUMBER((CS56*CS55)),IF((CS55&gt;=CE$148),IF((CS56&lt;CE$148),1,0),IF((CS56&gt;=CE$148),IF((CS55&lt;CE$148),1,0),0)),0)</f>
        <v>0</v>
      </c>
      <c s="588" r="CZ56">
        <f>IF(ISNA((CS56*CS55)),0,(IF((CR56&lt;CR55),-1,1)*(IF(ISNA(CS56),0,IF((CS55&lt;CE$148),IF((CS56&lt;CE$148),(((CR56-CR55)^2)^0.5),(((((CE$148-CS55)*(CR56-CR55))/(CS56-CS55))^2)^0.5)),IF((CS56&lt;CE$148),(((((CE$148-CS56)*(CR56-CR55))/(CS55-CS56))^2)^0.5),0))))))</f>
        <v>0</v>
      </c>
      <c s="441" r="DA56">
        <f>IF((CW56&gt;0),(MAX(DA$47:DA55)+1),0)</f>
        <v>0</v>
      </c>
      <c s="388" r="DB56"/>
      <c s="406" r="DC56"/>
      <c s="301" r="DD56"/>
      <c t="s" s="7" r="DE56">
        <v>377</v>
      </c>
      <c s="550" r="DF56"/>
      <c t="str" s="367" r="DG56">
        <f>IF(ISBLANK(DF56),"---",(("= "&amp;(DK$46-DF56))&amp;" elev"))</f>
        <v>---</v>
      </c>
      <c s="418" r="DH56"/>
      <c s="550" r="DI56"/>
      <c s="550" r="DJ56"/>
      <c t="str" s="620" r="DK56">
        <f>IF((COUNT(DJ56:DJ$146,DL56:DL$146)=0),NA(),IF(ISBLANK(DJ56),DK55,(DK55+(DJ56-DL55))))</f>
        <v>#N/A:explicit</v>
      </c>
      <c s="550" r="DL56"/>
      <c t="str" s="620" r="DM56">
        <f>IF(OR(ISBLANK(DL56),ISNUMBER(DJ57)),NA(),(DK56-DL56))</f>
        <v>#N/A:explicit</v>
      </c>
      <c t="b" s="895" r="DN56">
        <v>0</v>
      </c>
      <c s="631" r="DO56"/>
      <c t="str" s="309" r="DP56">
        <f>IF((COUNT(DI56:DI$146)=0),NA(),IF(ISBLANK(DI56),IF(ISBLANK(DI55),MAX(DI$46:DI56),DI55),DI56))</f>
        <v>#N/A:explicit</v>
      </c>
      <c t="str" s="861" r="DQ56">
        <f>IF(ISNA(DM56),IF(ISNUMBER(DP56),DQ55,NA()),DM56)</f>
        <v>#N/A:explicit</v>
      </c>
      <c s="861" r="DR56">
        <f>IF(ISNUMBER(DQ56),DQ56,(DK$46+1000))</f>
        <v>1000</v>
      </c>
      <c t="str" s="588" r="DS56">
        <f>IF((DN56=TRUE),NA(),IF((DS$44=(DK$46-MAX(DL$46:DL$146))),NA(),DS$44))</f>
        <v>#N/A:explicit</v>
      </c>
      <c s="588" r="DT56">
        <f>IF((ISNA(((DQ56*DP56)*DQ55))),0,(IF((DP56&lt;DP55),-1,1)*(IF((DN55=FALSE),IF((DN56=FALSE),IF(ISNA(DQ56),0,IF((DQ55&lt;DS$44),IF((DQ56&lt;DS$44),(((DP56-DP55)^2)^0.5),(((((DS$44-DQ55)*(DP56-DP55))/(DQ56-DQ55))^2)^0.5)),IF((DQ56&lt;DS$44),(((((DS$44-DQ56)*(DP56-DP55))/(DQ55-DQ56))^2)^0.5),0))),0),0))))</f>
        <v>0</v>
      </c>
      <c s="588" r="DU56">
        <f>IF(ISNA((DQ56*DQ55)),0,IF((DN55=FALSE),IF((DN56=FALSE),IF(ISNA(DM56),0,IF((DQ55&lt;DS$44),IF((DQ56&lt;DS$44),((DS$44-((DQ55+DQ56)*0.5))*DT56),(((DS$44-DQ55)*0.5)*DT56)),IF((DQ56&lt;DS$44),(((DS$44-DQ56)*0.5)*DT56),0))),0),0))</f>
        <v>0</v>
      </c>
      <c s="588" r="DV56">
        <f>IF(ISNA((DQ56*DQ55)),0,IF((DN55=FALSE),IF((DN56=FALSE),IF(ISNA(DQ56),0,IF((DQ55&lt;DS$44),IF((DQ56&lt;DS$44),(((DT56^2)+((DQ56-DQ55)^2))^0.5),(((DT56^2)+((DS$44-DQ55)^2))^0.5)),IF((DQ56&lt;DS$44),(((DT56^2)+((DS$44-DQ56)^2))^0.5),0))),0),0))</f>
        <v>0</v>
      </c>
      <c s="588" r="DW56">
        <f>IF(ISNUMBER((DQ56*DQ55)),IF((DQ55&gt;=DC$148),IF((DQ56&lt;DC$148),1,0),IF((DQ56&gt;=DC$148),IF((DQ55&lt;DC$148),1,0),0)),0)</f>
        <v>0</v>
      </c>
      <c s="588" r="DX56">
        <f>IF(ISNA((DQ56*DQ55)),0,(IF((DP56&lt;DP55),-1,1)*(IF(ISNA(DQ56),0,IF((DQ55&lt;DC$148),IF((DQ56&lt;DC$148),(((DP56-DP55)^2)^0.5),(((((DC$148-DQ55)*(DP56-DP55))/(DQ56-DQ55))^2)^0.5)),IF((DQ56&lt;DC$148),(((((DC$148-DQ56)*(DP56-DP55))/(DQ55-DQ56))^2)^0.5),0))))))</f>
        <v>0</v>
      </c>
      <c s="441" r="DY56">
        <f>IF((DU56&gt;0),(MAX(DY$47:DY55)+1),0)</f>
        <v>0</v>
      </c>
      <c s="388" r="DZ56"/>
      <c s="406" r="EA56"/>
      <c s="301" r="EB56"/>
      <c t="s" s="7" r="EC56">
        <v>377</v>
      </c>
      <c s="550" r="ED56"/>
      <c t="str" s="367" r="EE56">
        <f>IF(ISBLANK(ED56),"---",(("= "&amp;(EI$46-ED56))&amp;" elev"))</f>
        <v>---</v>
      </c>
      <c s="418" r="EF56"/>
      <c s="550" r="EG56"/>
      <c s="550" r="EH56"/>
      <c t="str" s="620" r="EI56">
        <f>IF((COUNT(EH56:EH$146,EJ56:EJ$146)=0),NA(),IF(ISBLANK(EH56),EI55,(EI55+(EH56-EJ55))))</f>
        <v>#N/A:explicit</v>
      </c>
      <c s="550" r="EJ56"/>
      <c t="str" s="620" r="EK56">
        <f>IF(OR(ISBLANK(EJ56),ISNUMBER(EH57)),NA(),(EI56-EJ56))</f>
        <v>#N/A:explicit</v>
      </c>
      <c t="b" s="895" r="EL56">
        <v>0</v>
      </c>
      <c s="631" r="EM56"/>
      <c t="str" s="309" r="EN56">
        <f>IF((COUNT(EG56:EG$146)=0),NA(),IF(ISBLANK(EG56),IF(ISBLANK(EG55),MAX(EG$46:EG56),EG55),EG56))</f>
        <v>#N/A:explicit</v>
      </c>
      <c t="str" s="861" r="EO56">
        <f>IF(ISNA(EK56),IF(ISNUMBER(EN56),EO55,NA()),EK56)</f>
        <v>#N/A:explicit</v>
      </c>
      <c s="861" r="EP56">
        <f>IF(ISNUMBER(EO56),EO56,(EI$46+1000))</f>
        <v>1000</v>
      </c>
      <c t="str" s="588" r="EQ56">
        <f>IF((EL56=TRUE),NA(),IF((EQ$44=(EI$46-MAX(EJ$46:EJ$146))),NA(),EQ$44))</f>
        <v>#N/A:explicit</v>
      </c>
      <c s="588" r="ER56">
        <f>IF((ISNA(((EO56*EN56)*EO55))),0,(IF((EN56&lt;EN55),-1,1)*(IF((EL55=FALSE),IF((EL56=FALSE),IF(ISNA(EO56),0,IF((EO55&lt;EQ$44),IF((EO56&lt;EQ$44),(((EN56-EN55)^2)^0.5),(((((EQ$44-EO55)*(EN56-EN55))/(EO56-EO55))^2)^0.5)),IF((EO56&lt;EQ$44),(((((EQ$44-EO56)*(EN56-EN55))/(EO55-EO56))^2)^0.5),0))),0),0))))</f>
        <v>0</v>
      </c>
      <c s="588" r="ES56">
        <f>IF(ISNA((EO56*EO55)),0,IF((EL55=FALSE),IF((EL56=FALSE),IF(ISNA(EK56),0,IF((EO55&lt;EQ$44),IF((EO56&lt;EQ$44),((EQ$44-((EO55+EO56)*0.5))*ER56),(((EQ$44-EO55)*0.5)*ER56)),IF((EO56&lt;EQ$44),(((EQ$44-EO56)*0.5)*ER56),0))),0),0))</f>
        <v>0</v>
      </c>
      <c s="588" r="ET56">
        <f>IF(ISNA((EO56*EO55)),0,IF((EL55=FALSE),IF((EL56=FALSE),IF(ISNA(EO56),0,IF((EO55&lt;EQ$44),IF((EO56&lt;EQ$44),(((ER56^2)+((EO56-EO55)^2))^0.5),(((ER56^2)+((EQ$44-EO55)^2))^0.5)),IF((EO56&lt;EQ$44),(((ER56^2)+((EQ$44-EO56)^2))^0.5),0))),0),0))</f>
        <v>0</v>
      </c>
      <c s="588" r="EU56">
        <f>IF(ISNUMBER((EO56*EO55)),IF((EO55&gt;=EA$148),IF((EO56&lt;EA$148),1,0),IF((EO56&gt;=EA$148),IF((EO55&lt;EA$148),1,0),0)),0)</f>
        <v>0</v>
      </c>
      <c s="588" r="EV56">
        <f>IF(ISNA((EO56*EO55)),0,(IF((EN56&lt;EN55),-1,1)*(IF(ISNA(EO56),0,IF((EO55&lt;EA$148),IF((EO56&lt;EA$148),(((EN56-EN55)^2)^0.5),(((((EA$148-EO55)*(EN56-EN55))/(EO56-EO55))^2)^0.5)),IF((EO56&lt;EA$148),(((((EA$148-EO56)*(EN56-EN55))/(EO55-EO56))^2)^0.5),0))))))</f>
        <v>0</v>
      </c>
      <c s="441" r="EW56">
        <f>IF((ES56&gt;0),(MAX(EW$47:EW55)+1),0)</f>
        <v>0</v>
      </c>
      <c s="388" r="EX56"/>
      <c s="406" r="EY56"/>
      <c s="301" r="EZ56"/>
      <c t="s" s="7" r="FA56">
        <v>377</v>
      </c>
      <c s="550" r="FB56"/>
      <c t="str" s="367" r="FC56">
        <f>IF(ISBLANK(FB56),"---",(("= "&amp;(FG$46-FB56))&amp;" elev"))</f>
        <v>---</v>
      </c>
      <c s="418" r="FD56"/>
      <c s="550" r="FE56"/>
      <c s="550" r="FF56"/>
      <c t="str" s="620" r="FG56">
        <f>IF((COUNT(FF56:FF$146,FH56:FH$146)=0),NA(),IF(ISBLANK(FF56),FG55,(FG55+(FF56-FH55))))</f>
        <v>#N/A:explicit</v>
      </c>
      <c s="550" r="FH56"/>
      <c t="str" s="620" r="FI56">
        <f>IF(OR(ISBLANK(FH56),ISNUMBER(FF57)),NA(),(FG56-FH56))</f>
        <v>#N/A:explicit</v>
      </c>
      <c t="b" s="895" r="FJ56">
        <v>0</v>
      </c>
      <c s="631" r="FK56"/>
      <c t="str" s="309" r="FL56">
        <f>IF((COUNT(FE56:FE$146)=0),NA(),IF(ISBLANK(FE56),IF(ISBLANK(FE55),MAX(FE$46:FE56),FE55),FE56))</f>
        <v>#N/A:explicit</v>
      </c>
      <c t="str" s="861" r="FM56">
        <f>IF(ISNA(FI56),IF(ISNUMBER(FL56),FM55,NA()),FI56)</f>
        <v>#N/A:explicit</v>
      </c>
      <c s="861" r="FN56">
        <f>IF(ISNUMBER(FM56),FM56,(FG$46+1000))</f>
        <v>1000</v>
      </c>
      <c t="str" s="588" r="FO56">
        <f>IF((FJ56=TRUE),NA(),IF((FO$44=(FG$46-MAX(FH$46:FH$146))),NA(),FO$44))</f>
        <v>#N/A:explicit</v>
      </c>
      <c s="588" r="FP56">
        <f>IF((ISNA(((FM56*FL56)*FM55))),0,(IF((FL56&lt;FL55),-1,1)*(IF((FJ55=FALSE),IF((FJ56=FALSE),IF(ISNA(FM56),0,IF((FM55&lt;FO$44),IF((FM56&lt;FO$44),(((FL56-FL55)^2)^0.5),(((((FO$44-FM55)*(FL56-FL55))/(FM56-FM55))^2)^0.5)),IF((FM56&lt;FO$44),(((((FO$44-FM56)*(FL56-FL55))/(FM55-FM56))^2)^0.5),0))),0),0))))</f>
        <v>0</v>
      </c>
      <c s="588" r="FQ56">
        <f>IF(ISNA((FM56*FM55)),0,IF((FJ55=FALSE),IF((FJ56=FALSE),IF(ISNA(FI56),0,IF((FM55&lt;FO$44),IF((FM56&lt;FO$44),((FO$44-((FM55+FM56)*0.5))*FP56),(((FO$44-FM55)*0.5)*FP56)),IF((FM56&lt;FO$44),(((FO$44-FM56)*0.5)*FP56),0))),0),0))</f>
        <v>0</v>
      </c>
      <c s="588" r="FR56">
        <f>IF(ISNA((FM56*FM55)),0,IF((FJ55=FALSE),IF((FJ56=FALSE),IF(ISNA(FM56),0,IF((FM55&lt;FO$44),IF((FM56&lt;FO$44),(((FP56^2)+((FM56-FM55)^2))^0.5),(((FP56^2)+((FO$44-FM55)^2))^0.5)),IF((FM56&lt;FO$44),(((FP56^2)+((FO$44-FM56)^2))^0.5),0))),0),0))</f>
        <v>0</v>
      </c>
      <c s="588" r="FS56">
        <f>IF(ISNUMBER((FM56*FM55)),IF((FM55&gt;=EY$148),IF((FM56&lt;EY$148),1,0),IF((FM56&gt;=EY$148),IF((FM55&lt;EY$148),1,0),0)),0)</f>
        <v>0</v>
      </c>
      <c s="588" r="FT56">
        <f>IF(ISNA((FM56*FM55)),0,(IF((FL56&lt;FL55),-1,1)*(IF(ISNA(FM56),0,IF((FM55&lt;EY$148),IF((FM56&lt;EY$148),(((FL56-FL55)^2)^0.5),(((((EY$148-FM55)*(FL56-FL55))/(FM56-FM55))^2)^0.5)),IF((FM56&lt;EY$148),(((((EY$148-FM56)*(FL56-FL55))/(FM55-FM56))^2)^0.5),0))))))</f>
        <v>0</v>
      </c>
      <c s="441" r="FU56">
        <f>IF((FQ56&gt;0),(MAX(FU$47:FU55)+1),0)</f>
        <v>0</v>
      </c>
      <c s="222" r="FV56"/>
      <c s="125" r="FW56"/>
      <c s="125" r="FX56"/>
      <c s="125" r="FY56"/>
      <c s="125" r="FZ56"/>
      <c s="125" r="GA56"/>
      <c s="125" r="GB56"/>
      <c s="125" r="GC56"/>
      <c s="125" r="GD56"/>
      <c s="125" r="GE56"/>
      <c s="125" r="GF56"/>
      <c s="125" r="GG56"/>
      <c s="125" r="GH56"/>
      <c s="125" r="GI56"/>
      <c s="125" r="GJ56"/>
      <c s="125" r="GK56"/>
      <c s="125" r="GL56"/>
      <c s="125" r="GM56"/>
      <c s="125" r="GN56"/>
      <c s="125" r="GO56"/>
      <c s="125" r="GP56"/>
      <c s="125" r="GQ56"/>
      <c s="125" r="GR56"/>
      <c s="125" r="GS56"/>
      <c s="125" r="GT56"/>
      <c s="125" r="GU56"/>
      <c s="125" r="GV56"/>
      <c s="125" r="GW56"/>
      <c s="125" r="GX56"/>
      <c s="125" r="GY56"/>
      <c s="125" r="GZ56"/>
      <c s="125" r="HA56"/>
      <c s="125" r="HB56"/>
    </row>
    <row customHeight="1" r="57" ht="13.5">
      <c s="822" r="A57"/>
      <c s="406" r="B57"/>
      <c s="756" r="C57"/>
      <c t="s" s="7" r="D57">
        <v>263</v>
      </c>
      <c s="458" r="E57"/>
      <c s="510" r="F57"/>
      <c s="458" r="G57"/>
      <c s="458" r="H57"/>
      <c s="734" r="I57"/>
      <c s="702" r="J57"/>
      <c s="406" r="K57"/>
      <c s="385" r="L57"/>
      <c t="s" s="836" r="M57">
        <v>368</v>
      </c>
      <c s="894" r="N57"/>
      <c s="367" r="O57"/>
      <c s="418" r="P57"/>
      <c s="550" r="Q57"/>
      <c s="550" r="R57"/>
      <c t="str" s="620" r="S57">
        <f>IF((COUNT(R57:R$146,T57:T$146)=0),NA(),IF(ISBLANK(R57),S56,(S56+(R57-T56))))</f>
        <v>#N/A:explicit</v>
      </c>
      <c s="550" r="T57"/>
      <c t="str" s="620" r="U57">
        <f>IF(OR(ISBLANK(T57),ISNUMBER(R58)),NA(),(S57-T57))</f>
        <v>#N/A:explicit</v>
      </c>
      <c t="b" s="895" r="V57">
        <v>0</v>
      </c>
      <c s="631" r="W57"/>
      <c t="str" s="309" r="X57">
        <f>IF((COUNT(Q57:Q$146)=0),NA(),IF(ISBLANK(Q57),IF(ISBLANK(Q56),MAX(Q$46:Q57),Q56),Q57))</f>
        <v>#N/A:explicit</v>
      </c>
      <c t="str" s="861" r="Y57">
        <f>IF(ISNA(U57),IF(ISNUMBER(X57),Y56,NA()),U57)</f>
        <v>#N/A:explicit</v>
      </c>
      <c s="861" r="Z57">
        <f>IF(ISNUMBER(Y57),Y57,(S$46+1000))</f>
        <v>1000</v>
      </c>
      <c t="str" s="588" r="AA57">
        <f>IF((V57=TRUE),NA(),IF((AA$44=(S$46-MAX(T$46:T$146))),NA(),AA$44))</f>
        <v>#N/A:explicit</v>
      </c>
      <c s="588" r="AB57">
        <f>IF((ISNA(((Y57*X57)*Y56))),0,(IF((X57&lt;X56),-1,1)*(IF((V56=FALSE),IF((V57=FALSE),IF(ISNA(Y57),0,IF((Y56&lt;AA$44),IF((Y57&lt;AA$44),(((X57-X56)^2)^0.5),(((((AA$44-Y56)*(X57-X56))/(Y57-Y56))^2)^0.5)),IF((Y57&lt;AA$44),(((((AA$44-Y57)*(X57-X56))/(Y56-Y57))^2)^0.5),0))),0),0))))</f>
        <v>0</v>
      </c>
      <c s="588" r="AC57">
        <f>IF(ISNA((Y57*Y56)),0,IF((V56=FALSE),IF((V57=FALSE),IF(ISNA(U57),0,IF((Y56&lt;AA$44),IF((Y57&lt;AA$44),((AA$44-((Y56+Y57)*0.5))*AB57),(((AA$44-Y56)*0.5)*AB57)),IF((Y57&lt;AA$44),(((AA$44-Y57)*0.5)*AB57),0))),0),0))</f>
        <v>0</v>
      </c>
      <c s="588" r="AD57">
        <f>IF(ISNA((Y57*Y56)),0,IF((V56=FALSE),IF((V57=FALSE),IF(ISNA(Y57),0,IF((Y56&lt;AA$44),IF((Y57&lt;AA$44),(((AB57^2)+((Y57-Y56)^2))^0.5),(((AB57^2)+((AA$44-Y56)^2))^0.5)),IF((Y57&lt;AA$44),(((AB57^2)+((AA$44-Y57)^2))^0.5),0))),0),0))</f>
        <v>0</v>
      </c>
      <c s="588" r="AE57">
        <f>IF(ISNUMBER((Y57*Y56)),IF((Y56&gt;=K$148),IF((Y57&lt;K$148),1,0),IF((Y57&gt;=K$148),IF((Y56&lt;K$148),1,0),0)),0)</f>
        <v>0</v>
      </c>
      <c s="588" r="AF57">
        <f>IF(ISNA((Y57*Y56)),0,(IF((X57&lt;X56),-1,1)*(IF(ISNA(Y57),0,IF((Y56&lt;K$148),IF((Y57&lt;K$148),(((X57-X56)^2)^0.5),(((((K$148-Y56)*(X57-X56))/(Y57-Y56))^2)^0.5)),IF((Y57&lt;K$148),(((((K$148-Y57)*(X57-X56))/(Y56-Y57))^2)^0.5),0))))))</f>
        <v>0</v>
      </c>
      <c s="441" r="AG57">
        <f>IF((AC57&gt;0),(MAX(AG$47:AG56)+1),0)</f>
        <v>0</v>
      </c>
      <c t="s" s="388" r="AH57">
        <v>2</v>
      </c>
      <c s="406" r="AI57"/>
      <c s="385" r="AJ57"/>
      <c t="s" s="836" r="AK57">
        <v>368</v>
      </c>
      <c s="894" r="AL57"/>
      <c s="367" r="AM57"/>
      <c s="418" r="AN57"/>
      <c s="550" r="AO57"/>
      <c s="550" r="AP57"/>
      <c t="str" s="620" r="AQ57">
        <f>IF((COUNT(AP57:AP$146,AR57:AR$146)=0),NA(),IF(ISBLANK(AP57),AQ56,(AQ56+(AP57-AR56))))</f>
        <v>#N/A:explicit</v>
      </c>
      <c s="550" r="AR57"/>
      <c t="str" s="620" r="AS57">
        <f>IF(OR(ISBLANK(AR57),ISNUMBER(AP58)),NA(),(AQ57-AR57))</f>
        <v>#N/A:explicit</v>
      </c>
      <c t="b" s="895" r="AT57">
        <v>0</v>
      </c>
      <c s="631" r="AU57"/>
      <c t="str" s="309" r="AV57">
        <f>IF((COUNT(AO57:AO$146)=0),NA(),IF(ISBLANK(AO57),IF(ISBLANK(AO56),MAX(AO$46:AO57),AO56),AO57))</f>
        <v>#N/A:explicit</v>
      </c>
      <c t="str" s="861" r="AW57">
        <f>IF(ISNA(AS57),IF(ISNUMBER(AV57),AW56,NA()),AS57)</f>
        <v>#N/A:explicit</v>
      </c>
      <c s="861" r="AX57">
        <f>IF(ISNUMBER(AW57),AW57,(AQ$46+1000))</f>
        <v>1000</v>
      </c>
      <c t="str" s="588" r="AY57">
        <f>IF((AT57=TRUE),NA(),IF((AY$44=(AQ$46-MAX(AR$46:AR$146))),NA(),AY$44))</f>
        <v>#N/A:explicit</v>
      </c>
      <c s="588" r="AZ57">
        <f>IF((ISNA(((AW57*AV57)*AW56))),0,(IF((AV57&lt;AV56),-1,1)*(IF((AT56=FALSE),IF((AT57=FALSE),IF(ISNA(AW57),0,IF((AW56&lt;AY$44),IF((AW57&lt;AY$44),(((AV57-AV56)^2)^0.5),(((((AY$44-AW56)*(AV57-AV56))/(AW57-AW56))^2)^0.5)),IF((AW57&lt;AY$44),(((((AY$44-AW57)*(AV57-AV56))/(AW56-AW57))^2)^0.5),0))),0),0))))</f>
        <v>0</v>
      </c>
      <c s="588" r="BA57">
        <f>IF(ISNA((AW57*AW56)),0,IF((AT56=FALSE),IF((AT57=FALSE),IF(ISNA(AS57),0,IF((AW56&lt;AY$44),IF((AW57&lt;AY$44),((AY$44-((AW56+AW57)*0.5))*AZ57),(((AY$44-AW56)*0.5)*AZ57)),IF((AW57&lt;AY$44),(((AY$44-AW57)*0.5)*AZ57),0))),0),0))</f>
        <v>0</v>
      </c>
      <c s="588" r="BB57">
        <f>IF(ISNA((AW57*AW56)),0,IF((AT56=FALSE),IF((AT57=FALSE),IF(ISNA(AW57),0,IF((AW56&lt;AY$44),IF((AW57&lt;AY$44),(((AZ57^2)+((AW57-AW56)^2))^0.5),(((AZ57^2)+((AY$44-AW56)^2))^0.5)),IF((AW57&lt;AY$44),(((AZ57^2)+((AY$44-AW57)^2))^0.5),0))),0),0))</f>
        <v>0</v>
      </c>
      <c s="588" r="BC57">
        <f>IF(ISNUMBER((AW57*AW56)),IF((AW56&gt;=AI$148),IF((AW57&lt;AI$148),1,0),IF((AW57&gt;=AI$148),IF((AW56&lt;AI$148),1,0),0)),0)</f>
        <v>0</v>
      </c>
      <c s="588" r="BD57">
        <f>IF(ISNA((AW57*AW56)),0,(IF((AV57&lt;AV56),-1,1)*(IF(ISNA(AW57),0,IF((AW56&lt;AI$148),IF((AW57&lt;AI$148),(((AV57-AV56)^2)^0.5),(((((AI$148-AW56)*(AV57-AV56))/(AW57-AW56))^2)^0.5)),IF((AW57&lt;AI$148),(((((AI$148-AW57)*(AV57-AV56))/(AW56-AW57))^2)^0.5),0))))))</f>
        <v>0</v>
      </c>
      <c s="441" r="BE57">
        <f>IF((BA57&gt;0),(MAX(BE$47:BE56)+1),0)</f>
        <v>0</v>
      </c>
      <c s="388" r="BF57"/>
      <c s="406" r="BG57"/>
      <c s="385" r="BH57"/>
      <c t="s" s="836" r="BI57">
        <v>368</v>
      </c>
      <c s="894" r="BJ57"/>
      <c s="367" r="BK57"/>
      <c s="418" r="BL57"/>
      <c s="550" r="BM57"/>
      <c s="550" r="BN57"/>
      <c t="str" s="620" r="BO57">
        <f>IF((COUNT(BN57:BN$146,BP57:BP$146)=0),NA(),IF(ISBLANK(BN57),BO56,(BO56+(BN57-BP56))))</f>
        <v>#N/A:explicit</v>
      </c>
      <c s="550" r="BP57"/>
      <c t="str" s="620" r="BQ57">
        <f>IF(OR(ISBLANK(BP57),ISNUMBER(BN58)),NA(),(BO57-BP57))</f>
        <v>#N/A:explicit</v>
      </c>
      <c t="b" s="895" r="BR57">
        <v>0</v>
      </c>
      <c s="631" r="BS57"/>
      <c t="str" s="309" r="BT57">
        <f>IF((COUNT(BM57:BM$146)=0),NA(),IF(ISBLANK(BM57),IF(ISBLANK(BM56),MAX(BM$46:BM57),BM56),BM57))</f>
        <v>#N/A:explicit</v>
      </c>
      <c t="str" s="861" r="BU57">
        <f>IF(ISNA(BQ57),IF(ISNUMBER(BT57),BU56,NA()),BQ57)</f>
        <v>#N/A:explicit</v>
      </c>
      <c s="861" r="BV57">
        <f>IF(ISNUMBER(BU57),BU57,(BO$46+1000))</f>
        <v>1000</v>
      </c>
      <c t="str" s="588" r="BW57">
        <f>IF((BR57=TRUE),NA(),IF((BW$44=(BO$46-MAX(BP$46:BP$146))),NA(),BW$44))</f>
        <v>#N/A:explicit</v>
      </c>
      <c s="588" r="BX57">
        <f>IF((ISNA(((BU57*BT57)*BU56))),0,(IF((BT57&lt;BT56),-1,1)*(IF((BR56=FALSE),IF((BR57=FALSE),IF(ISNA(BU57),0,IF((BU56&lt;BW$44),IF((BU57&lt;BW$44),(((BT57-BT56)^2)^0.5),(((((BW$44-BU56)*(BT57-BT56))/(BU57-BU56))^2)^0.5)),IF((BU57&lt;BW$44),(((((BW$44-BU57)*(BT57-BT56))/(BU56-BU57))^2)^0.5),0))),0),0))))</f>
        <v>0</v>
      </c>
      <c s="588" r="BY57">
        <f>IF(ISNA((BU57*BU56)),0,IF((BR56=FALSE),IF((BR57=FALSE),IF(ISNA(BQ57),0,IF((BU56&lt;BW$44),IF((BU57&lt;BW$44),((BW$44-((BU56+BU57)*0.5))*BX57),(((BW$44-BU56)*0.5)*BX57)),IF((BU57&lt;BW$44),(((BW$44-BU57)*0.5)*BX57),0))),0),0))</f>
        <v>0</v>
      </c>
      <c s="588" r="BZ57">
        <f>IF(ISNA((BU57*BU56)),0,IF((BR56=FALSE),IF((BR57=FALSE),IF(ISNA(BU57),0,IF((BU56&lt;BW$44),IF((BU57&lt;BW$44),(((BX57^2)+((BU57-BU56)^2))^0.5),(((BX57^2)+((BW$44-BU56)^2))^0.5)),IF((BU57&lt;BW$44),(((BX57^2)+((BW$44-BU57)^2))^0.5),0))),0),0))</f>
        <v>0</v>
      </c>
      <c s="588" r="CA57">
        <f>IF(ISNUMBER((BU57*BU56)),IF((BU56&gt;=BG$148),IF((BU57&lt;BG$148),1,0),IF((BU57&gt;=BG$148),IF((BU56&lt;BG$148),1,0),0)),0)</f>
        <v>0</v>
      </c>
      <c s="588" r="CB57">
        <f>IF(ISNA((BU57*BU56)),0,(IF((BT57&lt;BT56),-1,1)*(IF(ISNA(BU57),0,IF((BU56&lt;BG$148),IF((BU57&lt;BG$148),(((BT57-BT56)^2)^0.5),(((((BG$148-BU56)*(BT57-BT56))/(BU57-BU56))^2)^0.5)),IF((BU57&lt;BG$148),(((((BG$148-BU57)*(BT57-BT56))/(BU56-BU57))^2)^0.5),0))))))</f>
        <v>0</v>
      </c>
      <c s="441" r="CC57">
        <f>IF((BY57&gt;0),(MAX(CC$47:CC56)+1),0)</f>
        <v>0</v>
      </c>
      <c s="388" r="CD57"/>
      <c s="406" r="CE57"/>
      <c s="385" r="CF57"/>
      <c t="s" s="836" r="CG57">
        <v>368</v>
      </c>
      <c s="894" r="CH57"/>
      <c s="367" r="CI57"/>
      <c s="418" r="CJ57"/>
      <c s="550" r="CK57"/>
      <c s="550" r="CL57"/>
      <c t="str" s="620" r="CM57">
        <f>IF((COUNT(CL57:CL$146,CN57:CN$146)=0),NA(),IF(ISBLANK(CL57),CM56,(CM56+(CL57-CN56))))</f>
        <v>#N/A:explicit</v>
      </c>
      <c s="550" r="CN57"/>
      <c t="str" s="620" r="CO57">
        <f>IF(OR(ISBLANK(CN57),ISNUMBER(CL58)),NA(),(CM57-CN57))</f>
        <v>#N/A:explicit</v>
      </c>
      <c t="b" s="895" r="CP57">
        <v>0</v>
      </c>
      <c s="631" r="CQ57"/>
      <c t="str" s="309" r="CR57">
        <f>IF((COUNT(CK57:CK$146)=0),NA(),IF(ISBLANK(CK57),IF(ISBLANK(CK56),MAX(CK$46:CK57),CK56),CK57))</f>
        <v>#N/A:explicit</v>
      </c>
      <c t="str" s="861" r="CS57">
        <f>IF(ISNA(CO57),IF(ISNUMBER(CR57),CS56,NA()),CO57)</f>
        <v>#N/A:explicit</v>
      </c>
      <c s="861" r="CT57">
        <f>IF(ISNUMBER(CS57),CS57,(CM$46+1000))</f>
        <v>1000</v>
      </c>
      <c t="str" s="588" r="CU57">
        <f>IF((CP57=TRUE),NA(),IF((CU$44=(CM$46-MAX(CN$46:CN$146))),NA(),CU$44))</f>
        <v>#N/A:explicit</v>
      </c>
      <c s="588" r="CV57">
        <f>IF((ISNA(((CS57*CR57)*CS56))),0,(IF((CR57&lt;CR56),-1,1)*(IF((CP56=FALSE),IF((CP57=FALSE),IF(ISNA(CS57),0,IF((CS56&lt;CU$44),IF((CS57&lt;CU$44),(((CR57-CR56)^2)^0.5),(((((CU$44-CS56)*(CR57-CR56))/(CS57-CS56))^2)^0.5)),IF((CS57&lt;CU$44),(((((CU$44-CS57)*(CR57-CR56))/(CS56-CS57))^2)^0.5),0))),0),0))))</f>
        <v>0</v>
      </c>
      <c s="588" r="CW57">
        <f>IF(ISNA((CS57*CS56)),0,IF((CP56=FALSE),IF((CP57=FALSE),IF(ISNA(CO57),0,IF((CS56&lt;CU$44),IF((CS57&lt;CU$44),((CU$44-((CS56+CS57)*0.5))*CV57),(((CU$44-CS56)*0.5)*CV57)),IF((CS57&lt;CU$44),(((CU$44-CS57)*0.5)*CV57),0))),0),0))</f>
        <v>0</v>
      </c>
      <c s="588" r="CX57">
        <f>IF(ISNA((CS57*CS56)),0,IF((CP56=FALSE),IF((CP57=FALSE),IF(ISNA(CS57),0,IF((CS56&lt;CU$44),IF((CS57&lt;CU$44),(((CV57^2)+((CS57-CS56)^2))^0.5),(((CV57^2)+((CU$44-CS56)^2))^0.5)),IF((CS57&lt;CU$44),(((CV57^2)+((CU$44-CS57)^2))^0.5),0))),0),0))</f>
        <v>0</v>
      </c>
      <c s="588" r="CY57">
        <f>IF(ISNUMBER((CS57*CS56)),IF((CS56&gt;=CE$148),IF((CS57&lt;CE$148),1,0),IF((CS57&gt;=CE$148),IF((CS56&lt;CE$148),1,0),0)),0)</f>
        <v>0</v>
      </c>
      <c s="588" r="CZ57">
        <f>IF(ISNA((CS57*CS56)),0,(IF((CR57&lt;CR56),-1,1)*(IF(ISNA(CS57),0,IF((CS56&lt;CE$148),IF((CS57&lt;CE$148),(((CR57-CR56)^2)^0.5),(((((CE$148-CS56)*(CR57-CR56))/(CS57-CS56))^2)^0.5)),IF((CS57&lt;CE$148),(((((CE$148-CS57)*(CR57-CR56))/(CS56-CS57))^2)^0.5),0))))))</f>
        <v>0</v>
      </c>
      <c s="441" r="DA57">
        <f>IF((CW57&gt;0),(MAX(DA$47:DA56)+1),0)</f>
        <v>0</v>
      </c>
      <c s="388" r="DB57"/>
      <c s="406" r="DC57"/>
      <c s="385" r="DD57"/>
      <c t="s" s="836" r="DE57">
        <v>368</v>
      </c>
      <c s="894" r="DF57"/>
      <c s="367" r="DG57"/>
      <c s="418" r="DH57"/>
      <c s="550" r="DI57"/>
      <c s="550" r="DJ57"/>
      <c t="str" s="620" r="DK57">
        <f>IF((COUNT(DJ57:DJ$146,DL57:DL$146)=0),NA(),IF(ISBLANK(DJ57),DK56,(DK56+(DJ57-DL56))))</f>
        <v>#N/A:explicit</v>
      </c>
      <c s="550" r="DL57"/>
      <c t="str" s="620" r="DM57">
        <f>IF(OR(ISBLANK(DL57),ISNUMBER(DJ58)),NA(),(DK57-DL57))</f>
        <v>#N/A:explicit</v>
      </c>
      <c t="b" s="895" r="DN57">
        <v>0</v>
      </c>
      <c s="631" r="DO57"/>
      <c t="str" s="309" r="DP57">
        <f>IF((COUNT(DI57:DI$146)=0),NA(),IF(ISBLANK(DI57),IF(ISBLANK(DI56),MAX(DI$46:DI57),DI56),DI57))</f>
        <v>#N/A:explicit</v>
      </c>
      <c t="str" s="861" r="DQ57">
        <f>IF(ISNA(DM57),IF(ISNUMBER(DP57),DQ56,NA()),DM57)</f>
        <v>#N/A:explicit</v>
      </c>
      <c s="861" r="DR57">
        <f>IF(ISNUMBER(DQ57),DQ57,(DK$46+1000))</f>
        <v>1000</v>
      </c>
      <c t="str" s="588" r="DS57">
        <f>IF((DN57=TRUE),NA(),IF((DS$44=(DK$46-MAX(DL$46:DL$146))),NA(),DS$44))</f>
        <v>#N/A:explicit</v>
      </c>
      <c s="588" r="DT57">
        <f>IF((ISNA(((DQ57*DP57)*DQ56))),0,(IF((DP57&lt;DP56),-1,1)*(IF((DN56=FALSE),IF((DN57=FALSE),IF(ISNA(DQ57),0,IF((DQ56&lt;DS$44),IF((DQ57&lt;DS$44),(((DP57-DP56)^2)^0.5),(((((DS$44-DQ56)*(DP57-DP56))/(DQ57-DQ56))^2)^0.5)),IF((DQ57&lt;DS$44),(((((DS$44-DQ57)*(DP57-DP56))/(DQ56-DQ57))^2)^0.5),0))),0),0))))</f>
        <v>0</v>
      </c>
      <c s="588" r="DU57">
        <f>IF(ISNA((DQ57*DQ56)),0,IF((DN56=FALSE),IF((DN57=FALSE),IF(ISNA(DM57),0,IF((DQ56&lt;DS$44),IF((DQ57&lt;DS$44),((DS$44-((DQ56+DQ57)*0.5))*DT57),(((DS$44-DQ56)*0.5)*DT57)),IF((DQ57&lt;DS$44),(((DS$44-DQ57)*0.5)*DT57),0))),0),0))</f>
        <v>0</v>
      </c>
      <c s="588" r="DV57">
        <f>IF(ISNA((DQ57*DQ56)),0,IF((DN56=FALSE),IF((DN57=FALSE),IF(ISNA(DQ57),0,IF((DQ56&lt;DS$44),IF((DQ57&lt;DS$44),(((DT57^2)+((DQ57-DQ56)^2))^0.5),(((DT57^2)+((DS$44-DQ56)^2))^0.5)),IF((DQ57&lt;DS$44),(((DT57^2)+((DS$44-DQ57)^2))^0.5),0))),0),0))</f>
        <v>0</v>
      </c>
      <c s="588" r="DW57">
        <f>IF(ISNUMBER((DQ57*DQ56)),IF((DQ56&gt;=DC$148),IF((DQ57&lt;DC$148),1,0),IF((DQ57&gt;=DC$148),IF((DQ56&lt;DC$148),1,0),0)),0)</f>
        <v>0</v>
      </c>
      <c s="588" r="DX57">
        <f>IF(ISNA((DQ57*DQ56)),0,(IF((DP57&lt;DP56),-1,1)*(IF(ISNA(DQ57),0,IF((DQ56&lt;DC$148),IF((DQ57&lt;DC$148),(((DP57-DP56)^2)^0.5),(((((DC$148-DQ56)*(DP57-DP56))/(DQ57-DQ56))^2)^0.5)),IF((DQ57&lt;DC$148),(((((DC$148-DQ57)*(DP57-DP56))/(DQ56-DQ57))^2)^0.5),0))))))</f>
        <v>0</v>
      </c>
      <c s="441" r="DY57">
        <f>IF((DU57&gt;0),(MAX(DY$47:DY56)+1),0)</f>
        <v>0</v>
      </c>
      <c s="388" r="DZ57"/>
      <c s="406" r="EA57"/>
      <c s="385" r="EB57"/>
      <c t="s" s="836" r="EC57">
        <v>368</v>
      </c>
      <c s="894" r="ED57"/>
      <c s="367" r="EE57"/>
      <c s="418" r="EF57"/>
      <c s="550" r="EG57"/>
      <c s="550" r="EH57"/>
      <c t="str" s="620" r="EI57">
        <f>IF((COUNT(EH57:EH$146,EJ57:EJ$146)=0),NA(),IF(ISBLANK(EH57),EI56,(EI56+(EH57-EJ56))))</f>
        <v>#N/A:explicit</v>
      </c>
      <c s="550" r="EJ57"/>
      <c t="str" s="620" r="EK57">
        <f>IF(OR(ISBLANK(EJ57),ISNUMBER(EH58)),NA(),(EI57-EJ57))</f>
        <v>#N/A:explicit</v>
      </c>
      <c t="b" s="895" r="EL57">
        <v>0</v>
      </c>
      <c s="631" r="EM57"/>
      <c t="str" s="309" r="EN57">
        <f>IF((COUNT(EG57:EG$146)=0),NA(),IF(ISBLANK(EG57),IF(ISBLANK(EG56),MAX(EG$46:EG57),EG56),EG57))</f>
        <v>#N/A:explicit</v>
      </c>
      <c t="str" s="861" r="EO57">
        <f>IF(ISNA(EK57),IF(ISNUMBER(EN57),EO56,NA()),EK57)</f>
        <v>#N/A:explicit</v>
      </c>
      <c s="861" r="EP57">
        <f>IF(ISNUMBER(EO57),EO57,(EI$46+1000))</f>
        <v>1000</v>
      </c>
      <c t="str" s="588" r="EQ57">
        <f>IF((EL57=TRUE),NA(),IF((EQ$44=(EI$46-MAX(EJ$46:EJ$146))),NA(),EQ$44))</f>
        <v>#N/A:explicit</v>
      </c>
      <c s="588" r="ER57">
        <f>IF((ISNA(((EO57*EN57)*EO56))),0,(IF((EN57&lt;EN56),-1,1)*(IF((EL56=FALSE),IF((EL57=FALSE),IF(ISNA(EO57),0,IF((EO56&lt;EQ$44),IF((EO57&lt;EQ$44),(((EN57-EN56)^2)^0.5),(((((EQ$44-EO56)*(EN57-EN56))/(EO57-EO56))^2)^0.5)),IF((EO57&lt;EQ$44),(((((EQ$44-EO57)*(EN57-EN56))/(EO56-EO57))^2)^0.5),0))),0),0))))</f>
        <v>0</v>
      </c>
      <c s="588" r="ES57">
        <f>IF(ISNA((EO57*EO56)),0,IF((EL56=FALSE),IF((EL57=FALSE),IF(ISNA(EK57),0,IF((EO56&lt;EQ$44),IF((EO57&lt;EQ$44),((EQ$44-((EO56+EO57)*0.5))*ER57),(((EQ$44-EO56)*0.5)*ER57)),IF((EO57&lt;EQ$44),(((EQ$44-EO57)*0.5)*ER57),0))),0),0))</f>
        <v>0</v>
      </c>
      <c s="588" r="ET57">
        <f>IF(ISNA((EO57*EO56)),0,IF((EL56=FALSE),IF((EL57=FALSE),IF(ISNA(EO57),0,IF((EO56&lt;EQ$44),IF((EO57&lt;EQ$44),(((ER57^2)+((EO57-EO56)^2))^0.5),(((ER57^2)+((EQ$44-EO56)^2))^0.5)),IF((EO57&lt;EQ$44),(((ER57^2)+((EQ$44-EO57)^2))^0.5),0))),0),0))</f>
        <v>0</v>
      </c>
      <c s="588" r="EU57">
        <f>IF(ISNUMBER((EO57*EO56)),IF((EO56&gt;=EA$148),IF((EO57&lt;EA$148),1,0),IF((EO57&gt;=EA$148),IF((EO56&lt;EA$148),1,0),0)),0)</f>
        <v>0</v>
      </c>
      <c s="588" r="EV57">
        <f>IF(ISNA((EO57*EO56)),0,(IF((EN57&lt;EN56),-1,1)*(IF(ISNA(EO57),0,IF((EO56&lt;EA$148),IF((EO57&lt;EA$148),(((EN57-EN56)^2)^0.5),(((((EA$148-EO56)*(EN57-EN56))/(EO57-EO56))^2)^0.5)),IF((EO57&lt;EA$148),(((((EA$148-EO57)*(EN57-EN56))/(EO56-EO57))^2)^0.5),0))))))</f>
        <v>0</v>
      </c>
      <c s="441" r="EW57">
        <f>IF((ES57&gt;0),(MAX(EW$47:EW56)+1),0)</f>
        <v>0</v>
      </c>
      <c s="388" r="EX57"/>
      <c s="406" r="EY57"/>
      <c s="385" r="EZ57"/>
      <c t="s" s="836" r="FA57">
        <v>368</v>
      </c>
      <c s="894" r="FB57"/>
      <c s="367" r="FC57"/>
      <c s="418" r="FD57"/>
      <c s="550" r="FE57"/>
      <c s="550" r="FF57"/>
      <c t="str" s="620" r="FG57">
        <f>IF((COUNT(FF57:FF$146,FH57:FH$146)=0),NA(),IF(ISBLANK(FF57),FG56,(FG56+(FF57-FH56))))</f>
        <v>#N/A:explicit</v>
      </c>
      <c s="550" r="FH57"/>
      <c t="str" s="620" r="FI57">
        <f>IF(OR(ISBLANK(FH57),ISNUMBER(FF58)),NA(),(FG57-FH57))</f>
        <v>#N/A:explicit</v>
      </c>
      <c t="b" s="895" r="FJ57">
        <v>0</v>
      </c>
      <c s="631" r="FK57"/>
      <c t="str" s="309" r="FL57">
        <f>IF((COUNT(FE57:FE$146)=0),NA(),IF(ISBLANK(FE57),IF(ISBLANK(FE56),MAX(FE$46:FE57),FE56),FE57))</f>
        <v>#N/A:explicit</v>
      </c>
      <c t="str" s="861" r="FM57">
        <f>IF(ISNA(FI57),IF(ISNUMBER(FL57),FM56,NA()),FI57)</f>
        <v>#N/A:explicit</v>
      </c>
      <c s="861" r="FN57">
        <f>IF(ISNUMBER(FM57),FM57,(FG$46+1000))</f>
        <v>1000</v>
      </c>
      <c t="str" s="588" r="FO57">
        <f>IF((FJ57=TRUE),NA(),IF((FO$44=(FG$46-MAX(FH$46:FH$146))),NA(),FO$44))</f>
        <v>#N/A:explicit</v>
      </c>
      <c s="588" r="FP57">
        <f>IF((ISNA(((FM57*FL57)*FM56))),0,(IF((FL57&lt;FL56),-1,1)*(IF((FJ56=FALSE),IF((FJ57=FALSE),IF(ISNA(FM57),0,IF((FM56&lt;FO$44),IF((FM57&lt;FO$44),(((FL57-FL56)^2)^0.5),(((((FO$44-FM56)*(FL57-FL56))/(FM57-FM56))^2)^0.5)),IF((FM57&lt;FO$44),(((((FO$44-FM57)*(FL57-FL56))/(FM56-FM57))^2)^0.5),0))),0),0))))</f>
        <v>0</v>
      </c>
      <c s="588" r="FQ57">
        <f>IF(ISNA((FM57*FM56)),0,IF((FJ56=FALSE),IF((FJ57=FALSE),IF(ISNA(FI57),0,IF((FM56&lt;FO$44),IF((FM57&lt;FO$44),((FO$44-((FM56+FM57)*0.5))*FP57),(((FO$44-FM56)*0.5)*FP57)),IF((FM57&lt;FO$44),(((FO$44-FM57)*0.5)*FP57),0))),0),0))</f>
        <v>0</v>
      </c>
      <c s="588" r="FR57">
        <f>IF(ISNA((FM57*FM56)),0,IF((FJ56=FALSE),IF((FJ57=FALSE),IF(ISNA(FM57),0,IF((FM56&lt;FO$44),IF((FM57&lt;FO$44),(((FP57^2)+((FM57-FM56)^2))^0.5),(((FP57^2)+((FO$44-FM56)^2))^0.5)),IF((FM57&lt;FO$44),(((FP57^2)+((FO$44-FM57)^2))^0.5),0))),0),0))</f>
        <v>0</v>
      </c>
      <c s="588" r="FS57">
        <f>IF(ISNUMBER((FM57*FM56)),IF((FM56&gt;=EY$148),IF((FM57&lt;EY$148),1,0),IF((FM57&gt;=EY$148),IF((FM56&lt;EY$148),1,0),0)),0)</f>
        <v>0</v>
      </c>
      <c s="588" r="FT57">
        <f>IF(ISNA((FM57*FM56)),0,(IF((FL57&lt;FL56),-1,1)*(IF(ISNA(FM57),0,IF((FM56&lt;EY$148),IF((FM57&lt;EY$148),(((FL57-FL56)^2)^0.5),(((((EY$148-FM56)*(FL57-FL56))/(FM57-FM56))^2)^0.5)),IF((FM57&lt;EY$148),(((((EY$148-FM57)*(FL57-FL56))/(FM56-FM57))^2)^0.5),0))))))</f>
        <v>0</v>
      </c>
      <c s="441" r="FU57">
        <f>IF((FQ57&gt;0),(MAX(FU$47:FU56)+1),0)</f>
        <v>0</v>
      </c>
      <c s="222" r="FV57"/>
      <c s="125" r="FW57"/>
      <c s="125" r="FX57"/>
      <c s="125" r="FY57"/>
      <c s="125" r="FZ57"/>
      <c s="125" r="GA57"/>
      <c s="125" r="GB57"/>
      <c s="125" r="GC57"/>
      <c s="125" r="GD57"/>
      <c s="125" r="GE57"/>
      <c s="125" r="GF57"/>
      <c s="125" r="GG57"/>
      <c s="125" r="GH57"/>
      <c s="125" r="GI57"/>
      <c s="125" r="GJ57"/>
      <c s="125" r="GK57"/>
      <c s="125" r="GL57"/>
      <c s="125" r="GM57"/>
      <c s="125" r="GN57"/>
      <c s="125" r="GO57"/>
      <c s="125" r="GP57"/>
      <c s="125" r="GQ57"/>
      <c s="125" r="GR57"/>
      <c s="125" r="GS57"/>
      <c s="125" r="GT57"/>
      <c s="125" r="GU57"/>
      <c s="125" r="GV57"/>
      <c s="125" r="GW57"/>
      <c s="125" r="GX57"/>
      <c s="125" r="GY57"/>
      <c s="125" r="GZ57"/>
      <c s="125" r="HA57"/>
      <c s="125" r="HB57"/>
    </row>
    <row customHeight="1" r="58" ht="13.5">
      <c s="822" r="A58"/>
      <c s="406" r="B58"/>
      <c s="886" r="C58"/>
      <c s="886" r="D58"/>
      <c t="str" s="374" r="E58">
        <f>'Dimension Estimated Values'!D8</f>
        <v>#VALUE!:cantParseText:---</v>
      </c>
      <c s="886" r="F58"/>
      <c t="str" s="374" r="G58">
        <f>'Dimension Estimated Values'!D9</f>
        <v>#VALUE!:cantParseText:---</v>
      </c>
      <c t="str" s="374" r="H58">
        <f>'Dimension Estimated Values'!D10</f>
        <v>#VALUE!:cantParseText:---</v>
      </c>
      <c s="418" r="I58"/>
      <c s="702" r="J58"/>
      <c s="406" r="K58"/>
      <c s="385" r="L58"/>
      <c s="861" r="M58"/>
      <c s="274" r="N58"/>
      <c s="321" r="O58"/>
      <c s="418" r="P58"/>
      <c s="550" r="Q58"/>
      <c s="550" r="R58"/>
      <c t="str" s="620" r="S58">
        <f>IF((COUNT(R58:R$146,T58:T$146)=0),NA(),IF(ISBLANK(R58),S57,(S57+(R58-T57))))</f>
        <v>#N/A:explicit</v>
      </c>
      <c s="550" r="T58"/>
      <c t="str" s="620" r="U58">
        <f>IF(OR(ISBLANK(T58),ISNUMBER(R59)),NA(),(S58-T58))</f>
        <v>#N/A:explicit</v>
      </c>
      <c t="b" s="895" r="V58">
        <v>0</v>
      </c>
      <c s="631" r="W58"/>
      <c t="str" s="309" r="X58">
        <f>IF((COUNT(Q58:Q$146)=0),NA(),IF(ISBLANK(Q58),IF(ISBLANK(Q57),MAX(Q$46:Q58),Q57),Q58))</f>
        <v>#N/A:explicit</v>
      </c>
      <c t="str" s="861" r="Y58">
        <f>IF(ISNA(U58),IF(ISNUMBER(X58),Y57,NA()),U58)</f>
        <v>#N/A:explicit</v>
      </c>
      <c s="861" r="Z58">
        <f>IF(ISNUMBER(Y58),Y58,(S$46+1000))</f>
        <v>1000</v>
      </c>
      <c t="str" s="588" r="AA58">
        <f>IF((V58=TRUE),NA(),IF((AA$44=(S$46-MAX(T$46:T$146))),NA(),AA$44))</f>
        <v>#N/A:explicit</v>
      </c>
      <c s="588" r="AB58">
        <f>IF((ISNA(((Y58*X58)*Y57))),0,(IF((X58&lt;X57),-1,1)*(IF((V57=FALSE),IF((V58=FALSE),IF(ISNA(Y58),0,IF((Y57&lt;AA$44),IF((Y58&lt;AA$44),(((X58-X57)^2)^0.5),(((((AA$44-Y57)*(X58-X57))/(Y58-Y57))^2)^0.5)),IF((Y58&lt;AA$44),(((((AA$44-Y58)*(X58-X57))/(Y57-Y58))^2)^0.5),0))),0),0))))</f>
        <v>0</v>
      </c>
      <c s="588" r="AC58">
        <f>IF(ISNA((Y58*Y57)),0,IF((V57=FALSE),IF((V58=FALSE),IF(ISNA(U58),0,IF((Y57&lt;AA$44),IF((Y58&lt;AA$44),((AA$44-((Y57+Y58)*0.5))*AB58),(((AA$44-Y57)*0.5)*AB58)),IF((Y58&lt;AA$44),(((AA$44-Y58)*0.5)*AB58),0))),0),0))</f>
        <v>0</v>
      </c>
      <c s="588" r="AD58">
        <f>IF(ISNA((Y58*Y57)),0,IF((V57=FALSE),IF((V58=FALSE),IF(ISNA(Y58),0,IF((Y57&lt;AA$44),IF((Y58&lt;AA$44),(((AB58^2)+((Y58-Y57)^2))^0.5),(((AB58^2)+((AA$44-Y57)^2))^0.5)),IF((Y58&lt;AA$44),(((AB58^2)+((AA$44-Y58)^2))^0.5),0))),0),0))</f>
        <v>0</v>
      </c>
      <c s="588" r="AE58">
        <f>IF(ISNUMBER((Y58*Y57)),IF((Y57&gt;=K$148),IF((Y58&lt;K$148),1,0),IF((Y58&gt;=K$148),IF((Y57&lt;K$148),1,0),0)),0)</f>
        <v>0</v>
      </c>
      <c s="588" r="AF58">
        <f>IF(ISNA((Y58*Y57)),0,(IF((X58&lt;X57),-1,1)*(IF(ISNA(Y58),0,IF((Y57&lt;K$148),IF((Y58&lt;K$148),(((X58-X57)^2)^0.5),(((((K$148-Y57)*(X58-X57))/(Y58-Y57))^2)^0.5)),IF((Y58&lt;K$148),(((((K$148-Y58)*(X58-X57))/(Y57-Y58))^2)^0.5),0))))))</f>
        <v>0</v>
      </c>
      <c s="441" r="AG58">
        <f>IF((AC58&gt;0),(MAX(AG$47:AG57)+1),0)</f>
        <v>0</v>
      </c>
      <c s="388" r="AH58"/>
      <c s="406" r="AI58"/>
      <c s="385" r="AJ58"/>
      <c s="861" r="AK58"/>
      <c s="274" r="AL58"/>
      <c s="321" r="AM58"/>
      <c s="418" r="AN58"/>
      <c s="550" r="AO58"/>
      <c s="550" r="AP58"/>
      <c t="str" s="620" r="AQ58">
        <f>IF((COUNT(AP58:AP$146,AR58:AR$146)=0),NA(),IF(ISBLANK(AP58),AQ57,(AQ57+(AP58-AR57))))</f>
        <v>#N/A:explicit</v>
      </c>
      <c s="550" r="AR58"/>
      <c t="str" s="620" r="AS58">
        <f>IF(OR(ISBLANK(AR58),ISNUMBER(AP59)),NA(),(AQ58-AR58))</f>
        <v>#N/A:explicit</v>
      </c>
      <c t="b" s="895" r="AT58">
        <v>0</v>
      </c>
      <c s="631" r="AU58"/>
      <c t="str" s="309" r="AV58">
        <f>IF((COUNT(AO58:AO$146)=0),NA(),IF(ISBLANK(AO58),IF(ISBLANK(AO57),MAX(AO$46:AO58),AO57),AO58))</f>
        <v>#N/A:explicit</v>
      </c>
      <c t="str" s="861" r="AW58">
        <f>IF(ISNA(AS58),IF(ISNUMBER(AV58),AW57,NA()),AS58)</f>
        <v>#N/A:explicit</v>
      </c>
      <c s="861" r="AX58">
        <f>IF(ISNUMBER(AW58),AW58,(AQ$46+1000))</f>
        <v>1000</v>
      </c>
      <c t="str" s="588" r="AY58">
        <f>IF((AT58=TRUE),NA(),IF((AY$44=(AQ$46-MAX(AR$46:AR$146))),NA(),AY$44))</f>
        <v>#N/A:explicit</v>
      </c>
      <c s="588" r="AZ58">
        <f>IF((ISNA(((AW58*AV58)*AW57))),0,(IF((AV58&lt;AV57),-1,1)*(IF((AT57=FALSE),IF((AT58=FALSE),IF(ISNA(AW58),0,IF((AW57&lt;AY$44),IF((AW58&lt;AY$44),(((AV58-AV57)^2)^0.5),(((((AY$44-AW57)*(AV58-AV57))/(AW58-AW57))^2)^0.5)),IF((AW58&lt;AY$44),(((((AY$44-AW58)*(AV58-AV57))/(AW57-AW58))^2)^0.5),0))),0),0))))</f>
        <v>0</v>
      </c>
      <c s="588" r="BA58">
        <f>IF(ISNA((AW58*AW57)),0,IF((AT57=FALSE),IF((AT58=FALSE),IF(ISNA(AS58),0,IF((AW57&lt;AY$44),IF((AW58&lt;AY$44),((AY$44-((AW57+AW58)*0.5))*AZ58),(((AY$44-AW57)*0.5)*AZ58)),IF((AW58&lt;AY$44),(((AY$44-AW58)*0.5)*AZ58),0))),0),0))</f>
        <v>0</v>
      </c>
      <c s="588" r="BB58">
        <f>IF(ISNA((AW58*AW57)),0,IF((AT57=FALSE),IF((AT58=FALSE),IF(ISNA(AW58),0,IF((AW57&lt;AY$44),IF((AW58&lt;AY$44),(((AZ58^2)+((AW58-AW57)^2))^0.5),(((AZ58^2)+((AY$44-AW57)^2))^0.5)),IF((AW58&lt;AY$44),(((AZ58^2)+((AY$44-AW58)^2))^0.5),0))),0),0))</f>
        <v>0</v>
      </c>
      <c s="588" r="BC58">
        <f>IF(ISNUMBER((AW58*AW57)),IF((AW57&gt;=AI$148),IF((AW58&lt;AI$148),1,0),IF((AW58&gt;=AI$148),IF((AW57&lt;AI$148),1,0),0)),0)</f>
        <v>0</v>
      </c>
      <c s="588" r="BD58">
        <f>IF(ISNA((AW58*AW57)),0,(IF((AV58&lt;AV57),-1,1)*(IF(ISNA(AW58),0,IF((AW57&lt;AI$148),IF((AW58&lt;AI$148),(((AV58-AV57)^2)^0.5),(((((AI$148-AW57)*(AV58-AV57))/(AW58-AW57))^2)^0.5)),IF((AW58&lt;AI$148),(((((AI$148-AW58)*(AV58-AV57))/(AW57-AW58))^2)^0.5),0))))))</f>
        <v>0</v>
      </c>
      <c s="441" r="BE58">
        <f>IF((BA58&gt;0),(MAX(BE$47:BE57)+1),0)</f>
        <v>0</v>
      </c>
      <c s="388" r="BF58"/>
      <c s="406" r="BG58"/>
      <c s="385" r="BH58"/>
      <c s="861" r="BI58"/>
      <c s="274" r="BJ58"/>
      <c s="321" r="BK58"/>
      <c s="418" r="BL58"/>
      <c s="550" r="BM58"/>
      <c s="550" r="BN58"/>
      <c t="str" s="620" r="BO58">
        <f>IF((COUNT(BN58:BN$146,BP58:BP$146)=0),NA(),IF(ISBLANK(BN58),BO57,(BO57+(BN58-BP57))))</f>
        <v>#N/A:explicit</v>
      </c>
      <c s="550" r="BP58"/>
      <c t="str" s="620" r="BQ58">
        <f>IF(OR(ISBLANK(BP58),ISNUMBER(BN59)),NA(),(BO58-BP58))</f>
        <v>#N/A:explicit</v>
      </c>
      <c t="b" s="895" r="BR58">
        <v>0</v>
      </c>
      <c s="631" r="BS58"/>
      <c t="str" s="309" r="BT58">
        <f>IF((COUNT(BM58:BM$146)=0),NA(),IF(ISBLANK(BM58),IF(ISBLANK(BM57),MAX(BM$46:BM58),BM57),BM58))</f>
        <v>#N/A:explicit</v>
      </c>
      <c t="str" s="861" r="BU58">
        <f>IF(ISNA(BQ58),IF(ISNUMBER(BT58),BU57,NA()),BQ58)</f>
        <v>#N/A:explicit</v>
      </c>
      <c s="861" r="BV58">
        <f>IF(ISNUMBER(BU58),BU58,(BO$46+1000))</f>
        <v>1000</v>
      </c>
      <c t="str" s="588" r="BW58">
        <f>IF((BR58=TRUE),NA(),IF((BW$44=(BO$46-MAX(BP$46:BP$146))),NA(),BW$44))</f>
        <v>#N/A:explicit</v>
      </c>
      <c s="588" r="BX58">
        <f>IF((ISNA(((BU58*BT58)*BU57))),0,(IF((BT58&lt;BT57),-1,1)*(IF((BR57=FALSE),IF((BR58=FALSE),IF(ISNA(BU58),0,IF((BU57&lt;BW$44),IF((BU58&lt;BW$44),(((BT58-BT57)^2)^0.5),(((((BW$44-BU57)*(BT58-BT57))/(BU58-BU57))^2)^0.5)),IF((BU58&lt;BW$44),(((((BW$44-BU58)*(BT58-BT57))/(BU57-BU58))^2)^0.5),0))),0),0))))</f>
        <v>0</v>
      </c>
      <c s="588" r="BY58">
        <f>IF(ISNA((BU58*BU57)),0,IF((BR57=FALSE),IF((BR58=FALSE),IF(ISNA(BQ58),0,IF((BU57&lt;BW$44),IF((BU58&lt;BW$44),((BW$44-((BU57+BU58)*0.5))*BX58),(((BW$44-BU57)*0.5)*BX58)),IF((BU58&lt;BW$44),(((BW$44-BU58)*0.5)*BX58),0))),0),0))</f>
        <v>0</v>
      </c>
      <c s="588" r="BZ58">
        <f>IF(ISNA((BU58*BU57)),0,IF((BR57=FALSE),IF((BR58=FALSE),IF(ISNA(BU58),0,IF((BU57&lt;BW$44),IF((BU58&lt;BW$44),(((BX58^2)+((BU58-BU57)^2))^0.5),(((BX58^2)+((BW$44-BU57)^2))^0.5)),IF((BU58&lt;BW$44),(((BX58^2)+((BW$44-BU58)^2))^0.5),0))),0),0))</f>
        <v>0</v>
      </c>
      <c s="588" r="CA58">
        <f>IF(ISNUMBER((BU58*BU57)),IF((BU57&gt;=BG$148),IF((BU58&lt;BG$148),1,0),IF((BU58&gt;=BG$148),IF((BU57&lt;BG$148),1,0),0)),0)</f>
        <v>0</v>
      </c>
      <c s="588" r="CB58">
        <f>IF(ISNA((BU58*BU57)),0,(IF((BT58&lt;BT57),-1,1)*(IF(ISNA(BU58),0,IF((BU57&lt;BG$148),IF((BU58&lt;BG$148),(((BT58-BT57)^2)^0.5),(((((BG$148-BU57)*(BT58-BT57))/(BU58-BU57))^2)^0.5)),IF((BU58&lt;BG$148),(((((BG$148-BU58)*(BT58-BT57))/(BU57-BU58))^2)^0.5),0))))))</f>
        <v>0</v>
      </c>
      <c s="441" r="CC58">
        <f>IF((BY58&gt;0),(MAX(CC$47:CC57)+1),0)</f>
        <v>0</v>
      </c>
      <c s="388" r="CD58"/>
      <c s="406" r="CE58"/>
      <c s="385" r="CF58"/>
      <c s="861" r="CG58"/>
      <c s="274" r="CH58"/>
      <c s="321" r="CI58"/>
      <c s="418" r="CJ58"/>
      <c s="550" r="CK58"/>
      <c s="550" r="CL58"/>
      <c t="str" s="620" r="CM58">
        <f>IF((COUNT(CL58:CL$146,CN58:CN$146)=0),NA(),IF(ISBLANK(CL58),CM57,(CM57+(CL58-CN57))))</f>
        <v>#N/A:explicit</v>
      </c>
      <c s="550" r="CN58"/>
      <c t="str" s="620" r="CO58">
        <f>IF(OR(ISBLANK(CN58),ISNUMBER(CL59)),NA(),(CM58-CN58))</f>
        <v>#N/A:explicit</v>
      </c>
      <c t="b" s="895" r="CP58">
        <v>0</v>
      </c>
      <c s="631" r="CQ58"/>
      <c t="str" s="309" r="CR58">
        <f>IF((COUNT(CK58:CK$146)=0),NA(),IF(ISBLANK(CK58),IF(ISBLANK(CK57),MAX(CK$46:CK58),CK57),CK58))</f>
        <v>#N/A:explicit</v>
      </c>
      <c t="str" s="861" r="CS58">
        <f>IF(ISNA(CO58),IF(ISNUMBER(CR58),CS57,NA()),CO58)</f>
        <v>#N/A:explicit</v>
      </c>
      <c s="861" r="CT58">
        <f>IF(ISNUMBER(CS58),CS58,(CM$46+1000))</f>
        <v>1000</v>
      </c>
      <c t="str" s="588" r="CU58">
        <f>IF((CP58=TRUE),NA(),IF((CU$44=(CM$46-MAX(CN$46:CN$146))),NA(),CU$44))</f>
        <v>#N/A:explicit</v>
      </c>
      <c s="588" r="CV58">
        <f>IF((ISNA(((CS58*CR58)*CS57))),0,(IF((CR58&lt;CR57),-1,1)*(IF((CP57=FALSE),IF((CP58=FALSE),IF(ISNA(CS58),0,IF((CS57&lt;CU$44),IF((CS58&lt;CU$44),(((CR58-CR57)^2)^0.5),(((((CU$44-CS57)*(CR58-CR57))/(CS58-CS57))^2)^0.5)),IF((CS58&lt;CU$44),(((((CU$44-CS58)*(CR58-CR57))/(CS57-CS58))^2)^0.5),0))),0),0))))</f>
        <v>0</v>
      </c>
      <c s="588" r="CW58">
        <f>IF(ISNA((CS58*CS57)),0,IF((CP57=FALSE),IF((CP58=FALSE),IF(ISNA(CO58),0,IF((CS57&lt;CU$44),IF((CS58&lt;CU$44),((CU$44-((CS57+CS58)*0.5))*CV58),(((CU$44-CS57)*0.5)*CV58)),IF((CS58&lt;CU$44),(((CU$44-CS58)*0.5)*CV58),0))),0),0))</f>
        <v>0</v>
      </c>
      <c s="588" r="CX58">
        <f>IF(ISNA((CS58*CS57)),0,IF((CP57=FALSE),IF((CP58=FALSE),IF(ISNA(CS58),0,IF((CS57&lt;CU$44),IF((CS58&lt;CU$44),(((CV58^2)+((CS58-CS57)^2))^0.5),(((CV58^2)+((CU$44-CS57)^2))^0.5)),IF((CS58&lt;CU$44),(((CV58^2)+((CU$44-CS58)^2))^0.5),0))),0),0))</f>
        <v>0</v>
      </c>
      <c s="588" r="CY58">
        <f>IF(ISNUMBER((CS58*CS57)),IF((CS57&gt;=CE$148),IF((CS58&lt;CE$148),1,0),IF((CS58&gt;=CE$148),IF((CS57&lt;CE$148),1,0),0)),0)</f>
        <v>0</v>
      </c>
      <c s="588" r="CZ58">
        <f>IF(ISNA((CS58*CS57)),0,(IF((CR58&lt;CR57),-1,1)*(IF(ISNA(CS58),0,IF((CS57&lt;CE$148),IF((CS58&lt;CE$148),(((CR58-CR57)^2)^0.5),(((((CE$148-CS57)*(CR58-CR57))/(CS58-CS57))^2)^0.5)),IF((CS58&lt;CE$148),(((((CE$148-CS58)*(CR58-CR57))/(CS57-CS58))^2)^0.5),0))))))</f>
        <v>0</v>
      </c>
      <c s="441" r="DA58">
        <f>IF((CW58&gt;0),(MAX(DA$47:DA57)+1),0)</f>
        <v>0</v>
      </c>
      <c s="388" r="DB58"/>
      <c s="406" r="DC58"/>
      <c s="385" r="DD58"/>
      <c s="861" r="DE58"/>
      <c s="274" r="DF58"/>
      <c s="321" r="DG58"/>
      <c s="418" r="DH58"/>
      <c s="550" r="DI58"/>
      <c s="550" r="DJ58"/>
      <c t="str" s="620" r="DK58">
        <f>IF((COUNT(DJ58:DJ$146,DL58:DL$146)=0),NA(),IF(ISBLANK(DJ58),DK57,(DK57+(DJ58-DL57))))</f>
        <v>#N/A:explicit</v>
      </c>
      <c s="550" r="DL58"/>
      <c t="str" s="620" r="DM58">
        <f>IF(OR(ISBLANK(DL58),ISNUMBER(DJ59)),NA(),(DK58-DL58))</f>
        <v>#N/A:explicit</v>
      </c>
      <c t="b" s="895" r="DN58">
        <v>0</v>
      </c>
      <c s="631" r="DO58"/>
      <c t="str" s="309" r="DP58">
        <f>IF((COUNT(DI58:DI$146)=0),NA(),IF(ISBLANK(DI58),IF(ISBLANK(DI57),MAX(DI$46:DI58),DI57),DI58))</f>
        <v>#N/A:explicit</v>
      </c>
      <c t="str" s="861" r="DQ58">
        <f>IF(ISNA(DM58),IF(ISNUMBER(DP58),DQ57,NA()),DM58)</f>
        <v>#N/A:explicit</v>
      </c>
      <c s="861" r="DR58">
        <f>IF(ISNUMBER(DQ58),DQ58,(DK$46+1000))</f>
        <v>1000</v>
      </c>
      <c t="str" s="588" r="DS58">
        <f>IF((DN58=TRUE),NA(),IF((DS$44=(DK$46-MAX(DL$46:DL$146))),NA(),DS$44))</f>
        <v>#N/A:explicit</v>
      </c>
      <c s="588" r="DT58">
        <f>IF((ISNA(((DQ58*DP58)*DQ57))),0,(IF((DP58&lt;DP57),-1,1)*(IF((DN57=FALSE),IF((DN58=FALSE),IF(ISNA(DQ58),0,IF((DQ57&lt;DS$44),IF((DQ58&lt;DS$44),(((DP58-DP57)^2)^0.5),(((((DS$44-DQ57)*(DP58-DP57))/(DQ58-DQ57))^2)^0.5)),IF((DQ58&lt;DS$44),(((((DS$44-DQ58)*(DP58-DP57))/(DQ57-DQ58))^2)^0.5),0))),0),0))))</f>
        <v>0</v>
      </c>
      <c s="588" r="DU58">
        <f>IF(ISNA((DQ58*DQ57)),0,IF((DN57=FALSE),IF((DN58=FALSE),IF(ISNA(DM58),0,IF((DQ57&lt;DS$44),IF((DQ58&lt;DS$44),((DS$44-((DQ57+DQ58)*0.5))*DT58),(((DS$44-DQ57)*0.5)*DT58)),IF((DQ58&lt;DS$44),(((DS$44-DQ58)*0.5)*DT58),0))),0),0))</f>
        <v>0</v>
      </c>
      <c s="588" r="DV58">
        <f>IF(ISNA((DQ58*DQ57)),0,IF((DN57=FALSE),IF((DN58=FALSE),IF(ISNA(DQ58),0,IF((DQ57&lt;DS$44),IF((DQ58&lt;DS$44),(((DT58^2)+((DQ58-DQ57)^2))^0.5),(((DT58^2)+((DS$44-DQ57)^2))^0.5)),IF((DQ58&lt;DS$44),(((DT58^2)+((DS$44-DQ58)^2))^0.5),0))),0),0))</f>
        <v>0</v>
      </c>
      <c s="588" r="DW58">
        <f>IF(ISNUMBER((DQ58*DQ57)),IF((DQ57&gt;=DC$148),IF((DQ58&lt;DC$148),1,0),IF((DQ58&gt;=DC$148),IF((DQ57&lt;DC$148),1,0),0)),0)</f>
        <v>0</v>
      </c>
      <c s="588" r="DX58">
        <f>IF(ISNA((DQ58*DQ57)),0,(IF((DP58&lt;DP57),-1,1)*(IF(ISNA(DQ58),0,IF((DQ57&lt;DC$148),IF((DQ58&lt;DC$148),(((DP58-DP57)^2)^0.5),(((((DC$148-DQ57)*(DP58-DP57))/(DQ58-DQ57))^2)^0.5)),IF((DQ58&lt;DC$148),(((((DC$148-DQ58)*(DP58-DP57))/(DQ57-DQ58))^2)^0.5),0))))))</f>
        <v>0</v>
      </c>
      <c s="441" r="DY58">
        <f>IF((DU58&gt;0),(MAX(DY$47:DY57)+1),0)</f>
        <v>0</v>
      </c>
      <c s="388" r="DZ58"/>
      <c s="406" r="EA58"/>
      <c s="385" r="EB58"/>
      <c s="861" r="EC58"/>
      <c s="274" r="ED58"/>
      <c s="321" r="EE58"/>
      <c s="418" r="EF58"/>
      <c s="550" r="EG58"/>
      <c s="550" r="EH58"/>
      <c t="str" s="620" r="EI58">
        <f>IF((COUNT(EH58:EH$146,EJ58:EJ$146)=0),NA(),IF(ISBLANK(EH58),EI57,(EI57+(EH58-EJ57))))</f>
        <v>#N/A:explicit</v>
      </c>
      <c s="550" r="EJ58"/>
      <c t="str" s="620" r="EK58">
        <f>IF(OR(ISBLANK(EJ58),ISNUMBER(EH59)),NA(),(EI58-EJ58))</f>
        <v>#N/A:explicit</v>
      </c>
      <c t="b" s="895" r="EL58">
        <v>0</v>
      </c>
      <c s="631" r="EM58"/>
      <c t="str" s="309" r="EN58">
        <f>IF((COUNT(EG58:EG$146)=0),NA(),IF(ISBLANK(EG58),IF(ISBLANK(EG57),MAX(EG$46:EG58),EG57),EG58))</f>
        <v>#N/A:explicit</v>
      </c>
      <c t="str" s="861" r="EO58">
        <f>IF(ISNA(EK58),IF(ISNUMBER(EN58),EO57,NA()),EK58)</f>
        <v>#N/A:explicit</v>
      </c>
      <c s="861" r="EP58">
        <f>IF(ISNUMBER(EO58),EO58,(EI$46+1000))</f>
        <v>1000</v>
      </c>
      <c t="str" s="588" r="EQ58">
        <f>IF((EL58=TRUE),NA(),IF((EQ$44=(EI$46-MAX(EJ$46:EJ$146))),NA(),EQ$44))</f>
        <v>#N/A:explicit</v>
      </c>
      <c s="588" r="ER58">
        <f>IF((ISNA(((EO58*EN58)*EO57))),0,(IF((EN58&lt;EN57),-1,1)*(IF((EL57=FALSE),IF((EL58=FALSE),IF(ISNA(EO58),0,IF((EO57&lt;EQ$44),IF((EO58&lt;EQ$44),(((EN58-EN57)^2)^0.5),(((((EQ$44-EO57)*(EN58-EN57))/(EO58-EO57))^2)^0.5)),IF((EO58&lt;EQ$44),(((((EQ$44-EO58)*(EN58-EN57))/(EO57-EO58))^2)^0.5),0))),0),0))))</f>
        <v>0</v>
      </c>
      <c s="588" r="ES58">
        <f>IF(ISNA((EO58*EO57)),0,IF((EL57=FALSE),IF((EL58=FALSE),IF(ISNA(EK58),0,IF((EO57&lt;EQ$44),IF((EO58&lt;EQ$44),((EQ$44-((EO57+EO58)*0.5))*ER58),(((EQ$44-EO57)*0.5)*ER58)),IF((EO58&lt;EQ$44),(((EQ$44-EO58)*0.5)*ER58),0))),0),0))</f>
        <v>0</v>
      </c>
      <c s="588" r="ET58">
        <f>IF(ISNA((EO58*EO57)),0,IF((EL57=FALSE),IF((EL58=FALSE),IF(ISNA(EO58),0,IF((EO57&lt;EQ$44),IF((EO58&lt;EQ$44),(((ER58^2)+((EO58-EO57)^2))^0.5),(((ER58^2)+((EQ$44-EO57)^2))^0.5)),IF((EO58&lt;EQ$44),(((ER58^2)+((EQ$44-EO58)^2))^0.5),0))),0),0))</f>
        <v>0</v>
      </c>
      <c s="588" r="EU58">
        <f>IF(ISNUMBER((EO58*EO57)),IF((EO57&gt;=EA$148),IF((EO58&lt;EA$148),1,0),IF((EO58&gt;=EA$148),IF((EO57&lt;EA$148),1,0),0)),0)</f>
        <v>0</v>
      </c>
      <c s="588" r="EV58">
        <f>IF(ISNA((EO58*EO57)),0,(IF((EN58&lt;EN57),-1,1)*(IF(ISNA(EO58),0,IF((EO57&lt;EA$148),IF((EO58&lt;EA$148),(((EN58-EN57)^2)^0.5),(((((EA$148-EO57)*(EN58-EN57))/(EO58-EO57))^2)^0.5)),IF((EO58&lt;EA$148),(((((EA$148-EO58)*(EN58-EN57))/(EO57-EO58))^2)^0.5),0))))))</f>
        <v>0</v>
      </c>
      <c s="441" r="EW58">
        <f>IF((ES58&gt;0),(MAX(EW$47:EW57)+1),0)</f>
        <v>0</v>
      </c>
      <c s="388" r="EX58"/>
      <c s="406" r="EY58"/>
      <c s="385" r="EZ58"/>
      <c s="861" r="FA58"/>
      <c s="274" r="FB58"/>
      <c s="321" r="FC58"/>
      <c s="418" r="FD58"/>
      <c s="550" r="FE58"/>
      <c s="550" r="FF58"/>
      <c t="str" s="620" r="FG58">
        <f>IF((COUNT(FF58:FF$146,FH58:FH$146)=0),NA(),IF(ISBLANK(FF58),FG57,(FG57+(FF58-FH57))))</f>
        <v>#N/A:explicit</v>
      </c>
      <c s="550" r="FH58"/>
      <c t="str" s="620" r="FI58">
        <f>IF(OR(ISBLANK(FH58),ISNUMBER(FF59)),NA(),(FG58-FH58))</f>
        <v>#N/A:explicit</v>
      </c>
      <c t="b" s="895" r="FJ58">
        <v>0</v>
      </c>
      <c s="631" r="FK58"/>
      <c t="str" s="309" r="FL58">
        <f>IF((COUNT(FE58:FE$146)=0),NA(),IF(ISBLANK(FE58),IF(ISBLANK(FE57),MAX(FE$46:FE58),FE57),FE58))</f>
        <v>#N/A:explicit</v>
      </c>
      <c t="str" s="861" r="FM58">
        <f>IF(ISNA(FI58),IF(ISNUMBER(FL58),FM57,NA()),FI58)</f>
        <v>#N/A:explicit</v>
      </c>
      <c s="861" r="FN58">
        <f>IF(ISNUMBER(FM58),FM58,(FG$46+1000))</f>
        <v>1000</v>
      </c>
      <c t="str" s="588" r="FO58">
        <f>IF((FJ58=TRUE),NA(),IF((FO$44=(FG$46-MAX(FH$46:FH$146))),NA(),FO$44))</f>
        <v>#N/A:explicit</v>
      </c>
      <c s="588" r="FP58">
        <f>IF((ISNA(((FM58*FL58)*FM57))),0,(IF((FL58&lt;FL57),-1,1)*(IF((FJ57=FALSE),IF((FJ58=FALSE),IF(ISNA(FM58),0,IF((FM57&lt;FO$44),IF((FM58&lt;FO$44),(((FL58-FL57)^2)^0.5),(((((FO$44-FM57)*(FL58-FL57))/(FM58-FM57))^2)^0.5)),IF((FM58&lt;FO$44),(((((FO$44-FM58)*(FL58-FL57))/(FM57-FM58))^2)^0.5),0))),0),0))))</f>
        <v>0</v>
      </c>
      <c s="588" r="FQ58">
        <f>IF(ISNA((FM58*FM57)),0,IF((FJ57=FALSE),IF((FJ58=FALSE),IF(ISNA(FI58),0,IF((FM57&lt;FO$44),IF((FM58&lt;FO$44),((FO$44-((FM57+FM58)*0.5))*FP58),(((FO$44-FM57)*0.5)*FP58)),IF((FM58&lt;FO$44),(((FO$44-FM58)*0.5)*FP58),0))),0),0))</f>
        <v>0</v>
      </c>
      <c s="588" r="FR58">
        <f>IF(ISNA((FM58*FM57)),0,IF((FJ57=FALSE),IF((FJ58=FALSE),IF(ISNA(FM58),0,IF((FM57&lt;FO$44),IF((FM58&lt;FO$44),(((FP58^2)+((FM58-FM57)^2))^0.5),(((FP58^2)+((FO$44-FM57)^2))^0.5)),IF((FM58&lt;FO$44),(((FP58^2)+((FO$44-FM58)^2))^0.5),0))),0),0))</f>
        <v>0</v>
      </c>
      <c s="588" r="FS58">
        <f>IF(ISNUMBER((FM58*FM57)),IF((FM57&gt;=EY$148),IF((FM58&lt;EY$148),1,0),IF((FM58&gt;=EY$148),IF((FM57&lt;EY$148),1,0),0)),0)</f>
        <v>0</v>
      </c>
      <c s="588" r="FT58">
        <f>IF(ISNA((FM58*FM57)),0,(IF((FL58&lt;FL57),-1,1)*(IF(ISNA(FM58),0,IF((FM57&lt;EY$148),IF((FM58&lt;EY$148),(((FL58-FL57)^2)^0.5),(((((EY$148-FM57)*(FL58-FL57))/(FM58-FM57))^2)^0.5)),IF((FM58&lt;EY$148),(((((EY$148-FM58)*(FL58-FL57))/(FM57-FM58))^2)^0.5),0))))))</f>
        <v>0</v>
      </c>
      <c s="441" r="FU58">
        <f>IF((FQ58&gt;0),(MAX(FU$47:FU57)+1),0)</f>
        <v>0</v>
      </c>
      <c s="222" r="FV58"/>
      <c s="125" r="FW58"/>
      <c s="125" r="FX58"/>
      <c s="125" r="FY58"/>
      <c s="125" r="FZ58"/>
      <c s="125" r="GA58"/>
      <c s="125" r="GB58"/>
      <c s="125" r="GC58"/>
      <c s="125" r="GD58"/>
      <c s="125" r="GE58"/>
      <c s="125" r="GF58"/>
      <c s="125" r="GG58"/>
      <c s="125" r="GH58"/>
      <c s="125" r="GI58"/>
      <c s="125" r="GJ58"/>
      <c s="125" r="GK58"/>
      <c s="125" r="GL58"/>
      <c s="125" r="GM58"/>
      <c s="125" r="GN58"/>
      <c s="125" r="GO58"/>
      <c s="125" r="GP58"/>
      <c s="125" r="GQ58"/>
      <c s="125" r="GR58"/>
      <c s="125" r="GS58"/>
      <c s="125" r="GT58"/>
      <c s="125" r="GU58"/>
      <c s="125" r="GV58"/>
      <c s="125" r="GW58"/>
      <c s="125" r="GX58"/>
      <c s="125" r="GY58"/>
      <c s="125" r="GZ58"/>
      <c s="125" r="HA58"/>
      <c s="125" r="HB58"/>
    </row>
    <row customHeight="1" r="59" ht="13.5">
      <c s="822" r="A59"/>
      <c s="406" r="B59"/>
      <c s="886" r="C59"/>
      <c s="886" r="D59"/>
      <c s="566" r="E59"/>
      <c s="886" r="F59"/>
      <c s="566" r="G59"/>
      <c s="566" r="H59"/>
      <c s="418" r="I59"/>
      <c s="702" r="J59"/>
      <c s="406" r="K59"/>
      <c t="s" s="699" r="L59">
        <v>593</v>
      </c>
      <c s="529" r="M59"/>
      <c s="529" r="N59"/>
      <c t="s" s="321" r="O59">
        <v>2</v>
      </c>
      <c s="418" r="P59"/>
      <c s="550" r="Q59"/>
      <c s="550" r="R59"/>
      <c t="str" s="620" r="S59">
        <f>IF((COUNT(R59:R$146,T59:T$146)=0),NA(),IF(ISBLANK(R59),S58,(S58+(R59-T58))))</f>
        <v>#N/A:explicit</v>
      </c>
      <c s="550" r="T59"/>
      <c t="str" s="620" r="U59">
        <f>IF(OR(ISBLANK(T59),ISNUMBER(R60)),NA(),(S59-T59))</f>
        <v>#N/A:explicit</v>
      </c>
      <c t="b" s="895" r="V59">
        <v>0</v>
      </c>
      <c s="631" r="W59"/>
      <c t="str" s="309" r="X59">
        <f>IF((COUNT(Q59:Q$146)=0),NA(),IF(ISBLANK(Q59),IF(ISBLANK(Q58),MAX(Q$46:Q59),Q58),Q59))</f>
        <v>#N/A:explicit</v>
      </c>
      <c t="str" s="861" r="Y59">
        <f>IF(ISNA(U59),IF(ISNUMBER(X59),Y58,NA()),U59)</f>
        <v>#N/A:explicit</v>
      </c>
      <c s="861" r="Z59">
        <f>IF(ISNUMBER(Y59),Y59,(S$46+1000))</f>
        <v>1000</v>
      </c>
      <c t="str" s="588" r="AA59">
        <f>IF((V59=TRUE),NA(),IF((AA$44=(S$46-MAX(T$46:T$146))),NA(),AA$44))</f>
        <v>#N/A:explicit</v>
      </c>
      <c s="588" r="AB59">
        <f>IF((ISNA(((Y59*X59)*Y58))),0,(IF((X59&lt;X58),-1,1)*(IF((V58=FALSE),IF((V59=FALSE),IF(ISNA(Y59),0,IF((Y58&lt;AA$44),IF((Y59&lt;AA$44),(((X59-X58)^2)^0.5),(((((AA$44-Y58)*(X59-X58))/(Y59-Y58))^2)^0.5)),IF((Y59&lt;AA$44),(((((AA$44-Y59)*(X59-X58))/(Y58-Y59))^2)^0.5),0))),0),0))))</f>
        <v>0</v>
      </c>
      <c s="588" r="AC59">
        <f>IF(ISNA((Y59*Y58)),0,IF((V58=FALSE),IF((V59=FALSE),IF(ISNA(U59),0,IF((Y58&lt;AA$44),IF((Y59&lt;AA$44),((AA$44-((Y58+Y59)*0.5))*AB59),(((AA$44-Y58)*0.5)*AB59)),IF((Y59&lt;AA$44),(((AA$44-Y59)*0.5)*AB59),0))),0),0))</f>
        <v>0</v>
      </c>
      <c s="588" r="AD59">
        <f>IF(ISNA((Y59*Y58)),0,IF((V58=FALSE),IF((V59=FALSE),IF(ISNA(Y59),0,IF((Y58&lt;AA$44),IF((Y59&lt;AA$44),(((AB59^2)+((Y59-Y58)^2))^0.5),(((AB59^2)+((AA$44-Y58)^2))^0.5)),IF((Y59&lt;AA$44),(((AB59^2)+((AA$44-Y59)^2))^0.5),0))),0),0))</f>
        <v>0</v>
      </c>
      <c s="588" r="AE59">
        <f>IF(ISNUMBER((Y59*Y58)),IF((Y58&gt;=K$148),IF((Y59&lt;K$148),1,0),IF((Y59&gt;=K$148),IF((Y58&lt;K$148),1,0),0)),0)</f>
        <v>0</v>
      </c>
      <c s="588" r="AF59">
        <f>IF(ISNA((Y59*Y58)),0,(IF((X59&lt;X58),-1,1)*(IF(ISNA(Y59),0,IF((Y58&lt;K$148),IF((Y59&lt;K$148),(((X59-X58)^2)^0.5),(((((K$148-Y58)*(X59-X58))/(Y59-Y58))^2)^0.5)),IF((Y59&lt;K$148),(((((K$148-Y59)*(X59-X58))/(Y58-Y59))^2)^0.5),0))))))</f>
        <v>0</v>
      </c>
      <c s="441" r="AG59">
        <f>IF((AC59&gt;0),(MAX(AG$47:AG58)+1),0)</f>
        <v>0</v>
      </c>
      <c s="388" r="AH59"/>
      <c s="406" r="AI59"/>
      <c t="s" s="699" r="AJ59">
        <v>593</v>
      </c>
      <c s="529" r="AK59"/>
      <c s="529" r="AL59"/>
      <c t="s" s="321" r="AM59">
        <v>2</v>
      </c>
      <c s="418" r="AN59"/>
      <c s="550" r="AO59"/>
      <c s="550" r="AP59"/>
      <c t="str" s="620" r="AQ59">
        <f>IF((COUNT(AP59:AP$146,AR59:AR$146)=0),NA(),IF(ISBLANK(AP59),AQ58,(AQ58+(AP59-AR58))))</f>
        <v>#N/A:explicit</v>
      </c>
      <c s="550" r="AR59"/>
      <c t="str" s="620" r="AS59">
        <f>IF(OR(ISBLANK(AR59),ISNUMBER(AP60)),NA(),(AQ59-AR59))</f>
        <v>#N/A:explicit</v>
      </c>
      <c t="b" s="895" r="AT59">
        <v>0</v>
      </c>
      <c s="631" r="AU59"/>
      <c t="str" s="309" r="AV59">
        <f>IF((COUNT(AO59:AO$146)=0),NA(),IF(ISBLANK(AO59),IF(ISBLANK(AO58),MAX(AO$46:AO59),AO58),AO59))</f>
        <v>#N/A:explicit</v>
      </c>
      <c t="str" s="861" r="AW59">
        <f>IF(ISNA(AS59),IF(ISNUMBER(AV59),AW58,NA()),AS59)</f>
        <v>#N/A:explicit</v>
      </c>
      <c s="861" r="AX59">
        <f>IF(ISNUMBER(AW59),AW59,(AQ$46+1000))</f>
        <v>1000</v>
      </c>
      <c t="str" s="588" r="AY59">
        <f>IF((AT59=TRUE),NA(),IF((AY$44=(AQ$46-MAX(AR$46:AR$146))),NA(),AY$44))</f>
        <v>#N/A:explicit</v>
      </c>
      <c s="588" r="AZ59">
        <f>IF((ISNA(((AW59*AV59)*AW58))),0,(IF((AV59&lt;AV58),-1,1)*(IF((AT58=FALSE),IF((AT59=FALSE),IF(ISNA(AW59),0,IF((AW58&lt;AY$44),IF((AW59&lt;AY$44),(((AV59-AV58)^2)^0.5),(((((AY$44-AW58)*(AV59-AV58))/(AW59-AW58))^2)^0.5)),IF((AW59&lt;AY$44),(((((AY$44-AW59)*(AV59-AV58))/(AW58-AW59))^2)^0.5),0))),0),0))))</f>
        <v>0</v>
      </c>
      <c s="588" r="BA59">
        <f>IF(ISNA((AW59*AW58)),0,IF((AT58=FALSE),IF((AT59=FALSE),IF(ISNA(AS59),0,IF((AW58&lt;AY$44),IF((AW59&lt;AY$44),((AY$44-((AW58+AW59)*0.5))*AZ59),(((AY$44-AW58)*0.5)*AZ59)),IF((AW59&lt;AY$44),(((AY$44-AW59)*0.5)*AZ59),0))),0),0))</f>
        <v>0</v>
      </c>
      <c s="588" r="BB59">
        <f>IF(ISNA((AW59*AW58)),0,IF((AT58=FALSE),IF((AT59=FALSE),IF(ISNA(AW59),0,IF((AW58&lt;AY$44),IF((AW59&lt;AY$44),(((AZ59^2)+((AW59-AW58)^2))^0.5),(((AZ59^2)+((AY$44-AW58)^2))^0.5)),IF((AW59&lt;AY$44),(((AZ59^2)+((AY$44-AW59)^2))^0.5),0))),0),0))</f>
        <v>0</v>
      </c>
      <c s="588" r="BC59">
        <f>IF(ISNUMBER((AW59*AW58)),IF((AW58&gt;=AI$148),IF((AW59&lt;AI$148),1,0),IF((AW59&gt;=AI$148),IF((AW58&lt;AI$148),1,0),0)),0)</f>
        <v>0</v>
      </c>
      <c s="588" r="BD59">
        <f>IF(ISNA((AW59*AW58)),0,(IF((AV59&lt;AV58),-1,1)*(IF(ISNA(AW59),0,IF((AW58&lt;AI$148),IF((AW59&lt;AI$148),(((AV59-AV58)^2)^0.5),(((((AI$148-AW58)*(AV59-AV58))/(AW59-AW58))^2)^0.5)),IF((AW59&lt;AI$148),(((((AI$148-AW59)*(AV59-AV58))/(AW58-AW59))^2)^0.5),0))))))</f>
        <v>0</v>
      </c>
      <c s="441" r="BE59">
        <f>IF((BA59&gt;0),(MAX(BE$47:BE58)+1),0)</f>
        <v>0</v>
      </c>
      <c s="388" r="BF59"/>
      <c s="406" r="BG59"/>
      <c t="s" s="699" r="BH59">
        <v>593</v>
      </c>
      <c s="529" r="BI59"/>
      <c s="529" r="BJ59"/>
      <c t="s" s="321" r="BK59">
        <v>2</v>
      </c>
      <c s="418" r="BL59"/>
      <c s="550" r="BM59"/>
      <c s="550" r="BN59"/>
      <c t="str" s="620" r="BO59">
        <f>IF((COUNT(BN59:BN$146,BP59:BP$146)=0),NA(),IF(ISBLANK(BN59),BO58,(BO58+(BN59-BP58))))</f>
        <v>#N/A:explicit</v>
      </c>
      <c s="550" r="BP59"/>
      <c t="str" s="620" r="BQ59">
        <f>IF(OR(ISBLANK(BP59),ISNUMBER(BN60)),NA(),(BO59-BP59))</f>
        <v>#N/A:explicit</v>
      </c>
      <c t="b" s="895" r="BR59">
        <v>0</v>
      </c>
      <c s="631" r="BS59"/>
      <c t="str" s="309" r="BT59">
        <f>IF((COUNT(BM59:BM$146)=0),NA(),IF(ISBLANK(BM59),IF(ISBLANK(BM58),MAX(BM$46:BM59),BM58),BM59))</f>
        <v>#N/A:explicit</v>
      </c>
      <c t="str" s="861" r="BU59">
        <f>IF(ISNA(BQ59),IF(ISNUMBER(BT59),BU58,NA()),BQ59)</f>
        <v>#N/A:explicit</v>
      </c>
      <c s="861" r="BV59">
        <f>IF(ISNUMBER(BU59),BU59,(BO$46+1000))</f>
        <v>1000</v>
      </c>
      <c t="str" s="588" r="BW59">
        <f>IF((BR59=TRUE),NA(),IF((BW$44=(BO$46-MAX(BP$46:BP$146))),NA(),BW$44))</f>
        <v>#N/A:explicit</v>
      </c>
      <c s="588" r="BX59">
        <f>IF((ISNA(((BU59*BT59)*BU58))),0,(IF((BT59&lt;BT58),-1,1)*(IF((BR58=FALSE),IF((BR59=FALSE),IF(ISNA(BU59),0,IF((BU58&lt;BW$44),IF((BU59&lt;BW$44),(((BT59-BT58)^2)^0.5),(((((BW$44-BU58)*(BT59-BT58))/(BU59-BU58))^2)^0.5)),IF((BU59&lt;BW$44),(((((BW$44-BU59)*(BT59-BT58))/(BU58-BU59))^2)^0.5),0))),0),0))))</f>
        <v>0</v>
      </c>
      <c s="588" r="BY59">
        <f>IF(ISNA((BU59*BU58)),0,IF((BR58=FALSE),IF((BR59=FALSE),IF(ISNA(BQ59),0,IF((BU58&lt;BW$44),IF((BU59&lt;BW$44),((BW$44-((BU58+BU59)*0.5))*BX59),(((BW$44-BU58)*0.5)*BX59)),IF((BU59&lt;BW$44),(((BW$44-BU59)*0.5)*BX59),0))),0),0))</f>
        <v>0</v>
      </c>
      <c s="588" r="BZ59">
        <f>IF(ISNA((BU59*BU58)),0,IF((BR58=FALSE),IF((BR59=FALSE),IF(ISNA(BU59),0,IF((BU58&lt;BW$44),IF((BU59&lt;BW$44),(((BX59^2)+((BU59-BU58)^2))^0.5),(((BX59^2)+((BW$44-BU58)^2))^0.5)),IF((BU59&lt;BW$44),(((BX59^2)+((BW$44-BU59)^2))^0.5),0))),0),0))</f>
        <v>0</v>
      </c>
      <c s="588" r="CA59">
        <f>IF(ISNUMBER((BU59*BU58)),IF((BU58&gt;=BG$148),IF((BU59&lt;BG$148),1,0),IF((BU59&gt;=BG$148),IF((BU58&lt;BG$148),1,0),0)),0)</f>
        <v>0</v>
      </c>
      <c s="588" r="CB59">
        <f>IF(ISNA((BU59*BU58)),0,(IF((BT59&lt;BT58),-1,1)*(IF(ISNA(BU59),0,IF((BU58&lt;BG$148),IF((BU59&lt;BG$148),(((BT59-BT58)^2)^0.5),(((((BG$148-BU58)*(BT59-BT58))/(BU59-BU58))^2)^0.5)),IF((BU59&lt;BG$148),(((((BG$148-BU59)*(BT59-BT58))/(BU58-BU59))^2)^0.5),0))))))</f>
        <v>0</v>
      </c>
      <c s="441" r="CC59">
        <f>IF((BY59&gt;0),(MAX(CC$47:CC58)+1),0)</f>
        <v>0</v>
      </c>
      <c s="388" r="CD59"/>
      <c s="406" r="CE59"/>
      <c t="s" s="699" r="CF59">
        <v>593</v>
      </c>
      <c s="529" r="CG59"/>
      <c s="529" r="CH59"/>
      <c t="s" s="321" r="CI59">
        <v>2</v>
      </c>
      <c s="418" r="CJ59"/>
      <c s="550" r="CK59"/>
      <c s="550" r="CL59"/>
      <c t="str" s="620" r="CM59">
        <f>IF((COUNT(CL59:CL$146,CN59:CN$146)=0),NA(),IF(ISBLANK(CL59),CM58,(CM58+(CL59-CN58))))</f>
        <v>#N/A:explicit</v>
      </c>
      <c s="550" r="CN59"/>
      <c t="str" s="620" r="CO59">
        <f>IF(OR(ISBLANK(CN59),ISNUMBER(CL60)),NA(),(CM59-CN59))</f>
        <v>#N/A:explicit</v>
      </c>
      <c t="b" s="895" r="CP59">
        <v>0</v>
      </c>
      <c s="631" r="CQ59"/>
      <c t="str" s="309" r="CR59">
        <f>IF((COUNT(CK59:CK$146)=0),NA(),IF(ISBLANK(CK59),IF(ISBLANK(CK58),MAX(CK$46:CK59),CK58),CK59))</f>
        <v>#N/A:explicit</v>
      </c>
      <c t="str" s="861" r="CS59">
        <f>IF(ISNA(CO59),IF(ISNUMBER(CR59),CS58,NA()),CO59)</f>
        <v>#N/A:explicit</v>
      </c>
      <c s="861" r="CT59">
        <f>IF(ISNUMBER(CS59),CS59,(CM$46+1000))</f>
        <v>1000</v>
      </c>
      <c t="str" s="588" r="CU59">
        <f>IF((CP59=TRUE),NA(),IF((CU$44=(CM$46-MAX(CN$46:CN$146))),NA(),CU$44))</f>
        <v>#N/A:explicit</v>
      </c>
      <c s="588" r="CV59">
        <f>IF((ISNA(((CS59*CR59)*CS58))),0,(IF((CR59&lt;CR58),-1,1)*(IF((CP58=FALSE),IF((CP59=FALSE),IF(ISNA(CS59),0,IF((CS58&lt;CU$44),IF((CS59&lt;CU$44),(((CR59-CR58)^2)^0.5),(((((CU$44-CS58)*(CR59-CR58))/(CS59-CS58))^2)^0.5)),IF((CS59&lt;CU$44),(((((CU$44-CS59)*(CR59-CR58))/(CS58-CS59))^2)^0.5),0))),0),0))))</f>
        <v>0</v>
      </c>
      <c s="588" r="CW59">
        <f>IF(ISNA((CS59*CS58)),0,IF((CP58=FALSE),IF((CP59=FALSE),IF(ISNA(CO59),0,IF((CS58&lt;CU$44),IF((CS59&lt;CU$44),((CU$44-((CS58+CS59)*0.5))*CV59),(((CU$44-CS58)*0.5)*CV59)),IF((CS59&lt;CU$44),(((CU$44-CS59)*0.5)*CV59),0))),0),0))</f>
        <v>0</v>
      </c>
      <c s="588" r="CX59">
        <f>IF(ISNA((CS59*CS58)),0,IF((CP58=FALSE),IF((CP59=FALSE),IF(ISNA(CS59),0,IF((CS58&lt;CU$44),IF((CS59&lt;CU$44),(((CV59^2)+((CS59-CS58)^2))^0.5),(((CV59^2)+((CU$44-CS58)^2))^0.5)),IF((CS59&lt;CU$44),(((CV59^2)+((CU$44-CS59)^2))^0.5),0))),0),0))</f>
        <v>0</v>
      </c>
      <c s="588" r="CY59">
        <f>IF(ISNUMBER((CS59*CS58)),IF((CS58&gt;=CE$148),IF((CS59&lt;CE$148),1,0),IF((CS59&gt;=CE$148),IF((CS58&lt;CE$148),1,0),0)),0)</f>
        <v>0</v>
      </c>
      <c s="588" r="CZ59">
        <f>IF(ISNA((CS59*CS58)),0,(IF((CR59&lt;CR58),-1,1)*(IF(ISNA(CS59),0,IF((CS58&lt;CE$148),IF((CS59&lt;CE$148),(((CR59-CR58)^2)^0.5),(((((CE$148-CS58)*(CR59-CR58))/(CS59-CS58))^2)^0.5)),IF((CS59&lt;CE$148),(((((CE$148-CS59)*(CR59-CR58))/(CS58-CS59))^2)^0.5),0))))))</f>
        <v>0</v>
      </c>
      <c s="441" r="DA59">
        <f>IF((CW59&gt;0),(MAX(DA$47:DA58)+1),0)</f>
        <v>0</v>
      </c>
      <c s="388" r="DB59"/>
      <c s="406" r="DC59"/>
      <c t="s" s="699" r="DD59">
        <v>593</v>
      </c>
      <c s="529" r="DE59"/>
      <c s="529" r="DF59"/>
      <c t="s" s="321" r="DG59">
        <v>2</v>
      </c>
      <c s="418" r="DH59"/>
      <c s="550" r="DI59"/>
      <c s="550" r="DJ59"/>
      <c t="str" s="620" r="DK59">
        <f>IF((COUNT(DJ59:DJ$146,DL59:DL$146)=0),NA(),IF(ISBLANK(DJ59),DK58,(DK58+(DJ59-DL58))))</f>
        <v>#N/A:explicit</v>
      </c>
      <c s="550" r="DL59"/>
      <c t="str" s="620" r="DM59">
        <f>IF(OR(ISBLANK(DL59),ISNUMBER(DJ60)),NA(),(DK59-DL59))</f>
        <v>#N/A:explicit</v>
      </c>
      <c t="b" s="895" r="DN59">
        <v>0</v>
      </c>
      <c s="631" r="DO59"/>
      <c t="str" s="309" r="DP59">
        <f>IF((COUNT(DI59:DI$146)=0),NA(),IF(ISBLANK(DI59),IF(ISBLANK(DI58),MAX(DI$46:DI59),DI58),DI59))</f>
        <v>#N/A:explicit</v>
      </c>
      <c t="str" s="861" r="DQ59">
        <f>IF(ISNA(DM59),IF(ISNUMBER(DP59),DQ58,NA()),DM59)</f>
        <v>#N/A:explicit</v>
      </c>
      <c s="861" r="DR59">
        <f>IF(ISNUMBER(DQ59),DQ59,(DK$46+1000))</f>
        <v>1000</v>
      </c>
      <c t="str" s="588" r="DS59">
        <f>IF((DN59=TRUE),NA(),IF((DS$44=(DK$46-MAX(DL$46:DL$146))),NA(),DS$44))</f>
        <v>#N/A:explicit</v>
      </c>
      <c s="588" r="DT59">
        <f>IF((ISNA(((DQ59*DP59)*DQ58))),0,(IF((DP59&lt;DP58),-1,1)*(IF((DN58=FALSE),IF((DN59=FALSE),IF(ISNA(DQ59),0,IF((DQ58&lt;DS$44),IF((DQ59&lt;DS$44),(((DP59-DP58)^2)^0.5),(((((DS$44-DQ58)*(DP59-DP58))/(DQ59-DQ58))^2)^0.5)),IF((DQ59&lt;DS$44),(((((DS$44-DQ59)*(DP59-DP58))/(DQ58-DQ59))^2)^0.5),0))),0),0))))</f>
        <v>0</v>
      </c>
      <c s="588" r="DU59">
        <f>IF(ISNA((DQ59*DQ58)),0,IF((DN58=FALSE),IF((DN59=FALSE),IF(ISNA(DM59),0,IF((DQ58&lt;DS$44),IF((DQ59&lt;DS$44),((DS$44-((DQ58+DQ59)*0.5))*DT59),(((DS$44-DQ58)*0.5)*DT59)),IF((DQ59&lt;DS$44),(((DS$44-DQ59)*0.5)*DT59),0))),0),0))</f>
        <v>0</v>
      </c>
      <c s="588" r="DV59">
        <f>IF(ISNA((DQ59*DQ58)),0,IF((DN58=FALSE),IF((DN59=FALSE),IF(ISNA(DQ59),0,IF((DQ58&lt;DS$44),IF((DQ59&lt;DS$44),(((DT59^2)+((DQ59-DQ58)^2))^0.5),(((DT59^2)+((DS$44-DQ58)^2))^0.5)),IF((DQ59&lt;DS$44),(((DT59^2)+((DS$44-DQ59)^2))^0.5),0))),0),0))</f>
        <v>0</v>
      </c>
      <c s="588" r="DW59">
        <f>IF(ISNUMBER((DQ59*DQ58)),IF((DQ58&gt;=DC$148),IF((DQ59&lt;DC$148),1,0),IF((DQ59&gt;=DC$148),IF((DQ58&lt;DC$148),1,0),0)),0)</f>
        <v>0</v>
      </c>
      <c s="588" r="DX59">
        <f>IF(ISNA((DQ59*DQ58)),0,(IF((DP59&lt;DP58),-1,1)*(IF(ISNA(DQ59),0,IF((DQ58&lt;DC$148),IF((DQ59&lt;DC$148),(((DP59-DP58)^2)^0.5),(((((DC$148-DQ58)*(DP59-DP58))/(DQ59-DQ58))^2)^0.5)),IF((DQ59&lt;DC$148),(((((DC$148-DQ59)*(DP59-DP58))/(DQ58-DQ59))^2)^0.5),0))))))</f>
        <v>0</v>
      </c>
      <c s="441" r="DY59">
        <f>IF((DU59&gt;0),(MAX(DY$47:DY58)+1),0)</f>
        <v>0</v>
      </c>
      <c s="388" r="DZ59"/>
      <c s="406" r="EA59"/>
      <c t="s" s="699" r="EB59">
        <v>593</v>
      </c>
      <c s="529" r="EC59"/>
      <c s="529" r="ED59"/>
      <c t="s" s="321" r="EE59">
        <v>2</v>
      </c>
      <c s="418" r="EF59"/>
      <c s="550" r="EG59"/>
      <c s="550" r="EH59"/>
      <c t="str" s="620" r="EI59">
        <f>IF((COUNT(EH59:EH$146,EJ59:EJ$146)=0),NA(),IF(ISBLANK(EH59),EI58,(EI58+(EH59-EJ58))))</f>
        <v>#N/A:explicit</v>
      </c>
      <c s="550" r="EJ59"/>
      <c t="str" s="620" r="EK59">
        <f>IF(OR(ISBLANK(EJ59),ISNUMBER(EH60)),NA(),(EI59-EJ59))</f>
        <v>#N/A:explicit</v>
      </c>
      <c t="b" s="895" r="EL59">
        <v>0</v>
      </c>
      <c s="631" r="EM59"/>
      <c t="str" s="309" r="EN59">
        <f>IF((COUNT(EG59:EG$146)=0),NA(),IF(ISBLANK(EG59),IF(ISBLANK(EG58),MAX(EG$46:EG59),EG58),EG59))</f>
        <v>#N/A:explicit</v>
      </c>
      <c t="str" s="861" r="EO59">
        <f>IF(ISNA(EK59),IF(ISNUMBER(EN59),EO58,NA()),EK59)</f>
        <v>#N/A:explicit</v>
      </c>
      <c s="861" r="EP59">
        <f>IF(ISNUMBER(EO59),EO59,(EI$46+1000))</f>
        <v>1000</v>
      </c>
      <c t="str" s="588" r="EQ59">
        <f>IF((EL59=TRUE),NA(),IF((EQ$44=(EI$46-MAX(EJ$46:EJ$146))),NA(),EQ$44))</f>
        <v>#N/A:explicit</v>
      </c>
      <c s="588" r="ER59">
        <f>IF((ISNA(((EO59*EN59)*EO58))),0,(IF((EN59&lt;EN58),-1,1)*(IF((EL58=FALSE),IF((EL59=FALSE),IF(ISNA(EO59),0,IF((EO58&lt;EQ$44),IF((EO59&lt;EQ$44),(((EN59-EN58)^2)^0.5),(((((EQ$44-EO58)*(EN59-EN58))/(EO59-EO58))^2)^0.5)),IF((EO59&lt;EQ$44),(((((EQ$44-EO59)*(EN59-EN58))/(EO58-EO59))^2)^0.5),0))),0),0))))</f>
        <v>0</v>
      </c>
      <c s="588" r="ES59">
        <f>IF(ISNA((EO59*EO58)),0,IF((EL58=FALSE),IF((EL59=FALSE),IF(ISNA(EK59),0,IF((EO58&lt;EQ$44),IF((EO59&lt;EQ$44),((EQ$44-((EO58+EO59)*0.5))*ER59),(((EQ$44-EO58)*0.5)*ER59)),IF((EO59&lt;EQ$44),(((EQ$44-EO59)*0.5)*ER59),0))),0),0))</f>
        <v>0</v>
      </c>
      <c s="588" r="ET59">
        <f>IF(ISNA((EO59*EO58)),0,IF((EL58=FALSE),IF((EL59=FALSE),IF(ISNA(EO59),0,IF((EO58&lt;EQ$44),IF((EO59&lt;EQ$44),(((ER59^2)+((EO59-EO58)^2))^0.5),(((ER59^2)+((EQ$44-EO58)^2))^0.5)),IF((EO59&lt;EQ$44),(((ER59^2)+((EQ$44-EO59)^2))^0.5),0))),0),0))</f>
        <v>0</v>
      </c>
      <c s="588" r="EU59">
        <f>IF(ISNUMBER((EO59*EO58)),IF((EO58&gt;=EA$148),IF((EO59&lt;EA$148),1,0),IF((EO59&gt;=EA$148),IF((EO58&lt;EA$148),1,0),0)),0)</f>
        <v>0</v>
      </c>
      <c s="588" r="EV59">
        <f>IF(ISNA((EO59*EO58)),0,(IF((EN59&lt;EN58),-1,1)*(IF(ISNA(EO59),0,IF((EO58&lt;EA$148),IF((EO59&lt;EA$148),(((EN59-EN58)^2)^0.5),(((((EA$148-EO58)*(EN59-EN58))/(EO59-EO58))^2)^0.5)),IF((EO59&lt;EA$148),(((((EA$148-EO59)*(EN59-EN58))/(EO58-EO59))^2)^0.5),0))))))</f>
        <v>0</v>
      </c>
      <c s="441" r="EW59">
        <f>IF((ES59&gt;0),(MAX(EW$47:EW58)+1),0)</f>
        <v>0</v>
      </c>
      <c s="388" r="EX59"/>
      <c s="406" r="EY59"/>
      <c t="s" s="699" r="EZ59">
        <v>593</v>
      </c>
      <c s="529" r="FA59"/>
      <c s="529" r="FB59"/>
      <c t="s" s="321" r="FC59">
        <v>2</v>
      </c>
      <c s="418" r="FD59"/>
      <c s="550" r="FE59"/>
      <c s="550" r="FF59"/>
      <c t="str" s="620" r="FG59">
        <f>IF((COUNT(FF59:FF$146,FH59:FH$146)=0),NA(),IF(ISBLANK(FF59),FG58,(FG58+(FF59-FH58))))</f>
        <v>#N/A:explicit</v>
      </c>
      <c s="550" r="FH59"/>
      <c t="str" s="620" r="FI59">
        <f>IF(OR(ISBLANK(FH59),ISNUMBER(FF60)),NA(),(FG59-FH59))</f>
        <v>#N/A:explicit</v>
      </c>
      <c t="b" s="895" r="FJ59">
        <v>0</v>
      </c>
      <c s="631" r="FK59"/>
      <c t="str" s="309" r="FL59">
        <f>IF((COUNT(FE59:FE$146)=0),NA(),IF(ISBLANK(FE59),IF(ISBLANK(FE58),MAX(FE$46:FE59),FE58),FE59))</f>
        <v>#N/A:explicit</v>
      </c>
      <c t="str" s="861" r="FM59">
        <f>IF(ISNA(FI59),IF(ISNUMBER(FL59),FM58,NA()),FI59)</f>
        <v>#N/A:explicit</v>
      </c>
      <c s="861" r="FN59">
        <f>IF(ISNUMBER(FM59),FM59,(FG$46+1000))</f>
        <v>1000</v>
      </c>
      <c t="str" s="588" r="FO59">
        <f>IF((FJ59=TRUE),NA(),IF((FO$44=(FG$46-MAX(FH$46:FH$146))),NA(),FO$44))</f>
        <v>#N/A:explicit</v>
      </c>
      <c s="588" r="FP59">
        <f>IF((ISNA(((FM59*FL59)*FM58))),0,(IF((FL59&lt;FL58),-1,1)*(IF((FJ58=FALSE),IF((FJ59=FALSE),IF(ISNA(FM59),0,IF((FM58&lt;FO$44),IF((FM59&lt;FO$44),(((FL59-FL58)^2)^0.5),(((((FO$44-FM58)*(FL59-FL58))/(FM59-FM58))^2)^0.5)),IF((FM59&lt;FO$44),(((((FO$44-FM59)*(FL59-FL58))/(FM58-FM59))^2)^0.5),0))),0),0))))</f>
        <v>0</v>
      </c>
      <c s="588" r="FQ59">
        <f>IF(ISNA((FM59*FM58)),0,IF((FJ58=FALSE),IF((FJ59=FALSE),IF(ISNA(FI59),0,IF((FM58&lt;FO$44),IF((FM59&lt;FO$44),((FO$44-((FM58+FM59)*0.5))*FP59),(((FO$44-FM58)*0.5)*FP59)),IF((FM59&lt;FO$44),(((FO$44-FM59)*0.5)*FP59),0))),0),0))</f>
        <v>0</v>
      </c>
      <c s="588" r="FR59">
        <f>IF(ISNA((FM59*FM58)),0,IF((FJ58=FALSE),IF((FJ59=FALSE),IF(ISNA(FM59),0,IF((FM58&lt;FO$44),IF((FM59&lt;FO$44),(((FP59^2)+((FM59-FM58)^2))^0.5),(((FP59^2)+((FO$44-FM58)^2))^0.5)),IF((FM59&lt;FO$44),(((FP59^2)+((FO$44-FM59)^2))^0.5),0))),0),0))</f>
        <v>0</v>
      </c>
      <c s="588" r="FS59">
        <f>IF(ISNUMBER((FM59*FM58)),IF((FM58&gt;=EY$148),IF((FM59&lt;EY$148),1,0),IF((FM59&gt;=EY$148),IF((FM58&lt;EY$148),1,0),0)),0)</f>
        <v>0</v>
      </c>
      <c s="588" r="FT59">
        <f>IF(ISNA((FM59*FM58)),0,(IF((FL59&lt;FL58),-1,1)*(IF(ISNA(FM59),0,IF((FM58&lt;EY$148),IF((FM59&lt;EY$148),(((FL59-FL58)^2)^0.5),(((((EY$148-FM58)*(FL59-FL58))/(FM59-FM58))^2)^0.5)),IF((FM59&lt;EY$148),(((((EY$148-FM59)*(FL59-FL58))/(FM58-FM59))^2)^0.5),0))))))</f>
        <v>0</v>
      </c>
      <c s="441" r="FU59">
        <f>IF((FQ59&gt;0),(MAX(FU$47:FU58)+1),0)</f>
        <v>0</v>
      </c>
      <c s="222" r="FV59"/>
      <c s="125" r="FW59"/>
      <c s="125" r="FX59"/>
      <c s="125" r="FY59"/>
      <c s="125" r="FZ59"/>
      <c s="125" r="GA59"/>
      <c s="125" r="GB59"/>
      <c s="125" r="GC59"/>
      <c s="125" r="GD59"/>
      <c s="125" r="GE59"/>
      <c s="125" r="GF59"/>
      <c s="125" r="GG59"/>
      <c s="125" r="GH59"/>
      <c s="125" r="GI59"/>
      <c s="125" r="GJ59"/>
      <c s="125" r="GK59"/>
      <c s="125" r="GL59"/>
      <c s="125" r="GM59"/>
      <c s="125" r="GN59"/>
      <c s="125" r="GO59"/>
      <c s="125" r="GP59"/>
      <c s="125" r="GQ59"/>
      <c s="125" r="GR59"/>
      <c s="125" r="GS59"/>
      <c s="125" r="GT59"/>
      <c s="125" r="GU59"/>
      <c s="125" r="GV59"/>
      <c s="125" r="GW59"/>
      <c s="125" r="GX59"/>
      <c s="125" r="GY59"/>
      <c s="125" r="GZ59"/>
      <c s="125" r="HA59"/>
      <c s="125" r="HB59"/>
    </row>
    <row customHeight="1" r="60" ht="13.5">
      <c s="822" r="A60"/>
      <c s="406" r="B60"/>
      <c s="886" r="C60"/>
      <c t="s" s="836" r="D60">
        <v>266</v>
      </c>
      <c s="458" r="E60"/>
      <c s="734" r="F60"/>
      <c s="458" r="G60"/>
      <c s="458" r="H60"/>
      <c s="734" r="I60"/>
      <c s="702" r="J60"/>
      <c s="406" r="K60"/>
      <c s="235" r="L60"/>
      <c t="s" s="7" r="M60">
        <v>594</v>
      </c>
      <c s="550" r="N60"/>
      <c t="str" s="185" r="O60">
        <f>IF(ISNUMBER(K148),SUM(AF47:AF146),"---")</f>
        <v>---</v>
      </c>
      <c s="418" r="P60"/>
      <c s="550" r="Q60"/>
      <c s="550" r="R60"/>
      <c t="str" s="620" r="S60">
        <f>IF((COUNT(R60:R$146,T60:T$146)=0),NA(),IF(ISBLANK(R60),S59,(S59+(R60-T59))))</f>
        <v>#N/A:explicit</v>
      </c>
      <c s="550" r="T60"/>
      <c t="str" s="620" r="U60">
        <f>IF(OR(ISBLANK(T60),ISNUMBER(R61)),NA(),(S60-T60))</f>
        <v>#N/A:explicit</v>
      </c>
      <c t="b" s="895" r="V60">
        <v>0</v>
      </c>
      <c s="631" r="W60"/>
      <c t="str" s="309" r="X60">
        <f>IF((COUNT(Q60:Q$146)=0),NA(),IF(ISBLANK(Q60),IF(ISBLANK(Q59),MAX(Q$46:Q60),Q59),Q60))</f>
        <v>#N/A:explicit</v>
      </c>
      <c t="str" s="861" r="Y60">
        <f>IF(ISNA(U60),IF(ISNUMBER(X60),Y59,NA()),U60)</f>
        <v>#N/A:explicit</v>
      </c>
      <c s="861" r="Z60">
        <f>IF(ISNUMBER(Y60),Y60,(S$46+1000))</f>
        <v>1000</v>
      </c>
      <c t="str" s="588" r="AA60">
        <f>IF((V60=TRUE),NA(),IF((AA$44=(S$46-MAX(T$46:T$146))),NA(),AA$44))</f>
        <v>#N/A:explicit</v>
      </c>
      <c s="588" r="AB60">
        <f>IF((ISNA(((Y60*X60)*Y59))),0,(IF((X60&lt;X59),-1,1)*(IF((V59=FALSE),IF((V60=FALSE),IF(ISNA(Y60),0,IF((Y59&lt;AA$44),IF((Y60&lt;AA$44),(((X60-X59)^2)^0.5),(((((AA$44-Y59)*(X60-X59))/(Y60-Y59))^2)^0.5)),IF((Y60&lt;AA$44),(((((AA$44-Y60)*(X60-X59))/(Y59-Y60))^2)^0.5),0))),0),0))))</f>
        <v>0</v>
      </c>
      <c s="588" r="AC60">
        <f>IF(ISNA((Y60*Y59)),0,IF((V59=FALSE),IF((V60=FALSE),IF(ISNA(U60),0,IF((Y59&lt;AA$44),IF((Y60&lt;AA$44),((AA$44-((Y59+Y60)*0.5))*AB60),(((AA$44-Y59)*0.5)*AB60)),IF((Y60&lt;AA$44),(((AA$44-Y60)*0.5)*AB60),0))),0),0))</f>
        <v>0</v>
      </c>
      <c s="588" r="AD60">
        <f>IF(ISNA((Y60*Y59)),0,IF((V59=FALSE),IF((V60=FALSE),IF(ISNA(Y60),0,IF((Y59&lt;AA$44),IF((Y60&lt;AA$44),(((AB60^2)+((Y60-Y59)^2))^0.5),(((AB60^2)+((AA$44-Y59)^2))^0.5)),IF((Y60&lt;AA$44),(((AB60^2)+((AA$44-Y60)^2))^0.5),0))),0),0))</f>
        <v>0</v>
      </c>
      <c s="588" r="AE60">
        <f>IF(ISNUMBER((Y60*Y59)),IF((Y59&gt;=K$148),IF((Y60&lt;K$148),1,0),IF((Y60&gt;=K$148),IF((Y59&lt;K$148),1,0),0)),0)</f>
        <v>0</v>
      </c>
      <c s="588" r="AF60">
        <f>IF(ISNA((Y60*Y59)),0,(IF((X60&lt;X59),-1,1)*(IF(ISNA(Y60),0,IF((Y59&lt;K$148),IF((Y60&lt;K$148),(((X60-X59)^2)^0.5),(((((K$148-Y59)*(X60-X59))/(Y60-Y59))^2)^0.5)),IF((Y60&lt;K$148),(((((K$148-Y60)*(X60-X59))/(Y59-Y60))^2)^0.5),0))))))</f>
        <v>0</v>
      </c>
      <c s="441" r="AG60">
        <f>IF((AC60&gt;0),(MAX(AG$47:AG59)+1),0)</f>
        <v>0</v>
      </c>
      <c s="388" r="AH60"/>
      <c s="406" r="AI60"/>
      <c s="235" r="AJ60"/>
      <c t="s" s="7" r="AK60">
        <v>594</v>
      </c>
      <c s="550" r="AL60"/>
      <c t="str" s="185" r="AM60">
        <f>IF(ISNUMBER(AI148),SUM(BD47:BD146),"---")</f>
        <v>---</v>
      </c>
      <c s="418" r="AN60"/>
      <c s="550" r="AO60"/>
      <c s="550" r="AP60"/>
      <c t="str" s="620" r="AQ60">
        <f>IF((COUNT(AP60:AP$146,AR60:AR$146)=0),NA(),IF(ISBLANK(AP60),AQ59,(AQ59+(AP60-AR59))))</f>
        <v>#N/A:explicit</v>
      </c>
      <c s="550" r="AR60"/>
      <c t="str" s="620" r="AS60">
        <f>IF(OR(ISBLANK(AR60),ISNUMBER(AP61)),NA(),(AQ60-AR60))</f>
        <v>#N/A:explicit</v>
      </c>
      <c t="b" s="895" r="AT60">
        <v>0</v>
      </c>
      <c s="631" r="AU60"/>
      <c t="str" s="309" r="AV60">
        <f>IF((COUNT(AO60:AO$146)=0),NA(),IF(ISBLANK(AO60),IF(ISBLANK(AO59),MAX(AO$46:AO60),AO59),AO60))</f>
        <v>#N/A:explicit</v>
      </c>
      <c t="str" s="861" r="AW60">
        <f>IF(ISNA(AS60),IF(ISNUMBER(AV60),AW59,NA()),AS60)</f>
        <v>#N/A:explicit</v>
      </c>
      <c s="861" r="AX60">
        <f>IF(ISNUMBER(AW60),AW60,(AQ$46+1000))</f>
        <v>1000</v>
      </c>
      <c t="str" s="588" r="AY60">
        <f>IF((AT60=TRUE),NA(),IF((AY$44=(AQ$46-MAX(AR$46:AR$146))),NA(),AY$44))</f>
        <v>#N/A:explicit</v>
      </c>
      <c s="588" r="AZ60">
        <f>IF((ISNA(((AW60*AV60)*AW59))),0,(IF((AV60&lt;AV59),-1,1)*(IF((AT59=FALSE),IF((AT60=FALSE),IF(ISNA(AW60),0,IF((AW59&lt;AY$44),IF((AW60&lt;AY$44),(((AV60-AV59)^2)^0.5),(((((AY$44-AW59)*(AV60-AV59))/(AW60-AW59))^2)^0.5)),IF((AW60&lt;AY$44),(((((AY$44-AW60)*(AV60-AV59))/(AW59-AW60))^2)^0.5),0))),0),0))))</f>
        <v>0</v>
      </c>
      <c s="588" r="BA60">
        <f>IF(ISNA((AW60*AW59)),0,IF((AT59=FALSE),IF((AT60=FALSE),IF(ISNA(AS60),0,IF((AW59&lt;AY$44),IF((AW60&lt;AY$44),((AY$44-((AW59+AW60)*0.5))*AZ60),(((AY$44-AW59)*0.5)*AZ60)),IF((AW60&lt;AY$44),(((AY$44-AW60)*0.5)*AZ60),0))),0),0))</f>
        <v>0</v>
      </c>
      <c s="588" r="BB60">
        <f>IF(ISNA((AW60*AW59)),0,IF((AT59=FALSE),IF((AT60=FALSE),IF(ISNA(AW60),0,IF((AW59&lt;AY$44),IF((AW60&lt;AY$44),(((AZ60^2)+((AW60-AW59)^2))^0.5),(((AZ60^2)+((AY$44-AW59)^2))^0.5)),IF((AW60&lt;AY$44),(((AZ60^2)+((AY$44-AW60)^2))^0.5),0))),0),0))</f>
        <v>0</v>
      </c>
      <c s="588" r="BC60">
        <f>IF(ISNUMBER((AW60*AW59)),IF((AW59&gt;=AI$148),IF((AW60&lt;AI$148),1,0),IF((AW60&gt;=AI$148),IF((AW59&lt;AI$148),1,0),0)),0)</f>
        <v>0</v>
      </c>
      <c s="588" r="BD60">
        <f>IF(ISNA((AW60*AW59)),0,(IF((AV60&lt;AV59),-1,1)*(IF(ISNA(AW60),0,IF((AW59&lt;AI$148),IF((AW60&lt;AI$148),(((AV60-AV59)^2)^0.5),(((((AI$148-AW59)*(AV60-AV59))/(AW60-AW59))^2)^0.5)),IF((AW60&lt;AI$148),(((((AI$148-AW60)*(AV60-AV59))/(AW59-AW60))^2)^0.5),0))))))</f>
        <v>0</v>
      </c>
      <c s="441" r="BE60">
        <f>IF((BA60&gt;0),(MAX(BE$47:BE59)+1),0)</f>
        <v>0</v>
      </c>
      <c s="388" r="BF60"/>
      <c s="406" r="BG60"/>
      <c s="235" r="BH60"/>
      <c t="s" s="7" r="BI60">
        <v>594</v>
      </c>
      <c s="550" r="BJ60"/>
      <c t="str" s="185" r="BK60">
        <f>IF(ISNUMBER(BG148),SUM(CB47:CB146),"---")</f>
        <v>---</v>
      </c>
      <c s="418" r="BL60"/>
      <c s="550" r="BM60"/>
      <c s="550" r="BN60"/>
      <c t="str" s="620" r="BO60">
        <f>IF((COUNT(BN60:BN$146,BP60:BP$146)=0),NA(),IF(ISBLANK(BN60),BO59,(BO59+(BN60-BP59))))</f>
        <v>#N/A:explicit</v>
      </c>
      <c s="550" r="BP60"/>
      <c t="str" s="620" r="BQ60">
        <f>IF(OR(ISBLANK(BP60),ISNUMBER(BN61)),NA(),(BO60-BP60))</f>
        <v>#N/A:explicit</v>
      </c>
      <c t="b" s="895" r="BR60">
        <v>0</v>
      </c>
      <c s="631" r="BS60"/>
      <c t="str" s="309" r="BT60">
        <f>IF((COUNT(BM60:BM$146)=0),NA(),IF(ISBLANK(BM60),IF(ISBLANK(BM59),MAX(BM$46:BM60),BM59),BM60))</f>
        <v>#N/A:explicit</v>
      </c>
      <c t="str" s="861" r="BU60">
        <f>IF(ISNA(BQ60),IF(ISNUMBER(BT60),BU59,NA()),BQ60)</f>
        <v>#N/A:explicit</v>
      </c>
      <c s="861" r="BV60">
        <f>IF(ISNUMBER(BU60),BU60,(BO$46+1000))</f>
        <v>1000</v>
      </c>
      <c t="str" s="588" r="BW60">
        <f>IF((BR60=TRUE),NA(),IF((BW$44=(BO$46-MAX(BP$46:BP$146))),NA(),BW$44))</f>
        <v>#N/A:explicit</v>
      </c>
      <c s="588" r="BX60">
        <f>IF((ISNA(((BU60*BT60)*BU59))),0,(IF((BT60&lt;BT59),-1,1)*(IF((BR59=FALSE),IF((BR60=FALSE),IF(ISNA(BU60),0,IF((BU59&lt;BW$44),IF((BU60&lt;BW$44),(((BT60-BT59)^2)^0.5),(((((BW$44-BU59)*(BT60-BT59))/(BU60-BU59))^2)^0.5)),IF((BU60&lt;BW$44),(((((BW$44-BU60)*(BT60-BT59))/(BU59-BU60))^2)^0.5),0))),0),0))))</f>
        <v>0</v>
      </c>
      <c s="588" r="BY60">
        <f>IF(ISNA((BU60*BU59)),0,IF((BR59=FALSE),IF((BR60=FALSE),IF(ISNA(BQ60),0,IF((BU59&lt;BW$44),IF((BU60&lt;BW$44),((BW$44-((BU59+BU60)*0.5))*BX60),(((BW$44-BU59)*0.5)*BX60)),IF((BU60&lt;BW$44),(((BW$44-BU60)*0.5)*BX60),0))),0),0))</f>
        <v>0</v>
      </c>
      <c s="588" r="BZ60">
        <f>IF(ISNA((BU60*BU59)),0,IF((BR59=FALSE),IF((BR60=FALSE),IF(ISNA(BU60),0,IF((BU59&lt;BW$44),IF((BU60&lt;BW$44),(((BX60^2)+((BU60-BU59)^2))^0.5),(((BX60^2)+((BW$44-BU59)^2))^0.5)),IF((BU60&lt;BW$44),(((BX60^2)+((BW$44-BU60)^2))^0.5),0))),0),0))</f>
        <v>0</v>
      </c>
      <c s="588" r="CA60">
        <f>IF(ISNUMBER((BU60*BU59)),IF((BU59&gt;=BG$148),IF((BU60&lt;BG$148),1,0),IF((BU60&gt;=BG$148),IF((BU59&lt;BG$148),1,0),0)),0)</f>
        <v>0</v>
      </c>
      <c s="588" r="CB60">
        <f>IF(ISNA((BU60*BU59)),0,(IF((BT60&lt;BT59),-1,1)*(IF(ISNA(BU60),0,IF((BU59&lt;BG$148),IF((BU60&lt;BG$148),(((BT60-BT59)^2)^0.5),(((((BG$148-BU59)*(BT60-BT59))/(BU60-BU59))^2)^0.5)),IF((BU60&lt;BG$148),(((((BG$148-BU60)*(BT60-BT59))/(BU59-BU60))^2)^0.5),0))))))</f>
        <v>0</v>
      </c>
      <c s="441" r="CC60">
        <f>IF((BY60&gt;0),(MAX(CC$47:CC59)+1),0)</f>
        <v>0</v>
      </c>
      <c s="388" r="CD60"/>
      <c s="406" r="CE60"/>
      <c s="235" r="CF60"/>
      <c t="s" s="7" r="CG60">
        <v>594</v>
      </c>
      <c s="550" r="CH60"/>
      <c t="str" s="185" r="CI60">
        <f>IF(ISNUMBER(CE148),SUM(CZ47:CZ146),"---")</f>
        <v>---</v>
      </c>
      <c s="418" r="CJ60"/>
      <c s="550" r="CK60"/>
      <c s="550" r="CL60"/>
      <c t="str" s="620" r="CM60">
        <f>IF((COUNT(CL60:CL$146,CN60:CN$146)=0),NA(),IF(ISBLANK(CL60),CM59,(CM59+(CL60-CN59))))</f>
        <v>#N/A:explicit</v>
      </c>
      <c s="550" r="CN60"/>
      <c t="str" s="620" r="CO60">
        <f>IF(OR(ISBLANK(CN60),ISNUMBER(CL61)),NA(),(CM60-CN60))</f>
        <v>#N/A:explicit</v>
      </c>
      <c t="b" s="895" r="CP60">
        <v>0</v>
      </c>
      <c s="631" r="CQ60"/>
      <c t="str" s="309" r="CR60">
        <f>IF((COUNT(CK60:CK$146)=0),NA(),IF(ISBLANK(CK60),IF(ISBLANK(CK59),MAX(CK$46:CK60),CK59),CK60))</f>
        <v>#N/A:explicit</v>
      </c>
      <c t="str" s="861" r="CS60">
        <f>IF(ISNA(CO60),IF(ISNUMBER(CR60),CS59,NA()),CO60)</f>
        <v>#N/A:explicit</v>
      </c>
      <c s="861" r="CT60">
        <f>IF(ISNUMBER(CS60),CS60,(CM$46+1000))</f>
        <v>1000</v>
      </c>
      <c t="str" s="588" r="CU60">
        <f>IF((CP60=TRUE),NA(),IF((CU$44=(CM$46-MAX(CN$46:CN$146))),NA(),CU$44))</f>
        <v>#N/A:explicit</v>
      </c>
      <c s="588" r="CV60">
        <f>IF((ISNA(((CS60*CR60)*CS59))),0,(IF((CR60&lt;CR59),-1,1)*(IF((CP59=FALSE),IF((CP60=FALSE),IF(ISNA(CS60),0,IF((CS59&lt;CU$44),IF((CS60&lt;CU$44),(((CR60-CR59)^2)^0.5),(((((CU$44-CS59)*(CR60-CR59))/(CS60-CS59))^2)^0.5)),IF((CS60&lt;CU$44),(((((CU$44-CS60)*(CR60-CR59))/(CS59-CS60))^2)^0.5),0))),0),0))))</f>
        <v>0</v>
      </c>
      <c s="588" r="CW60">
        <f>IF(ISNA((CS60*CS59)),0,IF((CP59=FALSE),IF((CP60=FALSE),IF(ISNA(CO60),0,IF((CS59&lt;CU$44),IF((CS60&lt;CU$44),((CU$44-((CS59+CS60)*0.5))*CV60),(((CU$44-CS59)*0.5)*CV60)),IF((CS60&lt;CU$44),(((CU$44-CS60)*0.5)*CV60),0))),0),0))</f>
        <v>0</v>
      </c>
      <c s="588" r="CX60">
        <f>IF(ISNA((CS60*CS59)),0,IF((CP59=FALSE),IF((CP60=FALSE),IF(ISNA(CS60),0,IF((CS59&lt;CU$44),IF((CS60&lt;CU$44),(((CV60^2)+((CS60-CS59)^2))^0.5),(((CV60^2)+((CU$44-CS59)^2))^0.5)),IF((CS60&lt;CU$44),(((CV60^2)+((CU$44-CS60)^2))^0.5),0))),0),0))</f>
        <v>0</v>
      </c>
      <c s="588" r="CY60">
        <f>IF(ISNUMBER((CS60*CS59)),IF((CS59&gt;=CE$148),IF((CS60&lt;CE$148),1,0),IF((CS60&gt;=CE$148),IF((CS59&lt;CE$148),1,0),0)),0)</f>
        <v>0</v>
      </c>
      <c s="588" r="CZ60">
        <f>IF(ISNA((CS60*CS59)),0,(IF((CR60&lt;CR59),-1,1)*(IF(ISNA(CS60),0,IF((CS59&lt;CE$148),IF((CS60&lt;CE$148),(((CR60-CR59)^2)^0.5),(((((CE$148-CS59)*(CR60-CR59))/(CS60-CS59))^2)^0.5)),IF((CS60&lt;CE$148),(((((CE$148-CS60)*(CR60-CR59))/(CS59-CS60))^2)^0.5),0))))))</f>
        <v>0</v>
      </c>
      <c s="441" r="DA60">
        <f>IF((CW60&gt;0),(MAX(DA$47:DA59)+1),0)</f>
        <v>0</v>
      </c>
      <c s="388" r="DB60"/>
      <c s="406" r="DC60"/>
      <c s="235" r="DD60"/>
      <c t="s" s="7" r="DE60">
        <v>594</v>
      </c>
      <c s="550" r="DF60"/>
      <c t="str" s="185" r="DG60">
        <f>IF(ISNUMBER(DC148),SUM(DX47:DX146),"---")</f>
        <v>---</v>
      </c>
      <c s="418" r="DH60"/>
      <c s="550" r="DI60"/>
      <c s="550" r="DJ60"/>
      <c t="str" s="620" r="DK60">
        <f>IF((COUNT(DJ60:DJ$146,DL60:DL$146)=0),NA(),IF(ISBLANK(DJ60),DK59,(DK59+(DJ60-DL59))))</f>
        <v>#N/A:explicit</v>
      </c>
      <c s="550" r="DL60"/>
      <c t="str" s="620" r="DM60">
        <f>IF(OR(ISBLANK(DL60),ISNUMBER(DJ61)),NA(),(DK60-DL60))</f>
        <v>#N/A:explicit</v>
      </c>
      <c t="b" s="895" r="DN60">
        <v>0</v>
      </c>
      <c s="631" r="DO60"/>
      <c t="str" s="309" r="DP60">
        <f>IF((COUNT(DI60:DI$146)=0),NA(),IF(ISBLANK(DI60),IF(ISBLANK(DI59),MAX(DI$46:DI60),DI59),DI60))</f>
        <v>#N/A:explicit</v>
      </c>
      <c t="str" s="861" r="DQ60">
        <f>IF(ISNA(DM60),IF(ISNUMBER(DP60),DQ59,NA()),DM60)</f>
        <v>#N/A:explicit</v>
      </c>
      <c s="861" r="DR60">
        <f>IF(ISNUMBER(DQ60),DQ60,(DK$46+1000))</f>
        <v>1000</v>
      </c>
      <c t="str" s="588" r="DS60">
        <f>IF((DN60=TRUE),NA(),IF((DS$44=(DK$46-MAX(DL$46:DL$146))),NA(),DS$44))</f>
        <v>#N/A:explicit</v>
      </c>
      <c s="588" r="DT60">
        <f>IF((ISNA(((DQ60*DP60)*DQ59))),0,(IF((DP60&lt;DP59),-1,1)*(IF((DN59=FALSE),IF((DN60=FALSE),IF(ISNA(DQ60),0,IF((DQ59&lt;DS$44),IF((DQ60&lt;DS$44),(((DP60-DP59)^2)^0.5),(((((DS$44-DQ59)*(DP60-DP59))/(DQ60-DQ59))^2)^0.5)),IF((DQ60&lt;DS$44),(((((DS$44-DQ60)*(DP60-DP59))/(DQ59-DQ60))^2)^0.5),0))),0),0))))</f>
        <v>0</v>
      </c>
      <c s="588" r="DU60">
        <f>IF(ISNA((DQ60*DQ59)),0,IF((DN59=FALSE),IF((DN60=FALSE),IF(ISNA(DM60),0,IF((DQ59&lt;DS$44),IF((DQ60&lt;DS$44),((DS$44-((DQ59+DQ60)*0.5))*DT60),(((DS$44-DQ59)*0.5)*DT60)),IF((DQ60&lt;DS$44),(((DS$44-DQ60)*0.5)*DT60),0))),0),0))</f>
        <v>0</v>
      </c>
      <c s="588" r="DV60">
        <f>IF(ISNA((DQ60*DQ59)),0,IF((DN59=FALSE),IF((DN60=FALSE),IF(ISNA(DQ60),0,IF((DQ59&lt;DS$44),IF((DQ60&lt;DS$44),(((DT60^2)+((DQ60-DQ59)^2))^0.5),(((DT60^2)+((DS$44-DQ59)^2))^0.5)),IF((DQ60&lt;DS$44),(((DT60^2)+((DS$44-DQ60)^2))^0.5),0))),0),0))</f>
        <v>0</v>
      </c>
      <c s="588" r="DW60">
        <f>IF(ISNUMBER((DQ60*DQ59)),IF((DQ59&gt;=DC$148),IF((DQ60&lt;DC$148),1,0),IF((DQ60&gt;=DC$148),IF((DQ59&lt;DC$148),1,0),0)),0)</f>
        <v>0</v>
      </c>
      <c s="588" r="DX60">
        <f>IF(ISNA((DQ60*DQ59)),0,(IF((DP60&lt;DP59),-1,1)*(IF(ISNA(DQ60),0,IF((DQ59&lt;DC$148),IF((DQ60&lt;DC$148),(((DP60-DP59)^2)^0.5),(((((DC$148-DQ59)*(DP60-DP59))/(DQ60-DQ59))^2)^0.5)),IF((DQ60&lt;DC$148),(((((DC$148-DQ60)*(DP60-DP59))/(DQ59-DQ60))^2)^0.5),0))))))</f>
        <v>0</v>
      </c>
      <c s="441" r="DY60">
        <f>IF((DU60&gt;0),(MAX(DY$47:DY59)+1),0)</f>
        <v>0</v>
      </c>
      <c s="388" r="DZ60"/>
      <c s="406" r="EA60"/>
      <c s="235" r="EB60"/>
      <c t="s" s="7" r="EC60">
        <v>594</v>
      </c>
      <c s="550" r="ED60"/>
      <c t="str" s="185" r="EE60">
        <f>IF(ISNUMBER(EA148),SUM(EV47:EV146),"---")</f>
        <v>---</v>
      </c>
      <c s="418" r="EF60"/>
      <c s="550" r="EG60"/>
      <c s="550" r="EH60"/>
      <c t="str" s="620" r="EI60">
        <f>IF((COUNT(EH60:EH$146,EJ60:EJ$146)=0),NA(),IF(ISBLANK(EH60),EI59,(EI59+(EH60-EJ59))))</f>
        <v>#N/A:explicit</v>
      </c>
      <c s="550" r="EJ60"/>
      <c t="str" s="620" r="EK60">
        <f>IF(OR(ISBLANK(EJ60),ISNUMBER(EH61)),NA(),(EI60-EJ60))</f>
        <v>#N/A:explicit</v>
      </c>
      <c t="b" s="895" r="EL60">
        <v>0</v>
      </c>
      <c s="631" r="EM60"/>
      <c t="str" s="309" r="EN60">
        <f>IF((COUNT(EG60:EG$146)=0),NA(),IF(ISBLANK(EG60),IF(ISBLANK(EG59),MAX(EG$46:EG60),EG59),EG60))</f>
        <v>#N/A:explicit</v>
      </c>
      <c t="str" s="861" r="EO60">
        <f>IF(ISNA(EK60),IF(ISNUMBER(EN60),EO59,NA()),EK60)</f>
        <v>#N/A:explicit</v>
      </c>
      <c s="861" r="EP60">
        <f>IF(ISNUMBER(EO60),EO60,(EI$46+1000))</f>
        <v>1000</v>
      </c>
      <c t="str" s="588" r="EQ60">
        <f>IF((EL60=TRUE),NA(),IF((EQ$44=(EI$46-MAX(EJ$46:EJ$146))),NA(),EQ$44))</f>
        <v>#N/A:explicit</v>
      </c>
      <c s="588" r="ER60">
        <f>IF((ISNA(((EO60*EN60)*EO59))),0,(IF((EN60&lt;EN59),-1,1)*(IF((EL59=FALSE),IF((EL60=FALSE),IF(ISNA(EO60),0,IF((EO59&lt;EQ$44),IF((EO60&lt;EQ$44),(((EN60-EN59)^2)^0.5),(((((EQ$44-EO59)*(EN60-EN59))/(EO60-EO59))^2)^0.5)),IF((EO60&lt;EQ$44),(((((EQ$44-EO60)*(EN60-EN59))/(EO59-EO60))^2)^0.5),0))),0),0))))</f>
        <v>0</v>
      </c>
      <c s="588" r="ES60">
        <f>IF(ISNA((EO60*EO59)),0,IF((EL59=FALSE),IF((EL60=FALSE),IF(ISNA(EK60),0,IF((EO59&lt;EQ$44),IF((EO60&lt;EQ$44),((EQ$44-((EO59+EO60)*0.5))*ER60),(((EQ$44-EO59)*0.5)*ER60)),IF((EO60&lt;EQ$44),(((EQ$44-EO60)*0.5)*ER60),0))),0),0))</f>
        <v>0</v>
      </c>
      <c s="588" r="ET60">
        <f>IF(ISNA((EO60*EO59)),0,IF((EL59=FALSE),IF((EL60=FALSE),IF(ISNA(EO60),0,IF((EO59&lt;EQ$44),IF((EO60&lt;EQ$44),(((ER60^2)+((EO60-EO59)^2))^0.5),(((ER60^2)+((EQ$44-EO59)^2))^0.5)),IF((EO60&lt;EQ$44),(((ER60^2)+((EQ$44-EO60)^2))^0.5),0))),0),0))</f>
        <v>0</v>
      </c>
      <c s="588" r="EU60">
        <f>IF(ISNUMBER((EO60*EO59)),IF((EO59&gt;=EA$148),IF((EO60&lt;EA$148),1,0),IF((EO60&gt;=EA$148),IF((EO59&lt;EA$148),1,0),0)),0)</f>
        <v>0</v>
      </c>
      <c s="588" r="EV60">
        <f>IF(ISNA((EO60*EO59)),0,(IF((EN60&lt;EN59),-1,1)*(IF(ISNA(EO60),0,IF((EO59&lt;EA$148),IF((EO60&lt;EA$148),(((EN60-EN59)^2)^0.5),(((((EA$148-EO59)*(EN60-EN59))/(EO60-EO59))^2)^0.5)),IF((EO60&lt;EA$148),(((((EA$148-EO60)*(EN60-EN59))/(EO59-EO60))^2)^0.5),0))))))</f>
        <v>0</v>
      </c>
      <c s="441" r="EW60">
        <f>IF((ES60&gt;0),(MAX(EW$47:EW59)+1),0)</f>
        <v>0</v>
      </c>
      <c s="388" r="EX60"/>
      <c s="406" r="EY60"/>
      <c s="235" r="EZ60"/>
      <c t="s" s="7" r="FA60">
        <v>594</v>
      </c>
      <c s="550" r="FB60"/>
      <c t="str" s="185" r="FC60">
        <f>IF(ISNUMBER(EY148),SUM(FT47:FT146),"---")</f>
        <v>---</v>
      </c>
      <c s="418" r="FD60"/>
      <c s="550" r="FE60"/>
      <c s="550" r="FF60"/>
      <c t="str" s="620" r="FG60">
        <f>IF((COUNT(FF60:FF$146,FH60:FH$146)=0),NA(),IF(ISBLANK(FF60),FG59,(FG59+(FF60-FH59))))</f>
        <v>#N/A:explicit</v>
      </c>
      <c s="550" r="FH60"/>
      <c t="str" s="620" r="FI60">
        <f>IF(OR(ISBLANK(FH60),ISNUMBER(FF61)),NA(),(FG60-FH60))</f>
        <v>#N/A:explicit</v>
      </c>
      <c t="b" s="895" r="FJ60">
        <v>0</v>
      </c>
      <c s="631" r="FK60"/>
      <c t="str" s="309" r="FL60">
        <f>IF((COUNT(FE60:FE$146)=0),NA(),IF(ISBLANK(FE60),IF(ISBLANK(FE59),MAX(FE$46:FE60),FE59),FE60))</f>
        <v>#N/A:explicit</v>
      </c>
      <c t="str" s="861" r="FM60">
        <f>IF(ISNA(FI60),IF(ISNUMBER(FL60),FM59,NA()),FI60)</f>
        <v>#N/A:explicit</v>
      </c>
      <c s="861" r="FN60">
        <f>IF(ISNUMBER(FM60),FM60,(FG$46+1000))</f>
        <v>1000</v>
      </c>
      <c t="str" s="588" r="FO60">
        <f>IF((FJ60=TRUE),NA(),IF((FO$44=(FG$46-MAX(FH$46:FH$146))),NA(),FO$44))</f>
        <v>#N/A:explicit</v>
      </c>
      <c s="588" r="FP60">
        <f>IF((ISNA(((FM60*FL60)*FM59))),0,(IF((FL60&lt;FL59),-1,1)*(IF((FJ59=FALSE),IF((FJ60=FALSE),IF(ISNA(FM60),0,IF((FM59&lt;FO$44),IF((FM60&lt;FO$44),(((FL60-FL59)^2)^0.5),(((((FO$44-FM59)*(FL60-FL59))/(FM60-FM59))^2)^0.5)),IF((FM60&lt;FO$44),(((((FO$44-FM60)*(FL60-FL59))/(FM59-FM60))^2)^0.5),0))),0),0))))</f>
        <v>0</v>
      </c>
      <c s="588" r="FQ60">
        <f>IF(ISNA((FM60*FM59)),0,IF((FJ59=FALSE),IF((FJ60=FALSE),IF(ISNA(FI60),0,IF((FM59&lt;FO$44),IF((FM60&lt;FO$44),((FO$44-((FM59+FM60)*0.5))*FP60),(((FO$44-FM59)*0.5)*FP60)),IF((FM60&lt;FO$44),(((FO$44-FM60)*0.5)*FP60),0))),0),0))</f>
        <v>0</v>
      </c>
      <c s="588" r="FR60">
        <f>IF(ISNA((FM60*FM59)),0,IF((FJ59=FALSE),IF((FJ60=FALSE),IF(ISNA(FM60),0,IF((FM59&lt;FO$44),IF((FM60&lt;FO$44),(((FP60^2)+((FM60-FM59)^2))^0.5),(((FP60^2)+((FO$44-FM59)^2))^0.5)),IF((FM60&lt;FO$44),(((FP60^2)+((FO$44-FM60)^2))^0.5),0))),0),0))</f>
        <v>0</v>
      </c>
      <c s="588" r="FS60">
        <f>IF(ISNUMBER((FM60*FM59)),IF((FM59&gt;=EY$148),IF((FM60&lt;EY$148),1,0),IF((FM60&gt;=EY$148),IF((FM59&lt;EY$148),1,0),0)),0)</f>
        <v>0</v>
      </c>
      <c s="588" r="FT60">
        <f>IF(ISNA((FM60*FM59)),0,(IF((FL60&lt;FL59),-1,1)*(IF(ISNA(FM60),0,IF((FM59&lt;EY$148),IF((FM60&lt;EY$148),(((FL60-FL59)^2)^0.5),(((((EY$148-FM59)*(FL60-FL59))/(FM60-FM59))^2)^0.5)),IF((FM60&lt;EY$148),(((((EY$148-FM60)*(FL60-FL59))/(FM59-FM60))^2)^0.5),0))))))</f>
        <v>0</v>
      </c>
      <c s="441" r="FU60">
        <f>IF((FQ60&gt;0),(MAX(FU$47:FU59)+1),0)</f>
        <v>0</v>
      </c>
      <c s="222" r="FV60"/>
      <c s="125" r="FW60"/>
      <c s="125" r="FX60"/>
      <c s="125" r="FY60"/>
      <c s="125" r="FZ60"/>
      <c s="125" r="GA60"/>
      <c s="125" r="GB60"/>
      <c s="125" r="GC60"/>
      <c s="125" r="GD60"/>
      <c s="125" r="GE60"/>
      <c s="125" r="GF60"/>
      <c s="125" r="GG60"/>
      <c s="125" r="GH60"/>
      <c s="125" r="GI60"/>
      <c s="125" r="GJ60"/>
      <c s="125" r="GK60"/>
      <c s="125" r="GL60"/>
      <c s="125" r="GM60"/>
      <c s="125" r="GN60"/>
      <c s="125" r="GO60"/>
      <c s="125" r="GP60"/>
      <c s="125" r="GQ60"/>
      <c s="125" r="GR60"/>
      <c s="125" r="GS60"/>
      <c s="125" r="GT60"/>
      <c s="125" r="GU60"/>
      <c s="125" r="GV60"/>
      <c s="125" r="GW60"/>
      <c s="125" r="GX60"/>
      <c s="125" r="GY60"/>
      <c s="125" r="GZ60"/>
      <c s="125" r="HA60"/>
      <c s="125" r="HB60"/>
    </row>
    <row customHeight="1" r="61" ht="13.5">
      <c s="822" r="A61"/>
      <c s="406" r="B61"/>
      <c s="886" r="C61"/>
      <c s="886" r="D61"/>
      <c t="str" s="374" r="E61">
        <f>'Dimension Estimated Values'!E8</f>
        <v>#VALUE!:cantParseText:---</v>
      </c>
      <c s="886" r="F61"/>
      <c t="str" s="374" r="G61">
        <f>'Dimension Estimated Values'!E9</f>
        <v>#VALUE!:cantParseText:---</v>
      </c>
      <c t="str" s="374" r="H61">
        <f>'Dimension Estimated Values'!E10</f>
        <v>#VALUE!:cantParseText:---</v>
      </c>
      <c s="418" r="I61"/>
      <c s="702" r="J61"/>
      <c s="406" r="K61"/>
      <c s="789" r="L61"/>
      <c s="789" r="M61"/>
      <c s="301" r="N61"/>
      <c s="789" r="O61"/>
      <c s="418" r="P61"/>
      <c s="550" r="Q61"/>
      <c s="550" r="R61"/>
      <c t="str" s="620" r="S61">
        <f>IF((COUNT(R61:R$146,T61:T$146)=0),NA(),IF(ISBLANK(R61),S60,(S60+(R61-T60))))</f>
        <v>#N/A:explicit</v>
      </c>
      <c s="550" r="T61"/>
      <c t="str" s="620" r="U61">
        <f>IF(OR(ISBLANK(T61),ISNUMBER(R62)),NA(),(S61-T61))</f>
        <v>#N/A:explicit</v>
      </c>
      <c t="b" s="895" r="V61">
        <v>0</v>
      </c>
      <c s="631" r="W61"/>
      <c t="str" s="309" r="X61">
        <f>IF((COUNT(Q61:Q$146)=0),NA(),IF(ISBLANK(Q61),IF(ISBLANK(Q60),MAX(Q$46:Q61),Q60),Q61))</f>
        <v>#N/A:explicit</v>
      </c>
      <c t="str" s="861" r="Y61">
        <f>IF(ISNA(U61),IF(ISNUMBER(X61),Y60,NA()),U61)</f>
        <v>#N/A:explicit</v>
      </c>
      <c s="861" r="Z61">
        <f>IF(ISNUMBER(Y61),Y61,(S$46+1000))</f>
        <v>1000</v>
      </c>
      <c t="str" s="588" r="AA61">
        <f>IF((V61=TRUE),NA(),IF((AA$44=(S$46-MAX(T$46:T$146))),NA(),AA$44))</f>
        <v>#N/A:explicit</v>
      </c>
      <c s="588" r="AB61">
        <f>IF((ISNA(((Y61*X61)*Y60))),0,(IF((X61&lt;X60),-1,1)*(IF((V60=FALSE),IF((V61=FALSE),IF(ISNA(Y61),0,IF((Y60&lt;AA$44),IF((Y61&lt;AA$44),(((X61-X60)^2)^0.5),(((((AA$44-Y60)*(X61-X60))/(Y61-Y60))^2)^0.5)),IF((Y61&lt;AA$44),(((((AA$44-Y61)*(X61-X60))/(Y60-Y61))^2)^0.5),0))),0),0))))</f>
        <v>0</v>
      </c>
      <c s="588" r="AC61">
        <f>IF(ISNA((Y61*Y60)),0,IF((V60=FALSE),IF((V61=FALSE),IF(ISNA(U61),0,IF((Y60&lt;AA$44),IF((Y61&lt;AA$44),((AA$44-((Y60+Y61)*0.5))*AB61),(((AA$44-Y60)*0.5)*AB61)),IF((Y61&lt;AA$44),(((AA$44-Y61)*0.5)*AB61),0))),0),0))</f>
        <v>0</v>
      </c>
      <c s="588" r="AD61">
        <f>IF(ISNA((Y61*Y60)),0,IF((V60=FALSE),IF((V61=FALSE),IF(ISNA(Y61),0,IF((Y60&lt;AA$44),IF((Y61&lt;AA$44),(((AB61^2)+((Y61-Y60)^2))^0.5),(((AB61^2)+((AA$44-Y60)^2))^0.5)),IF((Y61&lt;AA$44),(((AB61^2)+((AA$44-Y61)^2))^0.5),0))),0),0))</f>
        <v>0</v>
      </c>
      <c s="588" r="AE61">
        <f>IF(ISNUMBER((Y61*Y60)),IF((Y60&gt;=K$148),IF((Y61&lt;K$148),1,0),IF((Y61&gt;=K$148),IF((Y60&lt;K$148),1,0),0)),0)</f>
        <v>0</v>
      </c>
      <c s="588" r="AF61">
        <f>IF(ISNA((Y61*Y60)),0,(IF((X61&lt;X60),-1,1)*(IF(ISNA(Y61),0,IF((Y60&lt;K$148),IF((Y61&lt;K$148),(((X61-X60)^2)^0.5),(((((K$148-Y60)*(X61-X60))/(Y61-Y60))^2)^0.5)),IF((Y61&lt;K$148),(((((K$148-Y61)*(X61-X60))/(Y60-Y61))^2)^0.5),0))))))</f>
        <v>0</v>
      </c>
      <c s="441" r="AG61">
        <f>IF((AC61&gt;0),(MAX(AG$47:AG60)+1),0)</f>
        <v>0</v>
      </c>
      <c s="388" r="AH61"/>
      <c s="406" r="AI61"/>
      <c s="789" r="AJ61"/>
      <c s="789" r="AK61"/>
      <c s="301" r="AL61"/>
      <c s="789" r="AM61"/>
      <c s="418" r="AN61"/>
      <c s="550" r="AO61"/>
      <c s="550" r="AP61"/>
      <c t="str" s="620" r="AQ61">
        <f>IF((COUNT(AP61:AP$146,AR61:AR$146)=0),NA(),IF(ISBLANK(AP61),AQ60,(AQ60+(AP61-AR60))))</f>
        <v>#N/A:explicit</v>
      </c>
      <c s="550" r="AR61"/>
      <c t="str" s="620" r="AS61">
        <f>IF(OR(ISBLANK(AR61),ISNUMBER(AP62)),NA(),(AQ61-AR61))</f>
        <v>#N/A:explicit</v>
      </c>
      <c t="b" s="895" r="AT61">
        <v>0</v>
      </c>
      <c s="631" r="AU61"/>
      <c t="str" s="309" r="AV61">
        <f>IF((COUNT(AO61:AO$146)=0),NA(),IF(ISBLANK(AO61),IF(ISBLANK(AO60),MAX(AO$46:AO61),AO60),AO61))</f>
        <v>#N/A:explicit</v>
      </c>
      <c t="str" s="861" r="AW61">
        <f>IF(ISNA(AS61),IF(ISNUMBER(AV61),AW60,NA()),AS61)</f>
        <v>#N/A:explicit</v>
      </c>
      <c s="861" r="AX61">
        <f>IF(ISNUMBER(AW61),AW61,(AQ$46+1000))</f>
        <v>1000</v>
      </c>
      <c t="str" s="588" r="AY61">
        <f>IF((AT61=TRUE),NA(),IF((AY$44=(AQ$46-MAX(AR$46:AR$146))),NA(),AY$44))</f>
        <v>#N/A:explicit</v>
      </c>
      <c s="588" r="AZ61">
        <f>IF((ISNA(((AW61*AV61)*AW60))),0,(IF((AV61&lt;AV60),-1,1)*(IF((AT60=FALSE),IF((AT61=FALSE),IF(ISNA(AW61),0,IF((AW60&lt;AY$44),IF((AW61&lt;AY$44),(((AV61-AV60)^2)^0.5),(((((AY$44-AW60)*(AV61-AV60))/(AW61-AW60))^2)^0.5)),IF((AW61&lt;AY$44),(((((AY$44-AW61)*(AV61-AV60))/(AW60-AW61))^2)^0.5),0))),0),0))))</f>
        <v>0</v>
      </c>
      <c s="588" r="BA61">
        <f>IF(ISNA((AW61*AW60)),0,IF((AT60=FALSE),IF((AT61=FALSE),IF(ISNA(AS61),0,IF((AW60&lt;AY$44),IF((AW61&lt;AY$44),((AY$44-((AW60+AW61)*0.5))*AZ61),(((AY$44-AW60)*0.5)*AZ61)),IF((AW61&lt;AY$44),(((AY$44-AW61)*0.5)*AZ61),0))),0),0))</f>
        <v>0</v>
      </c>
      <c s="588" r="BB61">
        <f>IF(ISNA((AW61*AW60)),0,IF((AT60=FALSE),IF((AT61=FALSE),IF(ISNA(AW61),0,IF((AW60&lt;AY$44),IF((AW61&lt;AY$44),(((AZ61^2)+((AW61-AW60)^2))^0.5),(((AZ61^2)+((AY$44-AW60)^2))^0.5)),IF((AW61&lt;AY$44),(((AZ61^2)+((AY$44-AW61)^2))^0.5),0))),0),0))</f>
        <v>0</v>
      </c>
      <c s="588" r="BC61">
        <f>IF(ISNUMBER((AW61*AW60)),IF((AW60&gt;=AI$148),IF((AW61&lt;AI$148),1,0),IF((AW61&gt;=AI$148),IF((AW60&lt;AI$148),1,0),0)),0)</f>
        <v>0</v>
      </c>
      <c s="588" r="BD61">
        <f>IF(ISNA((AW61*AW60)),0,(IF((AV61&lt;AV60),-1,1)*(IF(ISNA(AW61),0,IF((AW60&lt;AI$148),IF((AW61&lt;AI$148),(((AV61-AV60)^2)^0.5),(((((AI$148-AW60)*(AV61-AV60))/(AW61-AW60))^2)^0.5)),IF((AW61&lt;AI$148),(((((AI$148-AW61)*(AV61-AV60))/(AW60-AW61))^2)^0.5),0))))))</f>
        <v>0</v>
      </c>
      <c s="441" r="BE61">
        <f>IF((BA61&gt;0),(MAX(BE$47:BE60)+1),0)</f>
        <v>0</v>
      </c>
      <c t="s" s="388" r="BF61">
        <v>2</v>
      </c>
      <c s="406" r="BG61"/>
      <c s="789" r="BH61"/>
      <c s="789" r="BI61"/>
      <c s="301" r="BJ61"/>
      <c s="789" r="BK61"/>
      <c s="418" r="BL61"/>
      <c s="550" r="BM61"/>
      <c s="550" r="BN61"/>
      <c t="str" s="620" r="BO61">
        <f>IF((COUNT(BN61:BN$146,BP61:BP$146)=0),NA(),IF(ISBLANK(BN61),BO60,(BO60+(BN61-BP60))))</f>
        <v>#N/A:explicit</v>
      </c>
      <c s="550" r="BP61"/>
      <c t="str" s="620" r="BQ61">
        <f>IF(OR(ISBLANK(BP61),ISNUMBER(BN62)),NA(),(BO61-BP61))</f>
        <v>#N/A:explicit</v>
      </c>
      <c t="b" s="895" r="BR61">
        <v>0</v>
      </c>
      <c s="631" r="BS61"/>
      <c t="str" s="309" r="BT61">
        <f>IF((COUNT(BM61:BM$146)=0),NA(),IF(ISBLANK(BM61),IF(ISBLANK(BM60),MAX(BM$46:BM61),BM60),BM61))</f>
        <v>#N/A:explicit</v>
      </c>
      <c t="str" s="861" r="BU61">
        <f>IF(ISNA(BQ61),IF(ISNUMBER(BT61),BU60,NA()),BQ61)</f>
        <v>#N/A:explicit</v>
      </c>
      <c s="861" r="BV61">
        <f>IF(ISNUMBER(BU61),BU61,(BO$46+1000))</f>
        <v>1000</v>
      </c>
      <c t="str" s="588" r="BW61">
        <f>IF((BR61=TRUE),NA(),IF((BW$44=(BO$46-MAX(BP$46:BP$146))),NA(),BW$44))</f>
        <v>#N/A:explicit</v>
      </c>
      <c s="588" r="BX61">
        <f>IF((ISNA(((BU61*BT61)*BU60))),0,(IF((BT61&lt;BT60),-1,1)*(IF((BR60=FALSE),IF((BR61=FALSE),IF(ISNA(BU61),0,IF((BU60&lt;BW$44),IF((BU61&lt;BW$44),(((BT61-BT60)^2)^0.5),(((((BW$44-BU60)*(BT61-BT60))/(BU61-BU60))^2)^0.5)),IF((BU61&lt;BW$44),(((((BW$44-BU61)*(BT61-BT60))/(BU60-BU61))^2)^0.5),0))),0),0))))</f>
        <v>0</v>
      </c>
      <c s="588" r="BY61">
        <f>IF(ISNA((BU61*BU60)),0,IF((BR60=FALSE),IF((BR61=FALSE),IF(ISNA(BQ61),0,IF((BU60&lt;BW$44),IF((BU61&lt;BW$44),((BW$44-((BU60+BU61)*0.5))*BX61),(((BW$44-BU60)*0.5)*BX61)),IF((BU61&lt;BW$44),(((BW$44-BU61)*0.5)*BX61),0))),0),0))</f>
        <v>0</v>
      </c>
      <c s="588" r="BZ61">
        <f>IF(ISNA((BU61*BU60)),0,IF((BR60=FALSE),IF((BR61=FALSE),IF(ISNA(BU61),0,IF((BU60&lt;BW$44),IF((BU61&lt;BW$44),(((BX61^2)+((BU61-BU60)^2))^0.5),(((BX61^2)+((BW$44-BU60)^2))^0.5)),IF((BU61&lt;BW$44),(((BX61^2)+((BW$44-BU61)^2))^0.5),0))),0),0))</f>
        <v>0</v>
      </c>
      <c s="588" r="CA61">
        <f>IF(ISNUMBER((BU61*BU60)),IF((BU60&gt;=BG$148),IF((BU61&lt;BG$148),1,0),IF((BU61&gt;=BG$148),IF((BU60&lt;BG$148),1,0),0)),0)</f>
        <v>0</v>
      </c>
      <c s="588" r="CB61">
        <f>IF(ISNA((BU61*BU60)),0,(IF((BT61&lt;BT60),-1,1)*(IF(ISNA(BU61),0,IF((BU60&lt;BG$148),IF((BU61&lt;BG$148),(((BT61-BT60)^2)^0.5),(((((BG$148-BU60)*(BT61-BT60))/(BU61-BU60))^2)^0.5)),IF((BU61&lt;BG$148),(((((BG$148-BU61)*(BT61-BT60))/(BU60-BU61))^2)^0.5),0))))))</f>
        <v>0</v>
      </c>
      <c s="441" r="CC61">
        <f>IF((BY61&gt;0),(MAX(CC$47:CC60)+1),0)</f>
        <v>0</v>
      </c>
      <c s="388" r="CD61"/>
      <c s="406" r="CE61"/>
      <c s="789" r="CF61"/>
      <c s="789" r="CG61"/>
      <c s="301" r="CH61"/>
      <c s="789" r="CI61"/>
      <c s="418" r="CJ61"/>
      <c s="550" r="CK61"/>
      <c s="550" r="CL61"/>
      <c t="str" s="620" r="CM61">
        <f>IF((COUNT(CL61:CL$146,CN61:CN$146)=0),NA(),IF(ISBLANK(CL61),CM60,(CM60+(CL61-CN60))))</f>
        <v>#N/A:explicit</v>
      </c>
      <c s="550" r="CN61"/>
      <c t="str" s="620" r="CO61">
        <f>IF(OR(ISBLANK(CN61),ISNUMBER(CL62)),NA(),(CM61-CN61))</f>
        <v>#N/A:explicit</v>
      </c>
      <c t="b" s="895" r="CP61">
        <v>0</v>
      </c>
      <c s="631" r="CQ61"/>
      <c t="str" s="309" r="CR61">
        <f>IF((COUNT(CK61:CK$146)=0),NA(),IF(ISBLANK(CK61),IF(ISBLANK(CK60),MAX(CK$46:CK61),CK60),CK61))</f>
        <v>#N/A:explicit</v>
      </c>
      <c t="str" s="861" r="CS61">
        <f>IF(ISNA(CO61),IF(ISNUMBER(CR61),CS60,NA()),CO61)</f>
        <v>#N/A:explicit</v>
      </c>
      <c s="861" r="CT61">
        <f>IF(ISNUMBER(CS61),CS61,(CM$46+1000))</f>
        <v>1000</v>
      </c>
      <c t="str" s="588" r="CU61">
        <f>IF((CP61=TRUE),NA(),IF((CU$44=(CM$46-MAX(CN$46:CN$146))),NA(),CU$44))</f>
        <v>#N/A:explicit</v>
      </c>
      <c s="588" r="CV61">
        <f>IF((ISNA(((CS61*CR61)*CS60))),0,(IF((CR61&lt;CR60),-1,1)*(IF((CP60=FALSE),IF((CP61=FALSE),IF(ISNA(CS61),0,IF((CS60&lt;CU$44),IF((CS61&lt;CU$44),(((CR61-CR60)^2)^0.5),(((((CU$44-CS60)*(CR61-CR60))/(CS61-CS60))^2)^0.5)),IF((CS61&lt;CU$44),(((((CU$44-CS61)*(CR61-CR60))/(CS60-CS61))^2)^0.5),0))),0),0))))</f>
        <v>0</v>
      </c>
      <c s="588" r="CW61">
        <f>IF(ISNA((CS61*CS60)),0,IF((CP60=FALSE),IF((CP61=FALSE),IF(ISNA(CO61),0,IF((CS60&lt;CU$44),IF((CS61&lt;CU$44),((CU$44-((CS60+CS61)*0.5))*CV61),(((CU$44-CS60)*0.5)*CV61)),IF((CS61&lt;CU$44),(((CU$44-CS61)*0.5)*CV61),0))),0),0))</f>
        <v>0</v>
      </c>
      <c s="588" r="CX61">
        <f>IF(ISNA((CS61*CS60)),0,IF((CP60=FALSE),IF((CP61=FALSE),IF(ISNA(CS61),0,IF((CS60&lt;CU$44),IF((CS61&lt;CU$44),(((CV61^2)+((CS61-CS60)^2))^0.5),(((CV61^2)+((CU$44-CS60)^2))^0.5)),IF((CS61&lt;CU$44),(((CV61^2)+((CU$44-CS61)^2))^0.5),0))),0),0))</f>
        <v>0</v>
      </c>
      <c s="588" r="CY61">
        <f>IF(ISNUMBER((CS61*CS60)),IF((CS60&gt;=CE$148),IF((CS61&lt;CE$148),1,0),IF((CS61&gt;=CE$148),IF((CS60&lt;CE$148),1,0),0)),0)</f>
        <v>0</v>
      </c>
      <c s="588" r="CZ61">
        <f>IF(ISNA((CS61*CS60)),0,(IF((CR61&lt;CR60),-1,1)*(IF(ISNA(CS61),0,IF((CS60&lt;CE$148),IF((CS61&lt;CE$148),(((CR61-CR60)^2)^0.5),(((((CE$148-CS60)*(CR61-CR60))/(CS61-CS60))^2)^0.5)),IF((CS61&lt;CE$148),(((((CE$148-CS61)*(CR61-CR60))/(CS60-CS61))^2)^0.5),0))))))</f>
        <v>0</v>
      </c>
      <c s="441" r="DA61">
        <f>IF((CW61&gt;0),(MAX(DA$47:DA60)+1),0)</f>
        <v>0</v>
      </c>
      <c s="388" r="DB61"/>
      <c s="406" r="DC61"/>
      <c s="789" r="DD61"/>
      <c s="789" r="DE61"/>
      <c s="301" r="DF61"/>
      <c s="789" r="DG61"/>
      <c s="418" r="DH61"/>
      <c s="550" r="DI61"/>
      <c s="550" r="DJ61"/>
      <c t="str" s="620" r="DK61">
        <f>IF((COUNT(DJ61:DJ$146,DL61:DL$146)=0),NA(),IF(ISBLANK(DJ61),DK60,(DK60+(DJ61-DL60))))</f>
        <v>#N/A:explicit</v>
      </c>
      <c s="550" r="DL61"/>
      <c t="str" s="620" r="DM61">
        <f>IF(OR(ISBLANK(DL61),ISNUMBER(DJ62)),NA(),(DK61-DL61))</f>
        <v>#N/A:explicit</v>
      </c>
      <c t="b" s="895" r="DN61">
        <v>0</v>
      </c>
      <c s="631" r="DO61"/>
      <c t="str" s="309" r="DP61">
        <f>IF((COUNT(DI61:DI$146)=0),NA(),IF(ISBLANK(DI61),IF(ISBLANK(DI60),MAX(DI$46:DI61),DI60),DI61))</f>
        <v>#N/A:explicit</v>
      </c>
      <c t="str" s="861" r="DQ61">
        <f>IF(ISNA(DM61),IF(ISNUMBER(DP61),DQ60,NA()),DM61)</f>
        <v>#N/A:explicit</v>
      </c>
      <c s="861" r="DR61">
        <f>IF(ISNUMBER(DQ61),DQ61,(DK$46+1000))</f>
        <v>1000</v>
      </c>
      <c t="str" s="588" r="DS61">
        <f>IF((DN61=TRUE),NA(),IF((DS$44=(DK$46-MAX(DL$46:DL$146))),NA(),DS$44))</f>
        <v>#N/A:explicit</v>
      </c>
      <c s="588" r="DT61">
        <f>IF((ISNA(((DQ61*DP61)*DQ60))),0,(IF((DP61&lt;DP60),-1,1)*(IF((DN60=FALSE),IF((DN61=FALSE),IF(ISNA(DQ61),0,IF((DQ60&lt;DS$44),IF((DQ61&lt;DS$44),(((DP61-DP60)^2)^0.5),(((((DS$44-DQ60)*(DP61-DP60))/(DQ61-DQ60))^2)^0.5)),IF((DQ61&lt;DS$44),(((((DS$44-DQ61)*(DP61-DP60))/(DQ60-DQ61))^2)^0.5),0))),0),0))))</f>
        <v>0</v>
      </c>
      <c s="588" r="DU61">
        <f>IF(ISNA((DQ61*DQ60)),0,IF((DN60=FALSE),IF((DN61=FALSE),IF(ISNA(DM61),0,IF((DQ60&lt;DS$44),IF((DQ61&lt;DS$44),((DS$44-((DQ60+DQ61)*0.5))*DT61),(((DS$44-DQ60)*0.5)*DT61)),IF((DQ61&lt;DS$44),(((DS$44-DQ61)*0.5)*DT61),0))),0),0))</f>
        <v>0</v>
      </c>
      <c s="588" r="DV61">
        <f>IF(ISNA((DQ61*DQ60)),0,IF((DN60=FALSE),IF((DN61=FALSE),IF(ISNA(DQ61),0,IF((DQ60&lt;DS$44),IF((DQ61&lt;DS$44),(((DT61^2)+((DQ61-DQ60)^2))^0.5),(((DT61^2)+((DS$44-DQ60)^2))^0.5)),IF((DQ61&lt;DS$44),(((DT61^2)+((DS$44-DQ61)^2))^0.5),0))),0),0))</f>
        <v>0</v>
      </c>
      <c s="588" r="DW61">
        <f>IF(ISNUMBER((DQ61*DQ60)),IF((DQ60&gt;=DC$148),IF((DQ61&lt;DC$148),1,0),IF((DQ61&gt;=DC$148),IF((DQ60&lt;DC$148),1,0),0)),0)</f>
        <v>0</v>
      </c>
      <c s="588" r="DX61">
        <f>IF(ISNA((DQ61*DQ60)),0,(IF((DP61&lt;DP60),-1,1)*(IF(ISNA(DQ61),0,IF((DQ60&lt;DC$148),IF((DQ61&lt;DC$148),(((DP61-DP60)^2)^0.5),(((((DC$148-DQ60)*(DP61-DP60))/(DQ61-DQ60))^2)^0.5)),IF((DQ61&lt;DC$148),(((((DC$148-DQ61)*(DP61-DP60))/(DQ60-DQ61))^2)^0.5),0))))))</f>
        <v>0</v>
      </c>
      <c s="441" r="DY61">
        <f>IF((DU61&gt;0),(MAX(DY$47:DY60)+1),0)</f>
        <v>0</v>
      </c>
      <c s="388" r="DZ61"/>
      <c s="406" r="EA61"/>
      <c s="789" r="EB61"/>
      <c s="789" r="EC61"/>
      <c s="301" r="ED61"/>
      <c s="789" r="EE61"/>
      <c s="418" r="EF61"/>
      <c s="550" r="EG61"/>
      <c s="550" r="EH61"/>
      <c t="str" s="620" r="EI61">
        <f>IF((COUNT(EH61:EH$146,EJ61:EJ$146)=0),NA(),IF(ISBLANK(EH61),EI60,(EI60+(EH61-EJ60))))</f>
        <v>#N/A:explicit</v>
      </c>
      <c s="550" r="EJ61"/>
      <c t="str" s="620" r="EK61">
        <f>IF(OR(ISBLANK(EJ61),ISNUMBER(EH62)),NA(),(EI61-EJ61))</f>
        <v>#N/A:explicit</v>
      </c>
      <c t="b" s="895" r="EL61">
        <v>0</v>
      </c>
      <c s="631" r="EM61"/>
      <c t="str" s="309" r="EN61">
        <f>IF((COUNT(EG61:EG$146)=0),NA(),IF(ISBLANK(EG61),IF(ISBLANK(EG60),MAX(EG$46:EG61),EG60),EG61))</f>
        <v>#N/A:explicit</v>
      </c>
      <c t="str" s="861" r="EO61">
        <f>IF(ISNA(EK61),IF(ISNUMBER(EN61),EO60,NA()),EK61)</f>
        <v>#N/A:explicit</v>
      </c>
      <c s="861" r="EP61">
        <f>IF(ISNUMBER(EO61),EO61,(EI$46+1000))</f>
        <v>1000</v>
      </c>
      <c t="str" s="588" r="EQ61">
        <f>IF((EL61=TRUE),NA(),IF((EQ$44=(EI$46-MAX(EJ$46:EJ$146))),NA(),EQ$44))</f>
        <v>#N/A:explicit</v>
      </c>
      <c s="588" r="ER61">
        <f>IF((ISNA(((EO61*EN61)*EO60))),0,(IF((EN61&lt;EN60),-1,1)*(IF((EL60=FALSE),IF((EL61=FALSE),IF(ISNA(EO61),0,IF((EO60&lt;EQ$44),IF((EO61&lt;EQ$44),(((EN61-EN60)^2)^0.5),(((((EQ$44-EO60)*(EN61-EN60))/(EO61-EO60))^2)^0.5)),IF((EO61&lt;EQ$44),(((((EQ$44-EO61)*(EN61-EN60))/(EO60-EO61))^2)^0.5),0))),0),0))))</f>
        <v>0</v>
      </c>
      <c s="588" r="ES61">
        <f>IF(ISNA((EO61*EO60)),0,IF((EL60=FALSE),IF((EL61=FALSE),IF(ISNA(EK61),0,IF((EO60&lt;EQ$44),IF((EO61&lt;EQ$44),((EQ$44-((EO60+EO61)*0.5))*ER61),(((EQ$44-EO60)*0.5)*ER61)),IF((EO61&lt;EQ$44),(((EQ$44-EO61)*0.5)*ER61),0))),0),0))</f>
        <v>0</v>
      </c>
      <c s="588" r="ET61">
        <f>IF(ISNA((EO61*EO60)),0,IF((EL60=FALSE),IF((EL61=FALSE),IF(ISNA(EO61),0,IF((EO60&lt;EQ$44),IF((EO61&lt;EQ$44),(((ER61^2)+((EO61-EO60)^2))^0.5),(((ER61^2)+((EQ$44-EO60)^2))^0.5)),IF((EO61&lt;EQ$44),(((ER61^2)+((EQ$44-EO61)^2))^0.5),0))),0),0))</f>
        <v>0</v>
      </c>
      <c s="588" r="EU61">
        <f>IF(ISNUMBER((EO61*EO60)),IF((EO60&gt;=EA$148),IF((EO61&lt;EA$148),1,0),IF((EO61&gt;=EA$148),IF((EO60&lt;EA$148),1,0),0)),0)</f>
        <v>0</v>
      </c>
      <c s="588" r="EV61">
        <f>IF(ISNA((EO61*EO60)),0,(IF((EN61&lt;EN60),-1,1)*(IF(ISNA(EO61),0,IF((EO60&lt;EA$148),IF((EO61&lt;EA$148),(((EN61-EN60)^2)^0.5),(((((EA$148-EO60)*(EN61-EN60))/(EO61-EO60))^2)^0.5)),IF((EO61&lt;EA$148),(((((EA$148-EO61)*(EN61-EN60))/(EO60-EO61))^2)^0.5),0))))))</f>
        <v>0</v>
      </c>
      <c s="441" r="EW61">
        <f>IF((ES61&gt;0),(MAX(EW$47:EW60)+1),0)</f>
        <v>0</v>
      </c>
      <c s="388" r="EX61"/>
      <c s="406" r="EY61"/>
      <c s="789" r="EZ61"/>
      <c s="789" r="FA61"/>
      <c s="301" r="FB61"/>
      <c s="789" r="FC61"/>
      <c s="418" r="FD61"/>
      <c s="550" r="FE61"/>
      <c s="550" r="FF61"/>
      <c t="str" s="620" r="FG61">
        <f>IF((COUNT(FF61:FF$146,FH61:FH$146)=0),NA(),IF(ISBLANK(FF61),FG60,(FG60+(FF61-FH60))))</f>
        <v>#N/A:explicit</v>
      </c>
      <c s="550" r="FH61"/>
      <c t="str" s="620" r="FI61">
        <f>IF(OR(ISBLANK(FH61),ISNUMBER(FF62)),NA(),(FG61-FH61))</f>
        <v>#N/A:explicit</v>
      </c>
      <c t="b" s="895" r="FJ61">
        <v>0</v>
      </c>
      <c s="631" r="FK61"/>
      <c t="str" s="309" r="FL61">
        <f>IF((COUNT(FE61:FE$146)=0),NA(),IF(ISBLANK(FE61),IF(ISBLANK(FE60),MAX(FE$46:FE61),FE60),FE61))</f>
        <v>#N/A:explicit</v>
      </c>
      <c t="str" s="861" r="FM61">
        <f>IF(ISNA(FI61),IF(ISNUMBER(FL61),FM60,NA()),FI61)</f>
        <v>#N/A:explicit</v>
      </c>
      <c s="861" r="FN61">
        <f>IF(ISNUMBER(FM61),FM61,(FG$46+1000))</f>
        <v>1000</v>
      </c>
      <c t="str" s="588" r="FO61">
        <f>IF((FJ61=TRUE),NA(),IF((FO$44=(FG$46-MAX(FH$46:FH$146))),NA(),FO$44))</f>
        <v>#N/A:explicit</v>
      </c>
      <c s="588" r="FP61">
        <f>IF((ISNA(((FM61*FL61)*FM60))),0,(IF((FL61&lt;FL60),-1,1)*(IF((FJ60=FALSE),IF((FJ61=FALSE),IF(ISNA(FM61),0,IF((FM60&lt;FO$44),IF((FM61&lt;FO$44),(((FL61-FL60)^2)^0.5),(((((FO$44-FM60)*(FL61-FL60))/(FM61-FM60))^2)^0.5)),IF((FM61&lt;FO$44),(((((FO$44-FM61)*(FL61-FL60))/(FM60-FM61))^2)^0.5),0))),0),0))))</f>
        <v>0</v>
      </c>
      <c s="588" r="FQ61">
        <f>IF(ISNA((FM61*FM60)),0,IF((FJ60=FALSE),IF((FJ61=FALSE),IF(ISNA(FI61),0,IF((FM60&lt;FO$44),IF((FM61&lt;FO$44),((FO$44-((FM60+FM61)*0.5))*FP61),(((FO$44-FM60)*0.5)*FP61)),IF((FM61&lt;FO$44),(((FO$44-FM61)*0.5)*FP61),0))),0),0))</f>
        <v>0</v>
      </c>
      <c s="588" r="FR61">
        <f>IF(ISNA((FM61*FM60)),0,IF((FJ60=FALSE),IF((FJ61=FALSE),IF(ISNA(FM61),0,IF((FM60&lt;FO$44),IF((FM61&lt;FO$44),(((FP61^2)+((FM61-FM60)^2))^0.5),(((FP61^2)+((FO$44-FM60)^2))^0.5)),IF((FM61&lt;FO$44),(((FP61^2)+((FO$44-FM61)^2))^0.5),0))),0),0))</f>
        <v>0</v>
      </c>
      <c s="588" r="FS61">
        <f>IF(ISNUMBER((FM61*FM60)),IF((FM60&gt;=EY$148),IF((FM61&lt;EY$148),1,0),IF((FM61&gt;=EY$148),IF((FM60&lt;EY$148),1,0),0)),0)</f>
        <v>0</v>
      </c>
      <c s="588" r="FT61">
        <f>IF(ISNA((FM61*FM60)),0,(IF((FL61&lt;FL60),-1,1)*(IF(ISNA(FM61),0,IF((FM60&lt;EY$148),IF((FM61&lt;EY$148),(((FL61-FL60)^2)^0.5),(((((EY$148-FM60)*(FL61-FL60))/(FM61-FM60))^2)^0.5)),IF((FM61&lt;EY$148),(((((EY$148-FM61)*(FL61-FL60))/(FM60-FM61))^2)^0.5),0))))))</f>
        <v>0</v>
      </c>
      <c s="441" r="FU61">
        <f>IF((FQ61&gt;0),(MAX(FU$47:FU60)+1),0)</f>
        <v>0</v>
      </c>
      <c s="222" r="FV61"/>
      <c s="125" r="FW61"/>
      <c s="125" r="FX61"/>
      <c s="125" r="FY61"/>
      <c s="125" r="FZ61"/>
      <c s="125" r="GA61"/>
      <c s="125" r="GB61"/>
      <c s="125" r="GC61"/>
      <c s="125" r="GD61"/>
      <c s="125" r="GE61"/>
      <c s="125" r="GF61"/>
      <c s="125" r="GG61"/>
      <c s="125" r="GH61"/>
      <c s="125" r="GI61"/>
      <c s="125" r="GJ61"/>
      <c s="125" r="GK61"/>
      <c s="125" r="GL61"/>
      <c s="125" r="GM61"/>
      <c s="125" r="GN61"/>
      <c s="125" r="GO61"/>
      <c s="125" r="GP61"/>
      <c s="125" r="GQ61"/>
      <c s="125" r="GR61"/>
      <c s="125" r="GS61"/>
      <c s="125" r="GT61"/>
      <c s="125" r="GU61"/>
      <c s="125" r="GV61"/>
      <c s="125" r="GW61"/>
      <c s="125" r="GX61"/>
      <c s="125" r="GY61"/>
      <c s="125" r="GZ61"/>
      <c s="125" r="HA61"/>
      <c s="125" r="HB61"/>
    </row>
    <row customHeight="1" r="62" ht="13.5">
      <c s="822" r="A62"/>
      <c s="406" r="B62"/>
      <c s="886" r="C62"/>
      <c s="886" r="D62"/>
      <c s="566" r="E62"/>
      <c s="886" r="F62"/>
      <c s="566" r="G62"/>
      <c s="566" r="H62"/>
      <c s="418" r="I62"/>
      <c s="702" r="J62"/>
      <c s="406" r="K62"/>
      <c t="s" s="729" r="L62">
        <v>595</v>
      </c>
      <c s="566" r="M62"/>
      <c s="566" r="N62"/>
      <c s="321" r="O62"/>
      <c s="418" r="P62"/>
      <c s="550" r="Q62"/>
      <c s="550" r="R62"/>
      <c t="str" s="620" r="S62">
        <f>IF((COUNT(R62:R$146,T62:T$146)=0),NA(),IF(ISBLANK(R62),S61,(S61+(R62-T61))))</f>
        <v>#N/A:explicit</v>
      </c>
      <c s="550" r="T62"/>
      <c t="str" s="620" r="U62">
        <f>IF(OR(ISBLANK(T62),ISNUMBER(R63)),NA(),(S62-T62))</f>
        <v>#N/A:explicit</v>
      </c>
      <c t="b" s="895" r="V62">
        <v>0</v>
      </c>
      <c s="631" r="W62"/>
      <c t="str" s="309" r="X62">
        <f>IF((COUNT(Q62:Q$146)=0),NA(),IF(ISBLANK(Q62),IF(ISBLANK(Q61),MAX(Q$46:Q62),Q61),Q62))</f>
        <v>#N/A:explicit</v>
      </c>
      <c t="str" s="861" r="Y62">
        <f>IF(ISNA(U62),IF(ISNUMBER(X62),Y61,NA()),U62)</f>
        <v>#N/A:explicit</v>
      </c>
      <c s="861" r="Z62">
        <f>IF(ISNUMBER(Y62),Y62,(S$46+1000))</f>
        <v>1000</v>
      </c>
      <c t="str" s="588" r="AA62">
        <f>IF((V62=TRUE),NA(),IF((AA$44=(S$46-MAX(T$46:T$146))),NA(),AA$44))</f>
        <v>#N/A:explicit</v>
      </c>
      <c s="588" r="AB62">
        <f>IF((ISNA(((Y62*X62)*Y61))),0,(IF((X62&lt;X61),-1,1)*(IF((V61=FALSE),IF((V62=FALSE),IF(ISNA(Y62),0,IF((Y61&lt;AA$44),IF((Y62&lt;AA$44),(((X62-X61)^2)^0.5),(((((AA$44-Y61)*(X62-X61))/(Y62-Y61))^2)^0.5)),IF((Y62&lt;AA$44),(((((AA$44-Y62)*(X62-X61))/(Y61-Y62))^2)^0.5),0))),0),0))))</f>
        <v>0</v>
      </c>
      <c s="588" r="AC62">
        <f>IF(ISNA((Y62*Y61)),0,IF((V61=FALSE),IF((V62=FALSE),IF(ISNA(U62),0,IF((Y61&lt;AA$44),IF((Y62&lt;AA$44),((AA$44-((Y61+Y62)*0.5))*AB62),(((AA$44-Y61)*0.5)*AB62)),IF((Y62&lt;AA$44),(((AA$44-Y62)*0.5)*AB62),0))),0),0))</f>
        <v>0</v>
      </c>
      <c s="588" r="AD62">
        <f>IF(ISNA((Y62*Y61)),0,IF((V61=FALSE),IF((V62=FALSE),IF(ISNA(Y62),0,IF((Y61&lt;AA$44),IF((Y62&lt;AA$44),(((AB62^2)+((Y62-Y61)^2))^0.5),(((AB62^2)+((AA$44-Y61)^2))^0.5)),IF((Y62&lt;AA$44),(((AB62^2)+((AA$44-Y62)^2))^0.5),0))),0),0))</f>
        <v>0</v>
      </c>
      <c s="588" r="AE62">
        <f>IF(ISNUMBER((Y62*Y61)),IF((Y61&gt;=K$148),IF((Y62&lt;K$148),1,0),IF((Y62&gt;=K$148),IF((Y61&lt;K$148),1,0),0)),0)</f>
        <v>0</v>
      </c>
      <c s="588" r="AF62">
        <f>IF(ISNA((Y62*Y61)),0,(IF((X62&lt;X61),-1,1)*(IF(ISNA(Y62),0,IF((Y61&lt;K$148),IF((Y62&lt;K$148),(((X62-X61)^2)^0.5),(((((K$148-Y61)*(X62-X61))/(Y62-Y61))^2)^0.5)),IF((Y62&lt;K$148),(((((K$148-Y62)*(X62-X61))/(Y61-Y62))^2)^0.5),0))))))</f>
        <v>0</v>
      </c>
      <c s="441" r="AG62">
        <f>IF((AC62&gt;0),(MAX(AG$47:AG61)+1),0)</f>
        <v>0</v>
      </c>
      <c s="388" r="AH62"/>
      <c s="406" r="AI62"/>
      <c t="s" s="729" r="AJ62">
        <v>595</v>
      </c>
      <c s="566" r="AK62"/>
      <c s="566" r="AL62"/>
      <c s="321" r="AM62"/>
      <c s="418" r="AN62"/>
      <c s="550" r="AO62"/>
      <c s="550" r="AP62"/>
      <c t="str" s="620" r="AQ62">
        <f>IF((COUNT(AP62:AP$146,AR62:AR$146)=0),NA(),IF(ISBLANK(AP62),AQ61,(AQ61+(AP62-AR61))))</f>
        <v>#N/A:explicit</v>
      </c>
      <c s="550" r="AR62"/>
      <c t="str" s="620" r="AS62">
        <f>IF(OR(ISBLANK(AR62),ISNUMBER(AP63)),NA(),(AQ62-AR62))</f>
        <v>#N/A:explicit</v>
      </c>
      <c t="b" s="895" r="AT62">
        <v>0</v>
      </c>
      <c s="631" r="AU62"/>
      <c t="str" s="309" r="AV62">
        <f>IF((COUNT(AO62:AO$146)=0),NA(),IF(ISBLANK(AO62),IF(ISBLANK(AO61),MAX(AO$46:AO62),AO61),AO62))</f>
        <v>#N/A:explicit</v>
      </c>
      <c t="str" s="861" r="AW62">
        <f>IF(ISNA(AS62),IF(ISNUMBER(AV62),AW61,NA()),AS62)</f>
        <v>#N/A:explicit</v>
      </c>
      <c s="861" r="AX62">
        <f>IF(ISNUMBER(AW62),AW62,(AQ$46+1000))</f>
        <v>1000</v>
      </c>
      <c t="str" s="588" r="AY62">
        <f>IF((AT62=TRUE),NA(),IF((AY$44=(AQ$46-MAX(AR$46:AR$146))),NA(),AY$44))</f>
        <v>#N/A:explicit</v>
      </c>
      <c s="588" r="AZ62">
        <f>IF((ISNA(((AW62*AV62)*AW61))),0,(IF((AV62&lt;AV61),-1,1)*(IF((AT61=FALSE),IF((AT62=FALSE),IF(ISNA(AW62),0,IF((AW61&lt;AY$44),IF((AW62&lt;AY$44),(((AV62-AV61)^2)^0.5),(((((AY$44-AW61)*(AV62-AV61))/(AW62-AW61))^2)^0.5)),IF((AW62&lt;AY$44),(((((AY$44-AW62)*(AV62-AV61))/(AW61-AW62))^2)^0.5),0))),0),0))))</f>
        <v>0</v>
      </c>
      <c s="588" r="BA62">
        <f>IF(ISNA((AW62*AW61)),0,IF((AT61=FALSE),IF((AT62=FALSE),IF(ISNA(AS62),0,IF((AW61&lt;AY$44),IF((AW62&lt;AY$44),((AY$44-((AW61+AW62)*0.5))*AZ62),(((AY$44-AW61)*0.5)*AZ62)),IF((AW62&lt;AY$44),(((AY$44-AW62)*0.5)*AZ62),0))),0),0))</f>
        <v>0</v>
      </c>
      <c s="588" r="BB62">
        <f>IF(ISNA((AW62*AW61)),0,IF((AT61=FALSE),IF((AT62=FALSE),IF(ISNA(AW62),0,IF((AW61&lt;AY$44),IF((AW62&lt;AY$44),(((AZ62^2)+((AW62-AW61)^2))^0.5),(((AZ62^2)+((AY$44-AW61)^2))^0.5)),IF((AW62&lt;AY$44),(((AZ62^2)+((AY$44-AW62)^2))^0.5),0))),0),0))</f>
        <v>0</v>
      </c>
      <c s="588" r="BC62">
        <f>IF(ISNUMBER((AW62*AW61)),IF((AW61&gt;=AI$148),IF((AW62&lt;AI$148),1,0),IF((AW62&gt;=AI$148),IF((AW61&lt;AI$148),1,0),0)),0)</f>
        <v>0</v>
      </c>
      <c s="588" r="BD62">
        <f>IF(ISNA((AW62*AW61)),0,(IF((AV62&lt;AV61),-1,1)*(IF(ISNA(AW62),0,IF((AW61&lt;AI$148),IF((AW62&lt;AI$148),(((AV62-AV61)^2)^0.5),(((((AI$148-AW61)*(AV62-AV61))/(AW62-AW61))^2)^0.5)),IF((AW62&lt;AI$148),(((((AI$148-AW62)*(AV62-AV61))/(AW61-AW62))^2)^0.5),0))))))</f>
        <v>0</v>
      </c>
      <c s="441" r="BE62">
        <f>IF((BA62&gt;0),(MAX(BE$47:BE61)+1),0)</f>
        <v>0</v>
      </c>
      <c s="388" r="BF62"/>
      <c s="406" r="BG62"/>
      <c t="s" s="729" r="BH62">
        <v>595</v>
      </c>
      <c s="566" r="BI62"/>
      <c s="566" r="BJ62"/>
      <c s="321" r="BK62"/>
      <c s="418" r="BL62"/>
      <c s="550" r="BM62"/>
      <c s="550" r="BN62"/>
      <c t="str" s="620" r="BO62">
        <f>IF((COUNT(BN62:BN$146,BP62:BP$146)=0),NA(),IF(ISBLANK(BN62),BO61,(BO61+(BN62-BP61))))</f>
        <v>#N/A:explicit</v>
      </c>
      <c s="550" r="BP62"/>
      <c t="str" s="620" r="BQ62">
        <f>IF(OR(ISBLANK(BP62),ISNUMBER(BN63)),NA(),(BO62-BP62))</f>
        <v>#N/A:explicit</v>
      </c>
      <c t="b" s="895" r="BR62">
        <v>0</v>
      </c>
      <c s="631" r="BS62"/>
      <c t="str" s="309" r="BT62">
        <f>IF((COUNT(BM62:BM$146)=0),NA(),IF(ISBLANK(BM62),IF(ISBLANK(BM61),MAX(BM$46:BM62),BM61),BM62))</f>
        <v>#N/A:explicit</v>
      </c>
      <c t="str" s="861" r="BU62">
        <f>IF(ISNA(BQ62),IF(ISNUMBER(BT62),BU61,NA()),BQ62)</f>
        <v>#N/A:explicit</v>
      </c>
      <c s="861" r="BV62">
        <f>IF(ISNUMBER(BU62),BU62,(BO$46+1000))</f>
        <v>1000</v>
      </c>
      <c t="str" s="588" r="BW62">
        <f>IF((BR62=TRUE),NA(),IF((BW$44=(BO$46-MAX(BP$46:BP$146))),NA(),BW$44))</f>
        <v>#N/A:explicit</v>
      </c>
      <c s="588" r="BX62">
        <f>IF((ISNA(((BU62*BT62)*BU61))),0,(IF((BT62&lt;BT61),-1,1)*(IF((BR61=FALSE),IF((BR62=FALSE),IF(ISNA(BU62),0,IF((BU61&lt;BW$44),IF((BU62&lt;BW$44),(((BT62-BT61)^2)^0.5),(((((BW$44-BU61)*(BT62-BT61))/(BU62-BU61))^2)^0.5)),IF((BU62&lt;BW$44),(((((BW$44-BU62)*(BT62-BT61))/(BU61-BU62))^2)^0.5),0))),0),0))))</f>
        <v>0</v>
      </c>
      <c s="588" r="BY62">
        <f>IF(ISNA((BU62*BU61)),0,IF((BR61=FALSE),IF((BR62=FALSE),IF(ISNA(BQ62),0,IF((BU61&lt;BW$44),IF((BU62&lt;BW$44),((BW$44-((BU61+BU62)*0.5))*BX62),(((BW$44-BU61)*0.5)*BX62)),IF((BU62&lt;BW$44),(((BW$44-BU62)*0.5)*BX62),0))),0),0))</f>
        <v>0</v>
      </c>
      <c s="588" r="BZ62">
        <f>IF(ISNA((BU62*BU61)),0,IF((BR61=FALSE),IF((BR62=FALSE),IF(ISNA(BU62),0,IF((BU61&lt;BW$44),IF((BU62&lt;BW$44),(((BX62^2)+((BU62-BU61)^2))^0.5),(((BX62^2)+((BW$44-BU61)^2))^0.5)),IF((BU62&lt;BW$44),(((BX62^2)+((BW$44-BU62)^2))^0.5),0))),0),0))</f>
        <v>0</v>
      </c>
      <c s="588" r="CA62">
        <f>IF(ISNUMBER((BU62*BU61)),IF((BU61&gt;=BG$148),IF((BU62&lt;BG$148),1,0),IF((BU62&gt;=BG$148),IF((BU61&lt;BG$148),1,0),0)),0)</f>
        <v>0</v>
      </c>
      <c s="588" r="CB62">
        <f>IF(ISNA((BU62*BU61)),0,(IF((BT62&lt;BT61),-1,1)*(IF(ISNA(BU62),0,IF((BU61&lt;BG$148),IF((BU62&lt;BG$148),(((BT62-BT61)^2)^0.5),(((((BG$148-BU61)*(BT62-BT61))/(BU62-BU61))^2)^0.5)),IF((BU62&lt;BG$148),(((((BG$148-BU62)*(BT62-BT61))/(BU61-BU62))^2)^0.5),0))))))</f>
        <v>0</v>
      </c>
      <c s="441" r="CC62">
        <f>IF((BY62&gt;0),(MAX(CC$47:CC61)+1),0)</f>
        <v>0</v>
      </c>
      <c s="388" r="CD62"/>
      <c s="406" r="CE62"/>
      <c t="s" s="729" r="CF62">
        <v>595</v>
      </c>
      <c s="566" r="CG62"/>
      <c s="566" r="CH62"/>
      <c s="321" r="CI62"/>
      <c s="418" r="CJ62"/>
      <c s="550" r="CK62"/>
      <c s="550" r="CL62"/>
      <c t="str" s="620" r="CM62">
        <f>IF((COUNT(CL62:CL$146,CN62:CN$146)=0),NA(),IF(ISBLANK(CL62),CM61,(CM61+(CL62-CN61))))</f>
        <v>#N/A:explicit</v>
      </c>
      <c s="550" r="CN62"/>
      <c t="str" s="620" r="CO62">
        <f>IF(OR(ISBLANK(CN62),ISNUMBER(CL63)),NA(),(CM62-CN62))</f>
        <v>#N/A:explicit</v>
      </c>
      <c t="b" s="895" r="CP62">
        <v>0</v>
      </c>
      <c s="631" r="CQ62"/>
      <c t="str" s="309" r="CR62">
        <f>IF((COUNT(CK62:CK$146)=0),NA(),IF(ISBLANK(CK62),IF(ISBLANK(CK61),MAX(CK$46:CK62),CK61),CK62))</f>
        <v>#N/A:explicit</v>
      </c>
      <c t="str" s="861" r="CS62">
        <f>IF(ISNA(CO62),IF(ISNUMBER(CR62),CS61,NA()),CO62)</f>
        <v>#N/A:explicit</v>
      </c>
      <c s="861" r="CT62">
        <f>IF(ISNUMBER(CS62),CS62,(CM$46+1000))</f>
        <v>1000</v>
      </c>
      <c t="str" s="588" r="CU62">
        <f>IF((CP62=TRUE),NA(),IF((CU$44=(CM$46-MAX(CN$46:CN$146))),NA(),CU$44))</f>
        <v>#N/A:explicit</v>
      </c>
      <c s="588" r="CV62">
        <f>IF((ISNA(((CS62*CR62)*CS61))),0,(IF((CR62&lt;CR61),-1,1)*(IF((CP61=FALSE),IF((CP62=FALSE),IF(ISNA(CS62),0,IF((CS61&lt;CU$44),IF((CS62&lt;CU$44),(((CR62-CR61)^2)^0.5),(((((CU$44-CS61)*(CR62-CR61))/(CS62-CS61))^2)^0.5)),IF((CS62&lt;CU$44),(((((CU$44-CS62)*(CR62-CR61))/(CS61-CS62))^2)^0.5),0))),0),0))))</f>
        <v>0</v>
      </c>
      <c s="588" r="CW62">
        <f>IF(ISNA((CS62*CS61)),0,IF((CP61=FALSE),IF((CP62=FALSE),IF(ISNA(CO62),0,IF((CS61&lt;CU$44),IF((CS62&lt;CU$44),((CU$44-((CS61+CS62)*0.5))*CV62),(((CU$44-CS61)*0.5)*CV62)),IF((CS62&lt;CU$44),(((CU$44-CS62)*0.5)*CV62),0))),0),0))</f>
        <v>0</v>
      </c>
      <c s="588" r="CX62">
        <f>IF(ISNA((CS62*CS61)),0,IF((CP61=FALSE),IF((CP62=FALSE),IF(ISNA(CS62),0,IF((CS61&lt;CU$44),IF((CS62&lt;CU$44),(((CV62^2)+((CS62-CS61)^2))^0.5),(((CV62^2)+((CU$44-CS61)^2))^0.5)),IF((CS62&lt;CU$44),(((CV62^2)+((CU$44-CS62)^2))^0.5),0))),0),0))</f>
        <v>0</v>
      </c>
      <c s="588" r="CY62">
        <f>IF(ISNUMBER((CS62*CS61)),IF((CS61&gt;=CE$148),IF((CS62&lt;CE$148),1,0),IF((CS62&gt;=CE$148),IF((CS61&lt;CE$148),1,0),0)),0)</f>
        <v>0</v>
      </c>
      <c s="588" r="CZ62">
        <f>IF(ISNA((CS62*CS61)),0,(IF((CR62&lt;CR61),-1,1)*(IF(ISNA(CS62),0,IF((CS61&lt;CE$148),IF((CS62&lt;CE$148),(((CR62-CR61)^2)^0.5),(((((CE$148-CS61)*(CR62-CR61))/(CS62-CS61))^2)^0.5)),IF((CS62&lt;CE$148),(((((CE$148-CS62)*(CR62-CR61))/(CS61-CS62))^2)^0.5),0))))))</f>
        <v>0</v>
      </c>
      <c s="441" r="DA62">
        <f>IF((CW62&gt;0),(MAX(DA$47:DA61)+1),0)</f>
        <v>0</v>
      </c>
      <c s="388" r="DB62"/>
      <c s="406" r="DC62"/>
      <c t="s" s="729" r="DD62">
        <v>595</v>
      </c>
      <c s="566" r="DE62"/>
      <c s="566" r="DF62"/>
      <c s="321" r="DG62"/>
      <c s="418" r="DH62"/>
      <c s="550" r="DI62"/>
      <c s="550" r="DJ62"/>
      <c t="str" s="620" r="DK62">
        <f>IF((COUNT(DJ62:DJ$146,DL62:DL$146)=0),NA(),IF(ISBLANK(DJ62),DK61,(DK61+(DJ62-DL61))))</f>
        <v>#N/A:explicit</v>
      </c>
      <c s="550" r="DL62"/>
      <c t="str" s="620" r="DM62">
        <f>IF(OR(ISBLANK(DL62),ISNUMBER(DJ63)),NA(),(DK62-DL62))</f>
        <v>#N/A:explicit</v>
      </c>
      <c t="b" s="895" r="DN62">
        <v>0</v>
      </c>
      <c s="631" r="DO62"/>
      <c t="str" s="309" r="DP62">
        <f>IF((COUNT(DI62:DI$146)=0),NA(),IF(ISBLANK(DI62),IF(ISBLANK(DI61),MAX(DI$46:DI62),DI61),DI62))</f>
        <v>#N/A:explicit</v>
      </c>
      <c t="str" s="861" r="DQ62">
        <f>IF(ISNA(DM62),IF(ISNUMBER(DP62),DQ61,NA()),DM62)</f>
        <v>#N/A:explicit</v>
      </c>
      <c s="861" r="DR62">
        <f>IF(ISNUMBER(DQ62),DQ62,(DK$46+1000))</f>
        <v>1000</v>
      </c>
      <c t="str" s="588" r="DS62">
        <f>IF((DN62=TRUE),NA(),IF((DS$44=(DK$46-MAX(DL$46:DL$146))),NA(),DS$44))</f>
        <v>#N/A:explicit</v>
      </c>
      <c s="588" r="DT62">
        <f>IF((ISNA(((DQ62*DP62)*DQ61))),0,(IF((DP62&lt;DP61),-1,1)*(IF((DN61=FALSE),IF((DN62=FALSE),IF(ISNA(DQ62),0,IF((DQ61&lt;DS$44),IF((DQ62&lt;DS$44),(((DP62-DP61)^2)^0.5),(((((DS$44-DQ61)*(DP62-DP61))/(DQ62-DQ61))^2)^0.5)),IF((DQ62&lt;DS$44),(((((DS$44-DQ62)*(DP62-DP61))/(DQ61-DQ62))^2)^0.5),0))),0),0))))</f>
        <v>0</v>
      </c>
      <c s="588" r="DU62">
        <f>IF(ISNA((DQ62*DQ61)),0,IF((DN61=FALSE),IF((DN62=FALSE),IF(ISNA(DM62),0,IF((DQ61&lt;DS$44),IF((DQ62&lt;DS$44),((DS$44-((DQ61+DQ62)*0.5))*DT62),(((DS$44-DQ61)*0.5)*DT62)),IF((DQ62&lt;DS$44),(((DS$44-DQ62)*0.5)*DT62),0))),0),0))</f>
        <v>0</v>
      </c>
      <c s="588" r="DV62">
        <f>IF(ISNA((DQ62*DQ61)),0,IF((DN61=FALSE),IF((DN62=FALSE),IF(ISNA(DQ62),0,IF((DQ61&lt;DS$44),IF((DQ62&lt;DS$44),(((DT62^2)+((DQ62-DQ61)^2))^0.5),(((DT62^2)+((DS$44-DQ61)^2))^0.5)),IF((DQ62&lt;DS$44),(((DT62^2)+((DS$44-DQ62)^2))^0.5),0))),0),0))</f>
        <v>0</v>
      </c>
      <c s="588" r="DW62">
        <f>IF(ISNUMBER((DQ62*DQ61)),IF((DQ61&gt;=DC$148),IF((DQ62&lt;DC$148),1,0),IF((DQ62&gt;=DC$148),IF((DQ61&lt;DC$148),1,0),0)),0)</f>
        <v>0</v>
      </c>
      <c s="588" r="DX62">
        <f>IF(ISNA((DQ62*DQ61)),0,(IF((DP62&lt;DP61),-1,1)*(IF(ISNA(DQ62),0,IF((DQ61&lt;DC$148),IF((DQ62&lt;DC$148),(((DP62-DP61)^2)^0.5),(((((DC$148-DQ61)*(DP62-DP61))/(DQ62-DQ61))^2)^0.5)),IF((DQ62&lt;DC$148),(((((DC$148-DQ62)*(DP62-DP61))/(DQ61-DQ62))^2)^0.5),0))))))</f>
        <v>0</v>
      </c>
      <c s="441" r="DY62">
        <f>IF((DU62&gt;0),(MAX(DY$47:DY61)+1),0)</f>
        <v>0</v>
      </c>
      <c s="388" r="DZ62"/>
      <c s="406" r="EA62"/>
      <c t="s" s="729" r="EB62">
        <v>595</v>
      </c>
      <c s="566" r="EC62"/>
      <c s="566" r="ED62"/>
      <c s="321" r="EE62"/>
      <c s="418" r="EF62"/>
      <c s="550" r="EG62"/>
      <c s="550" r="EH62"/>
      <c t="str" s="620" r="EI62">
        <f>IF((COUNT(EH62:EH$146,EJ62:EJ$146)=0),NA(),IF(ISBLANK(EH62),EI61,(EI61+(EH62-EJ61))))</f>
        <v>#N/A:explicit</v>
      </c>
      <c s="550" r="EJ62"/>
      <c t="str" s="620" r="EK62">
        <f>IF(OR(ISBLANK(EJ62),ISNUMBER(EH63)),NA(),(EI62-EJ62))</f>
        <v>#N/A:explicit</v>
      </c>
      <c t="b" s="895" r="EL62">
        <v>0</v>
      </c>
      <c s="631" r="EM62"/>
      <c t="str" s="309" r="EN62">
        <f>IF((COUNT(EG62:EG$146)=0),NA(),IF(ISBLANK(EG62),IF(ISBLANK(EG61),MAX(EG$46:EG62),EG61),EG62))</f>
        <v>#N/A:explicit</v>
      </c>
      <c t="str" s="861" r="EO62">
        <f>IF(ISNA(EK62),IF(ISNUMBER(EN62),EO61,NA()),EK62)</f>
        <v>#N/A:explicit</v>
      </c>
      <c s="861" r="EP62">
        <f>IF(ISNUMBER(EO62),EO62,(EI$46+1000))</f>
        <v>1000</v>
      </c>
      <c t="str" s="588" r="EQ62">
        <f>IF((EL62=TRUE),NA(),IF((EQ$44=(EI$46-MAX(EJ$46:EJ$146))),NA(),EQ$44))</f>
        <v>#N/A:explicit</v>
      </c>
      <c s="588" r="ER62">
        <f>IF((ISNA(((EO62*EN62)*EO61))),0,(IF((EN62&lt;EN61),-1,1)*(IF((EL61=FALSE),IF((EL62=FALSE),IF(ISNA(EO62),0,IF((EO61&lt;EQ$44),IF((EO62&lt;EQ$44),(((EN62-EN61)^2)^0.5),(((((EQ$44-EO61)*(EN62-EN61))/(EO62-EO61))^2)^0.5)),IF((EO62&lt;EQ$44),(((((EQ$44-EO62)*(EN62-EN61))/(EO61-EO62))^2)^0.5),0))),0),0))))</f>
        <v>0</v>
      </c>
      <c s="588" r="ES62">
        <f>IF(ISNA((EO62*EO61)),0,IF((EL61=FALSE),IF((EL62=FALSE),IF(ISNA(EK62),0,IF((EO61&lt;EQ$44),IF((EO62&lt;EQ$44),((EQ$44-((EO61+EO62)*0.5))*ER62),(((EQ$44-EO61)*0.5)*ER62)),IF((EO62&lt;EQ$44),(((EQ$44-EO62)*0.5)*ER62),0))),0),0))</f>
        <v>0</v>
      </c>
      <c s="588" r="ET62">
        <f>IF(ISNA((EO62*EO61)),0,IF((EL61=FALSE),IF((EL62=FALSE),IF(ISNA(EO62),0,IF((EO61&lt;EQ$44),IF((EO62&lt;EQ$44),(((ER62^2)+((EO62-EO61)^2))^0.5),(((ER62^2)+((EQ$44-EO61)^2))^0.5)),IF((EO62&lt;EQ$44),(((ER62^2)+((EQ$44-EO62)^2))^0.5),0))),0),0))</f>
        <v>0</v>
      </c>
      <c s="588" r="EU62">
        <f>IF(ISNUMBER((EO62*EO61)),IF((EO61&gt;=EA$148),IF((EO62&lt;EA$148),1,0),IF((EO62&gt;=EA$148),IF((EO61&lt;EA$148),1,0),0)),0)</f>
        <v>0</v>
      </c>
      <c s="588" r="EV62">
        <f>IF(ISNA((EO62*EO61)),0,(IF((EN62&lt;EN61),-1,1)*(IF(ISNA(EO62),0,IF((EO61&lt;EA$148),IF((EO62&lt;EA$148),(((EN62-EN61)^2)^0.5),(((((EA$148-EO61)*(EN62-EN61))/(EO62-EO61))^2)^0.5)),IF((EO62&lt;EA$148),(((((EA$148-EO62)*(EN62-EN61))/(EO61-EO62))^2)^0.5),0))))))</f>
        <v>0</v>
      </c>
      <c s="441" r="EW62">
        <f>IF((ES62&gt;0),(MAX(EW$47:EW61)+1),0)</f>
        <v>0</v>
      </c>
      <c s="388" r="EX62"/>
      <c s="406" r="EY62"/>
      <c t="s" s="729" r="EZ62">
        <v>595</v>
      </c>
      <c s="566" r="FA62"/>
      <c s="566" r="FB62"/>
      <c s="321" r="FC62"/>
      <c s="418" r="FD62"/>
      <c s="550" r="FE62"/>
      <c s="550" r="FF62"/>
      <c t="str" s="620" r="FG62">
        <f>IF((COUNT(FF62:FF$146,FH62:FH$146)=0),NA(),IF(ISBLANK(FF62),FG61,(FG61+(FF62-FH61))))</f>
        <v>#N/A:explicit</v>
      </c>
      <c s="550" r="FH62"/>
      <c t="str" s="620" r="FI62">
        <f>IF(OR(ISBLANK(FH62),ISNUMBER(FF63)),NA(),(FG62-FH62))</f>
        <v>#N/A:explicit</v>
      </c>
      <c t="b" s="895" r="FJ62">
        <v>0</v>
      </c>
      <c s="631" r="FK62"/>
      <c t="str" s="309" r="FL62">
        <f>IF((COUNT(FE62:FE$146)=0),NA(),IF(ISBLANK(FE62),IF(ISBLANK(FE61),MAX(FE$46:FE62),FE61),FE62))</f>
        <v>#N/A:explicit</v>
      </c>
      <c t="str" s="861" r="FM62">
        <f>IF(ISNA(FI62),IF(ISNUMBER(FL62),FM61,NA()),FI62)</f>
        <v>#N/A:explicit</v>
      </c>
      <c s="861" r="FN62">
        <f>IF(ISNUMBER(FM62),FM62,(FG$46+1000))</f>
        <v>1000</v>
      </c>
      <c t="str" s="588" r="FO62">
        <f>IF((FJ62=TRUE),NA(),IF((FO$44=(FG$46-MAX(FH$46:FH$146))),NA(),FO$44))</f>
        <v>#N/A:explicit</v>
      </c>
      <c s="588" r="FP62">
        <f>IF((ISNA(((FM62*FL62)*FM61))),0,(IF((FL62&lt;FL61),-1,1)*(IF((FJ61=FALSE),IF((FJ62=FALSE),IF(ISNA(FM62),0,IF((FM61&lt;FO$44),IF((FM62&lt;FO$44),(((FL62-FL61)^2)^0.5),(((((FO$44-FM61)*(FL62-FL61))/(FM62-FM61))^2)^0.5)),IF((FM62&lt;FO$44),(((((FO$44-FM62)*(FL62-FL61))/(FM61-FM62))^2)^0.5),0))),0),0))))</f>
        <v>0</v>
      </c>
      <c s="588" r="FQ62">
        <f>IF(ISNA((FM62*FM61)),0,IF((FJ61=FALSE),IF((FJ62=FALSE),IF(ISNA(FI62),0,IF((FM61&lt;FO$44),IF((FM62&lt;FO$44),((FO$44-((FM61+FM62)*0.5))*FP62),(((FO$44-FM61)*0.5)*FP62)),IF((FM62&lt;FO$44),(((FO$44-FM62)*0.5)*FP62),0))),0),0))</f>
        <v>0</v>
      </c>
      <c s="588" r="FR62">
        <f>IF(ISNA((FM62*FM61)),0,IF((FJ61=FALSE),IF((FJ62=FALSE),IF(ISNA(FM62),0,IF((FM61&lt;FO$44),IF((FM62&lt;FO$44),(((FP62^2)+((FM62-FM61)^2))^0.5),(((FP62^2)+((FO$44-FM61)^2))^0.5)),IF((FM62&lt;FO$44),(((FP62^2)+((FO$44-FM62)^2))^0.5),0))),0),0))</f>
        <v>0</v>
      </c>
      <c s="588" r="FS62">
        <f>IF(ISNUMBER((FM62*FM61)),IF((FM61&gt;=EY$148),IF((FM62&lt;EY$148),1,0),IF((FM62&gt;=EY$148),IF((FM61&lt;EY$148),1,0),0)),0)</f>
        <v>0</v>
      </c>
      <c s="588" r="FT62">
        <f>IF(ISNA((FM62*FM61)),0,(IF((FL62&lt;FL61),-1,1)*(IF(ISNA(FM62),0,IF((FM61&lt;EY$148),IF((FM62&lt;EY$148),(((FL62-FL61)^2)^0.5),(((((EY$148-FM61)*(FL62-FL61))/(FM62-FM61))^2)^0.5)),IF((FM62&lt;EY$148),(((((EY$148-FM62)*(FL62-FL61))/(FM61-FM62))^2)^0.5),0))))))</f>
        <v>0</v>
      </c>
      <c s="441" r="FU62">
        <f>IF((FQ62&gt;0),(MAX(FU$47:FU61)+1),0)</f>
        <v>0</v>
      </c>
      <c s="222" r="FV62"/>
      <c s="125" r="FW62"/>
      <c s="125" r="FX62"/>
      <c s="125" r="FY62"/>
      <c s="125" r="FZ62"/>
      <c s="125" r="GA62"/>
      <c s="125" r="GB62"/>
      <c s="125" r="GC62"/>
      <c s="125" r="GD62"/>
      <c s="125" r="GE62"/>
      <c s="125" r="GF62"/>
      <c s="125" r="GG62"/>
      <c s="125" r="GH62"/>
      <c s="125" r="GI62"/>
      <c s="125" r="GJ62"/>
      <c s="125" r="GK62"/>
      <c s="125" r="GL62"/>
      <c s="125" r="GM62"/>
      <c s="125" r="GN62"/>
      <c s="125" r="GO62"/>
      <c s="125" r="GP62"/>
      <c s="125" r="GQ62"/>
      <c s="125" r="GR62"/>
      <c s="125" r="GS62"/>
      <c s="125" r="GT62"/>
      <c s="125" r="GU62"/>
      <c s="125" r="GV62"/>
      <c s="125" r="GW62"/>
      <c s="125" r="GX62"/>
      <c s="125" r="GY62"/>
      <c s="125" r="GZ62"/>
      <c s="125" r="HA62"/>
      <c s="125" r="HB62"/>
    </row>
    <row customHeight="1" r="63" ht="13.5">
      <c s="822" r="A63"/>
      <c s="406" r="B63"/>
      <c s="886" r="C63"/>
      <c t="s" s="836" r="D63">
        <v>269</v>
      </c>
      <c s="458" r="E63"/>
      <c s="734" r="F63"/>
      <c s="458" r="G63"/>
      <c s="458" r="H63"/>
      <c s="734" r="I63"/>
      <c s="702" r="J63"/>
      <c s="406" r="K63"/>
      <c s="301" r="L63"/>
      <c t="s" s="652" r="M63">
        <v>596</v>
      </c>
      <c s="550" r="N63"/>
      <c t="str" s="367" r="O63">
        <f>Profile!$AJ$14</f>
        <v>---</v>
      </c>
      <c s="418" r="P63"/>
      <c s="550" r="Q63"/>
      <c s="550" r="R63"/>
      <c t="str" s="620" r="S63">
        <f>IF((COUNT(R63:R$146,T63:T$146)=0),NA(),IF(ISBLANK(R63),S62,(S62+(R63-T62))))</f>
        <v>#N/A:explicit</v>
      </c>
      <c s="550" r="T63"/>
      <c t="str" s="620" r="U63">
        <f>IF(OR(ISBLANK(T63),ISNUMBER(R64)),NA(),(S63-T63))</f>
        <v>#N/A:explicit</v>
      </c>
      <c t="b" s="895" r="V63">
        <v>0</v>
      </c>
      <c s="631" r="W63"/>
      <c t="str" s="309" r="X63">
        <f>IF((COUNT(Q63:Q$146)=0),NA(),IF(ISBLANK(Q63),IF(ISBLANK(Q62),MAX(Q$46:Q63),Q62),Q63))</f>
        <v>#N/A:explicit</v>
      </c>
      <c t="str" s="861" r="Y63">
        <f>IF(ISNA(U63),IF(ISNUMBER(X63),Y62,NA()),U63)</f>
        <v>#N/A:explicit</v>
      </c>
      <c s="861" r="Z63">
        <f>IF(ISNUMBER(Y63),Y63,(S$46+1000))</f>
        <v>1000</v>
      </c>
      <c t="str" s="588" r="AA63">
        <f>IF((V63=TRUE),NA(),IF((AA$44=(S$46-MAX(T$46:T$146))),NA(),AA$44))</f>
        <v>#N/A:explicit</v>
      </c>
      <c s="588" r="AB63">
        <f>IF((ISNA(((Y63*X63)*Y62))),0,(IF((X63&lt;X62),-1,1)*(IF((V62=FALSE),IF((V63=FALSE),IF(ISNA(Y63),0,IF((Y62&lt;AA$44),IF((Y63&lt;AA$44),(((X63-X62)^2)^0.5),(((((AA$44-Y62)*(X63-X62))/(Y63-Y62))^2)^0.5)),IF((Y63&lt;AA$44),(((((AA$44-Y63)*(X63-X62))/(Y62-Y63))^2)^0.5),0))),0),0))))</f>
        <v>0</v>
      </c>
      <c s="588" r="AC63">
        <f>IF(ISNA((Y63*Y62)),0,IF((V62=FALSE),IF((V63=FALSE),IF(ISNA(U63),0,IF((Y62&lt;AA$44),IF((Y63&lt;AA$44),((AA$44-((Y62+Y63)*0.5))*AB63),(((AA$44-Y62)*0.5)*AB63)),IF((Y63&lt;AA$44),(((AA$44-Y63)*0.5)*AB63),0))),0),0))</f>
        <v>0</v>
      </c>
      <c s="588" r="AD63">
        <f>IF(ISNA((Y63*Y62)),0,IF((V62=FALSE),IF((V63=FALSE),IF(ISNA(Y63),0,IF((Y62&lt;AA$44),IF((Y63&lt;AA$44),(((AB63^2)+((Y63-Y62)^2))^0.5),(((AB63^2)+((AA$44-Y62)^2))^0.5)),IF((Y63&lt;AA$44),(((AB63^2)+((AA$44-Y63)^2))^0.5),0))),0),0))</f>
        <v>0</v>
      </c>
      <c s="588" r="AE63">
        <f>IF(ISNUMBER((Y63*Y62)),IF((Y62&gt;=K$148),IF((Y63&lt;K$148),1,0),IF((Y63&gt;=K$148),IF((Y62&lt;K$148),1,0),0)),0)</f>
        <v>0</v>
      </c>
      <c s="588" r="AF63">
        <f>IF(ISNA((Y63*Y62)),0,(IF((X63&lt;X62),-1,1)*(IF(ISNA(Y63),0,IF((Y62&lt;K$148),IF((Y63&lt;K$148),(((X63-X62)^2)^0.5),(((((K$148-Y62)*(X63-X62))/(Y63-Y62))^2)^0.5)),IF((Y63&lt;K$148),(((((K$148-Y63)*(X63-X62))/(Y62-Y63))^2)^0.5),0))))))</f>
        <v>0</v>
      </c>
      <c s="441" r="AG63">
        <f>IF((AC63&gt;0),(MAX(AG$47:AG62)+1),0)</f>
        <v>0</v>
      </c>
      <c s="388" r="AH63"/>
      <c s="406" r="AI63"/>
      <c s="301" r="AJ63"/>
      <c t="s" s="652" r="AK63">
        <v>596</v>
      </c>
      <c s="550" r="AL63"/>
      <c t="str" s="367" r="AM63">
        <f>Profile!$AJ$14</f>
        <v>---</v>
      </c>
      <c s="418" r="AN63"/>
      <c s="550" r="AO63"/>
      <c s="550" r="AP63"/>
      <c t="str" s="620" r="AQ63">
        <f>IF((COUNT(AP63:AP$146,AR63:AR$146)=0),NA(),IF(ISBLANK(AP63),AQ62,(AQ62+(AP63-AR62))))</f>
        <v>#N/A:explicit</v>
      </c>
      <c s="550" r="AR63"/>
      <c t="str" s="620" r="AS63">
        <f>IF(OR(ISBLANK(AR63),ISNUMBER(AP64)),NA(),(AQ63-AR63))</f>
        <v>#N/A:explicit</v>
      </c>
      <c t="b" s="895" r="AT63">
        <v>0</v>
      </c>
      <c s="631" r="AU63"/>
      <c t="str" s="309" r="AV63">
        <f>IF((COUNT(AO63:AO$146)=0),NA(),IF(ISBLANK(AO63),IF(ISBLANK(AO62),MAX(AO$46:AO63),AO62),AO63))</f>
        <v>#N/A:explicit</v>
      </c>
      <c t="str" s="861" r="AW63">
        <f>IF(ISNA(AS63),IF(ISNUMBER(AV63),AW62,NA()),AS63)</f>
        <v>#N/A:explicit</v>
      </c>
      <c s="861" r="AX63">
        <f>IF(ISNUMBER(AW63),AW63,(AQ$46+1000))</f>
        <v>1000</v>
      </c>
      <c t="str" s="588" r="AY63">
        <f>IF((AT63=TRUE),NA(),IF((AY$44=(AQ$46-MAX(AR$46:AR$146))),NA(),AY$44))</f>
        <v>#N/A:explicit</v>
      </c>
      <c s="588" r="AZ63">
        <f>IF((ISNA(((AW63*AV63)*AW62))),0,(IF((AV63&lt;AV62),-1,1)*(IF((AT62=FALSE),IF((AT63=FALSE),IF(ISNA(AW63),0,IF((AW62&lt;AY$44),IF((AW63&lt;AY$44),(((AV63-AV62)^2)^0.5),(((((AY$44-AW62)*(AV63-AV62))/(AW63-AW62))^2)^0.5)),IF((AW63&lt;AY$44),(((((AY$44-AW63)*(AV63-AV62))/(AW62-AW63))^2)^0.5),0))),0),0))))</f>
        <v>0</v>
      </c>
      <c s="588" r="BA63">
        <f>IF(ISNA((AW63*AW62)),0,IF((AT62=FALSE),IF((AT63=FALSE),IF(ISNA(AS63),0,IF((AW62&lt;AY$44),IF((AW63&lt;AY$44),((AY$44-((AW62+AW63)*0.5))*AZ63),(((AY$44-AW62)*0.5)*AZ63)),IF((AW63&lt;AY$44),(((AY$44-AW63)*0.5)*AZ63),0))),0),0))</f>
        <v>0</v>
      </c>
      <c s="588" r="BB63">
        <f>IF(ISNA((AW63*AW62)),0,IF((AT62=FALSE),IF((AT63=FALSE),IF(ISNA(AW63),0,IF((AW62&lt;AY$44),IF((AW63&lt;AY$44),(((AZ63^2)+((AW63-AW62)^2))^0.5),(((AZ63^2)+((AY$44-AW62)^2))^0.5)),IF((AW63&lt;AY$44),(((AZ63^2)+((AY$44-AW63)^2))^0.5),0))),0),0))</f>
        <v>0</v>
      </c>
      <c s="588" r="BC63">
        <f>IF(ISNUMBER((AW63*AW62)),IF((AW62&gt;=AI$148),IF((AW63&lt;AI$148),1,0),IF((AW63&gt;=AI$148),IF((AW62&lt;AI$148),1,0),0)),0)</f>
        <v>0</v>
      </c>
      <c s="588" r="BD63">
        <f>IF(ISNA((AW63*AW62)),0,(IF((AV63&lt;AV62),-1,1)*(IF(ISNA(AW63),0,IF((AW62&lt;AI$148),IF((AW63&lt;AI$148),(((AV63-AV62)^2)^0.5),(((((AI$148-AW62)*(AV63-AV62))/(AW63-AW62))^2)^0.5)),IF((AW63&lt;AI$148),(((((AI$148-AW63)*(AV63-AV62))/(AW62-AW63))^2)^0.5),0))))))</f>
        <v>0</v>
      </c>
      <c s="441" r="BE63">
        <f>IF((BA63&gt;0),(MAX(BE$47:BE62)+1),0)</f>
        <v>0</v>
      </c>
      <c s="388" r="BF63"/>
      <c s="406" r="BG63"/>
      <c s="301" r="BH63"/>
      <c t="s" s="652" r="BI63">
        <v>596</v>
      </c>
      <c s="550" r="BJ63"/>
      <c t="str" s="367" r="BK63">
        <f>Profile!$AJ$14</f>
        <v>---</v>
      </c>
      <c s="418" r="BL63"/>
      <c s="550" r="BM63"/>
      <c s="550" r="BN63"/>
      <c t="str" s="620" r="BO63">
        <f>IF((COUNT(BN63:BN$146,BP63:BP$146)=0),NA(),IF(ISBLANK(BN63),BO62,(BO62+(BN63-BP62))))</f>
        <v>#N/A:explicit</v>
      </c>
      <c s="550" r="BP63"/>
      <c t="str" s="620" r="BQ63">
        <f>IF(OR(ISBLANK(BP63),ISNUMBER(BN64)),NA(),(BO63-BP63))</f>
        <v>#N/A:explicit</v>
      </c>
      <c t="b" s="895" r="BR63">
        <v>0</v>
      </c>
      <c s="631" r="BS63"/>
      <c t="str" s="309" r="BT63">
        <f>IF((COUNT(BM63:BM$146)=0),NA(),IF(ISBLANK(BM63),IF(ISBLANK(BM62),MAX(BM$46:BM63),BM62),BM63))</f>
        <v>#N/A:explicit</v>
      </c>
      <c t="str" s="861" r="BU63">
        <f>IF(ISNA(BQ63),IF(ISNUMBER(BT63),BU62,NA()),BQ63)</f>
        <v>#N/A:explicit</v>
      </c>
      <c s="861" r="BV63">
        <f>IF(ISNUMBER(BU63),BU63,(BO$46+1000))</f>
        <v>1000</v>
      </c>
      <c t="str" s="588" r="BW63">
        <f>IF((BR63=TRUE),NA(),IF((BW$44=(BO$46-MAX(BP$46:BP$146))),NA(),BW$44))</f>
        <v>#N/A:explicit</v>
      </c>
      <c s="588" r="BX63">
        <f>IF((ISNA(((BU63*BT63)*BU62))),0,(IF((BT63&lt;BT62),-1,1)*(IF((BR62=FALSE),IF((BR63=FALSE),IF(ISNA(BU63),0,IF((BU62&lt;BW$44),IF((BU63&lt;BW$44),(((BT63-BT62)^2)^0.5),(((((BW$44-BU62)*(BT63-BT62))/(BU63-BU62))^2)^0.5)),IF((BU63&lt;BW$44),(((((BW$44-BU63)*(BT63-BT62))/(BU62-BU63))^2)^0.5),0))),0),0))))</f>
        <v>0</v>
      </c>
      <c s="588" r="BY63">
        <f>IF(ISNA((BU63*BU62)),0,IF((BR62=FALSE),IF((BR63=FALSE),IF(ISNA(BQ63),0,IF((BU62&lt;BW$44),IF((BU63&lt;BW$44),((BW$44-((BU62+BU63)*0.5))*BX63),(((BW$44-BU62)*0.5)*BX63)),IF((BU63&lt;BW$44),(((BW$44-BU63)*0.5)*BX63),0))),0),0))</f>
        <v>0</v>
      </c>
      <c s="588" r="BZ63">
        <f>IF(ISNA((BU63*BU62)),0,IF((BR62=FALSE),IF((BR63=FALSE),IF(ISNA(BU63),0,IF((BU62&lt;BW$44),IF((BU63&lt;BW$44),(((BX63^2)+((BU63-BU62)^2))^0.5),(((BX63^2)+((BW$44-BU62)^2))^0.5)),IF((BU63&lt;BW$44),(((BX63^2)+((BW$44-BU63)^2))^0.5),0))),0),0))</f>
        <v>0</v>
      </c>
      <c s="588" r="CA63">
        <f>IF(ISNUMBER((BU63*BU62)),IF((BU62&gt;=BG$148),IF((BU63&lt;BG$148),1,0),IF((BU63&gt;=BG$148),IF((BU62&lt;BG$148),1,0),0)),0)</f>
        <v>0</v>
      </c>
      <c s="588" r="CB63">
        <f>IF(ISNA((BU63*BU62)),0,(IF((BT63&lt;BT62),-1,1)*(IF(ISNA(BU63),0,IF((BU62&lt;BG$148),IF((BU63&lt;BG$148),(((BT63-BT62)^2)^0.5),(((((BG$148-BU62)*(BT63-BT62))/(BU63-BU62))^2)^0.5)),IF((BU63&lt;BG$148),(((((BG$148-BU63)*(BT63-BT62))/(BU62-BU63))^2)^0.5),0))))))</f>
        <v>0</v>
      </c>
      <c s="441" r="CC63">
        <f>IF((BY63&gt;0),(MAX(CC$47:CC62)+1),0)</f>
        <v>0</v>
      </c>
      <c s="388" r="CD63"/>
      <c s="406" r="CE63"/>
      <c s="301" r="CF63"/>
      <c t="s" s="652" r="CG63">
        <v>596</v>
      </c>
      <c s="550" r="CH63"/>
      <c t="str" s="367" r="CI63">
        <f>Profile!$AJ$14</f>
        <v>---</v>
      </c>
      <c s="418" r="CJ63"/>
      <c s="550" r="CK63"/>
      <c s="550" r="CL63"/>
      <c t="str" s="620" r="CM63">
        <f>IF((COUNT(CL63:CL$146,CN63:CN$146)=0),NA(),IF(ISBLANK(CL63),CM62,(CM62+(CL63-CN62))))</f>
        <v>#N/A:explicit</v>
      </c>
      <c s="550" r="CN63"/>
      <c t="str" s="620" r="CO63">
        <f>IF(OR(ISBLANK(CN63),ISNUMBER(CL64)),NA(),(CM63-CN63))</f>
        <v>#N/A:explicit</v>
      </c>
      <c t="b" s="895" r="CP63">
        <v>0</v>
      </c>
      <c s="631" r="CQ63"/>
      <c t="str" s="309" r="CR63">
        <f>IF((COUNT(CK63:CK$146)=0),NA(),IF(ISBLANK(CK63),IF(ISBLANK(CK62),MAX(CK$46:CK63),CK62),CK63))</f>
        <v>#N/A:explicit</v>
      </c>
      <c t="str" s="861" r="CS63">
        <f>IF(ISNA(CO63),IF(ISNUMBER(CR63),CS62,NA()),CO63)</f>
        <v>#N/A:explicit</v>
      </c>
      <c s="861" r="CT63">
        <f>IF(ISNUMBER(CS63),CS63,(CM$46+1000))</f>
        <v>1000</v>
      </c>
      <c t="str" s="588" r="CU63">
        <f>IF((CP63=TRUE),NA(),IF((CU$44=(CM$46-MAX(CN$46:CN$146))),NA(),CU$44))</f>
        <v>#N/A:explicit</v>
      </c>
      <c s="588" r="CV63">
        <f>IF((ISNA(((CS63*CR63)*CS62))),0,(IF((CR63&lt;CR62),-1,1)*(IF((CP62=FALSE),IF((CP63=FALSE),IF(ISNA(CS63),0,IF((CS62&lt;CU$44),IF((CS63&lt;CU$44),(((CR63-CR62)^2)^0.5),(((((CU$44-CS62)*(CR63-CR62))/(CS63-CS62))^2)^0.5)),IF((CS63&lt;CU$44),(((((CU$44-CS63)*(CR63-CR62))/(CS62-CS63))^2)^0.5),0))),0),0))))</f>
        <v>0</v>
      </c>
      <c s="588" r="CW63">
        <f>IF(ISNA((CS63*CS62)),0,IF((CP62=FALSE),IF((CP63=FALSE),IF(ISNA(CO63),0,IF((CS62&lt;CU$44),IF((CS63&lt;CU$44),((CU$44-((CS62+CS63)*0.5))*CV63),(((CU$44-CS62)*0.5)*CV63)),IF((CS63&lt;CU$44),(((CU$44-CS63)*0.5)*CV63),0))),0),0))</f>
        <v>0</v>
      </c>
      <c s="588" r="CX63">
        <f>IF(ISNA((CS63*CS62)),0,IF((CP62=FALSE),IF((CP63=FALSE),IF(ISNA(CS63),0,IF((CS62&lt;CU$44),IF((CS63&lt;CU$44),(((CV63^2)+((CS63-CS62)^2))^0.5),(((CV63^2)+((CU$44-CS62)^2))^0.5)),IF((CS63&lt;CU$44),(((CV63^2)+((CU$44-CS63)^2))^0.5),0))),0),0))</f>
        <v>0</v>
      </c>
      <c s="588" r="CY63">
        <f>IF(ISNUMBER((CS63*CS62)),IF((CS62&gt;=CE$148),IF((CS63&lt;CE$148),1,0),IF((CS63&gt;=CE$148),IF((CS62&lt;CE$148),1,0),0)),0)</f>
        <v>0</v>
      </c>
      <c s="588" r="CZ63">
        <f>IF(ISNA((CS63*CS62)),0,(IF((CR63&lt;CR62),-1,1)*(IF(ISNA(CS63),0,IF((CS62&lt;CE$148),IF((CS63&lt;CE$148),(((CR63-CR62)^2)^0.5),(((((CE$148-CS62)*(CR63-CR62))/(CS63-CS62))^2)^0.5)),IF((CS63&lt;CE$148),(((((CE$148-CS63)*(CR63-CR62))/(CS62-CS63))^2)^0.5),0))))))</f>
        <v>0</v>
      </c>
      <c s="441" r="DA63">
        <f>IF((CW63&gt;0),(MAX(DA$47:DA62)+1),0)</f>
        <v>0</v>
      </c>
      <c s="388" r="DB63"/>
      <c s="406" r="DC63"/>
      <c s="301" r="DD63"/>
      <c t="s" s="652" r="DE63">
        <v>596</v>
      </c>
      <c s="550" r="DF63"/>
      <c t="str" s="367" r="DG63">
        <f>Profile!$AJ$14</f>
        <v>---</v>
      </c>
      <c s="418" r="DH63"/>
      <c s="550" r="DI63"/>
      <c s="550" r="DJ63"/>
      <c t="str" s="620" r="DK63">
        <f>IF((COUNT(DJ63:DJ$146,DL63:DL$146)=0),NA(),IF(ISBLANK(DJ63),DK62,(DK62+(DJ63-DL62))))</f>
        <v>#N/A:explicit</v>
      </c>
      <c s="550" r="DL63"/>
      <c t="str" s="620" r="DM63">
        <f>IF(OR(ISBLANK(DL63),ISNUMBER(DJ64)),NA(),(DK63-DL63))</f>
        <v>#N/A:explicit</v>
      </c>
      <c t="b" s="895" r="DN63">
        <v>0</v>
      </c>
      <c s="631" r="DO63"/>
      <c t="str" s="309" r="DP63">
        <f>IF((COUNT(DI63:DI$146)=0),NA(),IF(ISBLANK(DI63),IF(ISBLANK(DI62),MAX(DI$46:DI63),DI62),DI63))</f>
        <v>#N/A:explicit</v>
      </c>
      <c t="str" s="861" r="DQ63">
        <f>IF(ISNA(DM63),IF(ISNUMBER(DP63),DQ62,NA()),DM63)</f>
        <v>#N/A:explicit</v>
      </c>
      <c s="861" r="DR63">
        <f>IF(ISNUMBER(DQ63),DQ63,(DK$46+1000))</f>
        <v>1000</v>
      </c>
      <c t="str" s="588" r="DS63">
        <f>IF((DN63=TRUE),NA(),IF((DS$44=(DK$46-MAX(DL$46:DL$146))),NA(),DS$44))</f>
        <v>#N/A:explicit</v>
      </c>
      <c s="588" r="DT63">
        <f>IF((ISNA(((DQ63*DP63)*DQ62))),0,(IF((DP63&lt;DP62),-1,1)*(IF((DN62=FALSE),IF((DN63=FALSE),IF(ISNA(DQ63),0,IF((DQ62&lt;DS$44),IF((DQ63&lt;DS$44),(((DP63-DP62)^2)^0.5),(((((DS$44-DQ62)*(DP63-DP62))/(DQ63-DQ62))^2)^0.5)),IF((DQ63&lt;DS$44),(((((DS$44-DQ63)*(DP63-DP62))/(DQ62-DQ63))^2)^0.5),0))),0),0))))</f>
        <v>0</v>
      </c>
      <c s="588" r="DU63">
        <f>IF(ISNA((DQ63*DQ62)),0,IF((DN62=FALSE),IF((DN63=FALSE),IF(ISNA(DM63),0,IF((DQ62&lt;DS$44),IF((DQ63&lt;DS$44),((DS$44-((DQ62+DQ63)*0.5))*DT63),(((DS$44-DQ62)*0.5)*DT63)),IF((DQ63&lt;DS$44),(((DS$44-DQ63)*0.5)*DT63),0))),0),0))</f>
        <v>0</v>
      </c>
      <c s="588" r="DV63">
        <f>IF(ISNA((DQ63*DQ62)),0,IF((DN62=FALSE),IF((DN63=FALSE),IF(ISNA(DQ63),0,IF((DQ62&lt;DS$44),IF((DQ63&lt;DS$44),(((DT63^2)+((DQ63-DQ62)^2))^0.5),(((DT63^2)+((DS$44-DQ62)^2))^0.5)),IF((DQ63&lt;DS$44),(((DT63^2)+((DS$44-DQ63)^2))^0.5),0))),0),0))</f>
        <v>0</v>
      </c>
      <c s="588" r="DW63">
        <f>IF(ISNUMBER((DQ63*DQ62)),IF((DQ62&gt;=DC$148),IF((DQ63&lt;DC$148),1,0),IF((DQ63&gt;=DC$148),IF((DQ62&lt;DC$148),1,0),0)),0)</f>
        <v>0</v>
      </c>
      <c s="588" r="DX63">
        <f>IF(ISNA((DQ63*DQ62)),0,(IF((DP63&lt;DP62),-1,1)*(IF(ISNA(DQ63),0,IF((DQ62&lt;DC$148),IF((DQ63&lt;DC$148),(((DP63-DP62)^2)^0.5),(((((DC$148-DQ62)*(DP63-DP62))/(DQ63-DQ62))^2)^0.5)),IF((DQ63&lt;DC$148),(((((DC$148-DQ63)*(DP63-DP62))/(DQ62-DQ63))^2)^0.5),0))))))</f>
        <v>0</v>
      </c>
      <c s="441" r="DY63">
        <f>IF((DU63&gt;0),(MAX(DY$47:DY62)+1),0)</f>
        <v>0</v>
      </c>
      <c s="388" r="DZ63"/>
      <c s="406" r="EA63"/>
      <c s="301" r="EB63"/>
      <c t="s" s="652" r="EC63">
        <v>596</v>
      </c>
      <c s="550" r="ED63"/>
      <c t="str" s="367" r="EE63">
        <f>Profile!$AJ$14</f>
        <v>---</v>
      </c>
      <c s="418" r="EF63"/>
      <c s="550" r="EG63"/>
      <c s="550" r="EH63"/>
      <c t="str" s="620" r="EI63">
        <f>IF((COUNT(EH63:EH$146,EJ63:EJ$146)=0),NA(),IF(ISBLANK(EH63),EI62,(EI62+(EH63-EJ62))))</f>
        <v>#N/A:explicit</v>
      </c>
      <c s="550" r="EJ63"/>
      <c t="str" s="620" r="EK63">
        <f>IF(OR(ISBLANK(EJ63),ISNUMBER(EH64)),NA(),(EI63-EJ63))</f>
        <v>#N/A:explicit</v>
      </c>
      <c t="b" s="895" r="EL63">
        <v>0</v>
      </c>
      <c s="631" r="EM63"/>
      <c t="str" s="309" r="EN63">
        <f>IF((COUNT(EG63:EG$146)=0),NA(),IF(ISBLANK(EG63),IF(ISBLANK(EG62),MAX(EG$46:EG63),EG62),EG63))</f>
        <v>#N/A:explicit</v>
      </c>
      <c t="str" s="861" r="EO63">
        <f>IF(ISNA(EK63),IF(ISNUMBER(EN63),EO62,NA()),EK63)</f>
        <v>#N/A:explicit</v>
      </c>
      <c s="861" r="EP63">
        <f>IF(ISNUMBER(EO63),EO63,(EI$46+1000))</f>
        <v>1000</v>
      </c>
      <c t="str" s="588" r="EQ63">
        <f>IF((EL63=TRUE),NA(),IF((EQ$44=(EI$46-MAX(EJ$46:EJ$146))),NA(),EQ$44))</f>
        <v>#N/A:explicit</v>
      </c>
      <c s="588" r="ER63">
        <f>IF((ISNA(((EO63*EN63)*EO62))),0,(IF((EN63&lt;EN62),-1,1)*(IF((EL62=FALSE),IF((EL63=FALSE),IF(ISNA(EO63),0,IF((EO62&lt;EQ$44),IF((EO63&lt;EQ$44),(((EN63-EN62)^2)^0.5),(((((EQ$44-EO62)*(EN63-EN62))/(EO63-EO62))^2)^0.5)),IF((EO63&lt;EQ$44),(((((EQ$44-EO63)*(EN63-EN62))/(EO62-EO63))^2)^0.5),0))),0),0))))</f>
        <v>0</v>
      </c>
      <c s="588" r="ES63">
        <f>IF(ISNA((EO63*EO62)),0,IF((EL62=FALSE),IF((EL63=FALSE),IF(ISNA(EK63),0,IF((EO62&lt;EQ$44),IF((EO63&lt;EQ$44),((EQ$44-((EO62+EO63)*0.5))*ER63),(((EQ$44-EO62)*0.5)*ER63)),IF((EO63&lt;EQ$44),(((EQ$44-EO63)*0.5)*ER63),0))),0),0))</f>
        <v>0</v>
      </c>
      <c s="588" r="ET63">
        <f>IF(ISNA((EO63*EO62)),0,IF((EL62=FALSE),IF((EL63=FALSE),IF(ISNA(EO63),0,IF((EO62&lt;EQ$44),IF((EO63&lt;EQ$44),(((ER63^2)+((EO63-EO62)^2))^0.5),(((ER63^2)+((EQ$44-EO62)^2))^0.5)),IF((EO63&lt;EQ$44),(((ER63^2)+((EQ$44-EO63)^2))^0.5),0))),0),0))</f>
        <v>0</v>
      </c>
      <c s="588" r="EU63">
        <f>IF(ISNUMBER((EO63*EO62)),IF((EO62&gt;=EA$148),IF((EO63&lt;EA$148),1,0),IF((EO63&gt;=EA$148),IF((EO62&lt;EA$148),1,0),0)),0)</f>
        <v>0</v>
      </c>
      <c s="588" r="EV63">
        <f>IF(ISNA((EO63*EO62)),0,(IF((EN63&lt;EN62),-1,1)*(IF(ISNA(EO63),0,IF((EO62&lt;EA$148),IF((EO63&lt;EA$148),(((EN63-EN62)^2)^0.5),(((((EA$148-EO62)*(EN63-EN62))/(EO63-EO62))^2)^0.5)),IF((EO63&lt;EA$148),(((((EA$148-EO63)*(EN63-EN62))/(EO62-EO63))^2)^0.5),0))))))</f>
        <v>0</v>
      </c>
      <c s="441" r="EW63">
        <f>IF((ES63&gt;0),(MAX(EW$47:EW62)+1),0)</f>
        <v>0</v>
      </c>
      <c s="388" r="EX63"/>
      <c s="406" r="EY63"/>
      <c s="301" r="EZ63"/>
      <c t="s" s="652" r="FA63">
        <v>596</v>
      </c>
      <c s="550" r="FB63"/>
      <c t="str" s="367" r="FC63">
        <f>Profile!$AJ$14</f>
        <v>---</v>
      </c>
      <c s="418" r="FD63"/>
      <c s="550" r="FE63"/>
      <c s="550" r="FF63"/>
      <c t="str" s="620" r="FG63">
        <f>IF((COUNT(FF63:FF$146,FH63:FH$146)=0),NA(),IF(ISBLANK(FF63),FG62,(FG62+(FF63-FH62))))</f>
        <v>#N/A:explicit</v>
      </c>
      <c s="550" r="FH63"/>
      <c t="str" s="620" r="FI63">
        <f>IF(OR(ISBLANK(FH63),ISNUMBER(FF64)),NA(),(FG63-FH63))</f>
        <v>#N/A:explicit</v>
      </c>
      <c t="b" s="895" r="FJ63">
        <v>0</v>
      </c>
      <c s="631" r="FK63"/>
      <c t="str" s="309" r="FL63">
        <f>IF((COUNT(FE63:FE$146)=0),NA(),IF(ISBLANK(FE63),IF(ISBLANK(FE62),MAX(FE$46:FE63),FE62),FE63))</f>
        <v>#N/A:explicit</v>
      </c>
      <c t="str" s="861" r="FM63">
        <f>IF(ISNA(FI63),IF(ISNUMBER(FL63),FM62,NA()),FI63)</f>
        <v>#N/A:explicit</v>
      </c>
      <c s="861" r="FN63">
        <f>IF(ISNUMBER(FM63),FM63,(FG$46+1000))</f>
        <v>1000</v>
      </c>
      <c t="str" s="588" r="FO63">
        <f>IF((FJ63=TRUE),NA(),IF((FO$44=(FG$46-MAX(FH$46:FH$146))),NA(),FO$44))</f>
        <v>#N/A:explicit</v>
      </c>
      <c s="588" r="FP63">
        <f>IF((ISNA(((FM63*FL63)*FM62))),0,(IF((FL63&lt;FL62),-1,1)*(IF((FJ62=FALSE),IF((FJ63=FALSE),IF(ISNA(FM63),0,IF((FM62&lt;FO$44),IF((FM63&lt;FO$44),(((FL63-FL62)^2)^0.5),(((((FO$44-FM62)*(FL63-FL62))/(FM63-FM62))^2)^0.5)),IF((FM63&lt;FO$44),(((((FO$44-FM63)*(FL63-FL62))/(FM62-FM63))^2)^0.5),0))),0),0))))</f>
        <v>0</v>
      </c>
      <c s="588" r="FQ63">
        <f>IF(ISNA((FM63*FM62)),0,IF((FJ62=FALSE),IF((FJ63=FALSE),IF(ISNA(FI63),0,IF((FM62&lt;FO$44),IF((FM63&lt;FO$44),((FO$44-((FM62+FM63)*0.5))*FP63),(((FO$44-FM62)*0.5)*FP63)),IF((FM63&lt;FO$44),(((FO$44-FM63)*0.5)*FP63),0))),0),0))</f>
        <v>0</v>
      </c>
      <c s="588" r="FR63">
        <f>IF(ISNA((FM63*FM62)),0,IF((FJ62=FALSE),IF((FJ63=FALSE),IF(ISNA(FM63),0,IF((FM62&lt;FO$44),IF((FM63&lt;FO$44),(((FP63^2)+((FM63-FM62)^2))^0.5),(((FP63^2)+((FO$44-FM62)^2))^0.5)),IF((FM63&lt;FO$44),(((FP63^2)+((FO$44-FM63)^2))^0.5),0))),0),0))</f>
        <v>0</v>
      </c>
      <c s="588" r="FS63">
        <f>IF(ISNUMBER((FM63*FM62)),IF((FM62&gt;=EY$148),IF((FM63&lt;EY$148),1,0),IF((FM63&gt;=EY$148),IF((FM62&lt;EY$148),1,0),0)),0)</f>
        <v>0</v>
      </c>
      <c s="588" r="FT63">
        <f>IF(ISNA((FM63*FM62)),0,(IF((FL63&lt;FL62),-1,1)*(IF(ISNA(FM63),0,IF((FM62&lt;EY$148),IF((FM63&lt;EY$148),(((FL63-FL62)^2)^0.5),(((((EY$148-FM62)*(FL63-FL62))/(FM63-FM62))^2)^0.5)),IF((FM63&lt;EY$148),(((((EY$148-FM63)*(FL63-FL62))/(FM62-FM63))^2)^0.5),0))))))</f>
        <v>0</v>
      </c>
      <c s="441" r="FU63">
        <f>IF((FQ63&gt;0),(MAX(FU$47:FU62)+1),0)</f>
        <v>0</v>
      </c>
      <c s="222" r="FV63"/>
      <c s="125" r="FW63"/>
      <c s="125" r="FX63"/>
      <c s="125" r="FY63"/>
      <c s="125" r="FZ63"/>
      <c s="125" r="GA63"/>
      <c s="125" r="GB63"/>
      <c s="125" r="GC63"/>
      <c s="125" r="GD63"/>
      <c s="125" r="GE63"/>
      <c s="125" r="GF63"/>
      <c s="125" r="GG63"/>
      <c s="125" r="GH63"/>
      <c s="125" r="GI63"/>
      <c s="125" r="GJ63"/>
      <c s="125" r="GK63"/>
      <c s="125" r="GL63"/>
      <c s="125" r="GM63"/>
      <c s="125" r="GN63"/>
      <c s="125" r="GO63"/>
      <c s="125" r="GP63"/>
      <c s="125" r="GQ63"/>
      <c s="125" r="GR63"/>
      <c s="125" r="GS63"/>
      <c s="125" r="GT63"/>
      <c s="125" r="GU63"/>
      <c s="125" r="GV63"/>
      <c s="125" r="GW63"/>
      <c s="125" r="GX63"/>
      <c s="125" r="GY63"/>
      <c s="125" r="GZ63"/>
      <c s="125" r="HA63"/>
      <c s="125" r="HB63"/>
    </row>
    <row customHeight="1" r="64" ht="13.5">
      <c s="822" r="A64"/>
      <c s="406" r="B64"/>
      <c s="886" r="C64"/>
      <c s="886" r="D64"/>
      <c t="str" s="374" r="E64">
        <f>'Dimension Estimated Values'!F8</f>
        <v>#VALUE!:cantParseText:---</v>
      </c>
      <c s="886" r="F64"/>
      <c t="str" s="374" r="G64">
        <f>'Dimension Estimated Values'!F9</f>
        <v>#VALUE!:cantParseText:---</v>
      </c>
      <c t="str" s="374" r="H64">
        <f>'Dimension Estimated Values'!F10</f>
        <v>#VALUE!:cantParseText:---</v>
      </c>
      <c s="418" r="I64"/>
      <c s="702" r="J64"/>
      <c s="406" r="K64"/>
      <c s="789" r="L64"/>
      <c s="886" r="M64"/>
      <c s="756" r="N64"/>
      <c s="321" r="O64"/>
      <c s="418" r="P64"/>
      <c s="550" r="Q64"/>
      <c s="550" r="R64"/>
      <c t="str" s="620" r="S64">
        <f>IF((COUNT(R64:R$146,T64:T$146)=0),NA(),IF(ISBLANK(R64),S63,(S63+(R64-T63))))</f>
        <v>#N/A:explicit</v>
      </c>
      <c s="550" r="T64"/>
      <c t="str" s="620" r="U64">
        <f>IF(OR(ISBLANK(T64),ISNUMBER(R65)),NA(),(S64-T64))</f>
        <v>#N/A:explicit</v>
      </c>
      <c t="b" s="895" r="V64">
        <v>0</v>
      </c>
      <c s="631" r="W64"/>
      <c t="str" s="309" r="X64">
        <f>IF((COUNT(Q64:Q$146)=0),NA(),IF(ISBLANK(Q64),IF(ISBLANK(Q63),MAX(Q$46:Q64),Q63),Q64))</f>
        <v>#N/A:explicit</v>
      </c>
      <c t="str" s="861" r="Y64">
        <f>IF(ISNA(U64),IF(ISNUMBER(X64),Y63,NA()),U64)</f>
        <v>#N/A:explicit</v>
      </c>
      <c s="861" r="Z64">
        <f>IF(ISNUMBER(Y64),Y64,(S$46+1000))</f>
        <v>1000</v>
      </c>
      <c t="str" s="588" r="AA64">
        <f>IF((V64=TRUE),NA(),IF((AA$44=(S$46-MAX(T$46:T$146))),NA(),AA$44))</f>
        <v>#N/A:explicit</v>
      </c>
      <c s="588" r="AB64">
        <f>IF((ISNA(((Y64*X64)*Y63))),0,(IF((X64&lt;X63),-1,1)*(IF((V63=FALSE),IF((V64=FALSE),IF(ISNA(Y64),0,IF((Y63&lt;AA$44),IF((Y64&lt;AA$44),(((X64-X63)^2)^0.5),(((((AA$44-Y63)*(X64-X63))/(Y64-Y63))^2)^0.5)),IF((Y64&lt;AA$44),(((((AA$44-Y64)*(X64-X63))/(Y63-Y64))^2)^0.5),0))),0),0))))</f>
        <v>0</v>
      </c>
      <c s="588" r="AC64">
        <f>IF(ISNA((Y64*Y63)),0,IF((V63=FALSE),IF((V64=FALSE),IF(ISNA(U64),0,IF((Y63&lt;AA$44),IF((Y64&lt;AA$44),((AA$44-((Y63+Y64)*0.5))*AB64),(((AA$44-Y63)*0.5)*AB64)),IF((Y64&lt;AA$44),(((AA$44-Y64)*0.5)*AB64),0))),0),0))</f>
        <v>0</v>
      </c>
      <c s="588" r="AD64">
        <f>IF(ISNA((Y64*Y63)),0,IF((V63=FALSE),IF((V64=FALSE),IF(ISNA(Y64),0,IF((Y63&lt;AA$44),IF((Y64&lt;AA$44),(((AB64^2)+((Y64-Y63)^2))^0.5),(((AB64^2)+((AA$44-Y63)^2))^0.5)),IF((Y64&lt;AA$44),(((AB64^2)+((AA$44-Y64)^2))^0.5),0))),0),0))</f>
        <v>0</v>
      </c>
      <c s="588" r="AE64">
        <f>IF(ISNUMBER((Y64*Y63)),IF((Y63&gt;=K$148),IF((Y64&lt;K$148),1,0),IF((Y64&gt;=K$148),IF((Y63&lt;K$148),1,0),0)),0)</f>
        <v>0</v>
      </c>
      <c s="588" r="AF64">
        <f>IF(ISNA((Y64*Y63)),0,(IF((X64&lt;X63),-1,1)*(IF(ISNA(Y64),0,IF((Y63&lt;K$148),IF((Y64&lt;K$148),(((X64-X63)^2)^0.5),(((((K$148-Y63)*(X64-X63))/(Y64-Y63))^2)^0.5)),IF((Y64&lt;K$148),(((((K$148-Y64)*(X64-X63))/(Y63-Y64))^2)^0.5),0))))))</f>
        <v>0</v>
      </c>
      <c s="441" r="AG64">
        <f>IF((AC64&gt;0),(MAX(AG$47:AG63)+1),0)</f>
        <v>0</v>
      </c>
      <c s="388" r="AH64"/>
      <c s="406" r="AI64"/>
      <c s="789" r="AJ64"/>
      <c s="886" r="AK64"/>
      <c s="756" r="AL64"/>
      <c s="321" r="AM64"/>
      <c s="418" r="AN64"/>
      <c s="550" r="AO64"/>
      <c s="550" r="AP64"/>
      <c t="str" s="620" r="AQ64">
        <f>IF((COUNT(AP64:AP$146,AR64:AR$146)=0),NA(),IF(ISBLANK(AP64),AQ63,(AQ63+(AP64-AR63))))</f>
        <v>#N/A:explicit</v>
      </c>
      <c s="550" r="AR64"/>
      <c t="str" s="620" r="AS64">
        <f>IF(OR(ISBLANK(AR64),ISNUMBER(AP65)),NA(),(AQ64-AR64))</f>
        <v>#N/A:explicit</v>
      </c>
      <c t="b" s="895" r="AT64">
        <v>0</v>
      </c>
      <c s="631" r="AU64"/>
      <c t="str" s="309" r="AV64">
        <f>IF((COUNT(AO64:AO$146)=0),NA(),IF(ISBLANK(AO64),IF(ISBLANK(AO63),MAX(AO$46:AO64),AO63),AO64))</f>
        <v>#N/A:explicit</v>
      </c>
      <c t="str" s="861" r="AW64">
        <f>IF(ISNA(AS64),IF(ISNUMBER(AV64),AW63,NA()),AS64)</f>
        <v>#N/A:explicit</v>
      </c>
      <c s="861" r="AX64">
        <f>IF(ISNUMBER(AW64),AW64,(AQ$46+1000))</f>
        <v>1000</v>
      </c>
      <c t="str" s="588" r="AY64">
        <f>IF((AT64=TRUE),NA(),IF((AY$44=(AQ$46-MAX(AR$46:AR$146))),NA(),AY$44))</f>
        <v>#N/A:explicit</v>
      </c>
      <c s="588" r="AZ64">
        <f>IF((ISNA(((AW64*AV64)*AW63))),0,(IF((AV64&lt;AV63),-1,1)*(IF((AT63=FALSE),IF((AT64=FALSE),IF(ISNA(AW64),0,IF((AW63&lt;AY$44),IF((AW64&lt;AY$44),(((AV64-AV63)^2)^0.5),(((((AY$44-AW63)*(AV64-AV63))/(AW64-AW63))^2)^0.5)),IF((AW64&lt;AY$44),(((((AY$44-AW64)*(AV64-AV63))/(AW63-AW64))^2)^0.5),0))),0),0))))</f>
        <v>0</v>
      </c>
      <c s="588" r="BA64">
        <f>IF(ISNA((AW64*AW63)),0,IF((AT63=FALSE),IF((AT64=FALSE),IF(ISNA(AS64),0,IF((AW63&lt;AY$44),IF((AW64&lt;AY$44),((AY$44-((AW63+AW64)*0.5))*AZ64),(((AY$44-AW63)*0.5)*AZ64)),IF((AW64&lt;AY$44),(((AY$44-AW64)*0.5)*AZ64),0))),0),0))</f>
        <v>0</v>
      </c>
      <c s="588" r="BB64">
        <f>IF(ISNA((AW64*AW63)),0,IF((AT63=FALSE),IF((AT64=FALSE),IF(ISNA(AW64),0,IF((AW63&lt;AY$44),IF((AW64&lt;AY$44),(((AZ64^2)+((AW64-AW63)^2))^0.5),(((AZ64^2)+((AY$44-AW63)^2))^0.5)),IF((AW64&lt;AY$44),(((AZ64^2)+((AY$44-AW64)^2))^0.5),0))),0),0))</f>
        <v>0</v>
      </c>
      <c s="588" r="BC64">
        <f>IF(ISNUMBER((AW64*AW63)),IF((AW63&gt;=AI$148),IF((AW64&lt;AI$148),1,0),IF((AW64&gt;=AI$148),IF((AW63&lt;AI$148),1,0),0)),0)</f>
        <v>0</v>
      </c>
      <c s="588" r="BD64">
        <f>IF(ISNA((AW64*AW63)),0,(IF((AV64&lt;AV63),-1,1)*(IF(ISNA(AW64),0,IF((AW63&lt;AI$148),IF((AW64&lt;AI$148),(((AV64-AV63)^2)^0.5),(((((AI$148-AW63)*(AV64-AV63))/(AW64-AW63))^2)^0.5)),IF((AW64&lt;AI$148),(((((AI$148-AW64)*(AV64-AV63))/(AW63-AW64))^2)^0.5),0))))))</f>
        <v>0</v>
      </c>
      <c s="441" r="BE64">
        <f>IF((BA64&gt;0),(MAX(BE$47:BE63)+1),0)</f>
        <v>0</v>
      </c>
      <c s="388" r="BF64"/>
      <c s="406" r="BG64"/>
      <c s="789" r="BH64"/>
      <c s="886" r="BI64"/>
      <c s="756" r="BJ64"/>
      <c s="321" r="BK64"/>
      <c s="418" r="BL64"/>
      <c s="550" r="BM64"/>
      <c s="550" r="BN64"/>
      <c t="str" s="620" r="BO64">
        <f>IF((COUNT(BN64:BN$146,BP64:BP$146)=0),NA(),IF(ISBLANK(BN64),BO63,(BO63+(BN64-BP63))))</f>
        <v>#N/A:explicit</v>
      </c>
      <c s="550" r="BP64"/>
      <c t="str" s="620" r="BQ64">
        <f>IF(OR(ISBLANK(BP64),ISNUMBER(BN65)),NA(),(BO64-BP64))</f>
        <v>#N/A:explicit</v>
      </c>
      <c t="b" s="895" r="BR64">
        <v>0</v>
      </c>
      <c s="631" r="BS64"/>
      <c t="str" s="309" r="BT64">
        <f>IF((COUNT(BM64:BM$146)=0),NA(),IF(ISBLANK(BM64),IF(ISBLANK(BM63),MAX(BM$46:BM64),BM63),BM64))</f>
        <v>#N/A:explicit</v>
      </c>
      <c t="str" s="861" r="BU64">
        <f>IF(ISNA(BQ64),IF(ISNUMBER(BT64),BU63,NA()),BQ64)</f>
        <v>#N/A:explicit</v>
      </c>
      <c s="861" r="BV64">
        <f>IF(ISNUMBER(BU64),BU64,(BO$46+1000))</f>
        <v>1000</v>
      </c>
      <c t="str" s="588" r="BW64">
        <f>IF((BR64=TRUE),NA(),IF((BW$44=(BO$46-MAX(BP$46:BP$146))),NA(),BW$44))</f>
        <v>#N/A:explicit</v>
      </c>
      <c s="588" r="BX64">
        <f>IF((ISNA(((BU64*BT64)*BU63))),0,(IF((BT64&lt;BT63),-1,1)*(IF((BR63=FALSE),IF((BR64=FALSE),IF(ISNA(BU64),0,IF((BU63&lt;BW$44),IF((BU64&lt;BW$44),(((BT64-BT63)^2)^0.5),(((((BW$44-BU63)*(BT64-BT63))/(BU64-BU63))^2)^0.5)),IF((BU64&lt;BW$44),(((((BW$44-BU64)*(BT64-BT63))/(BU63-BU64))^2)^0.5),0))),0),0))))</f>
        <v>0</v>
      </c>
      <c s="588" r="BY64">
        <f>IF(ISNA((BU64*BU63)),0,IF((BR63=FALSE),IF((BR64=FALSE),IF(ISNA(BQ64),0,IF((BU63&lt;BW$44),IF((BU64&lt;BW$44),((BW$44-((BU63+BU64)*0.5))*BX64),(((BW$44-BU63)*0.5)*BX64)),IF((BU64&lt;BW$44),(((BW$44-BU64)*0.5)*BX64),0))),0),0))</f>
        <v>0</v>
      </c>
      <c s="588" r="BZ64">
        <f>IF(ISNA((BU64*BU63)),0,IF((BR63=FALSE),IF((BR64=FALSE),IF(ISNA(BU64),0,IF((BU63&lt;BW$44),IF((BU64&lt;BW$44),(((BX64^2)+((BU64-BU63)^2))^0.5),(((BX64^2)+((BW$44-BU63)^2))^0.5)),IF((BU64&lt;BW$44),(((BX64^2)+((BW$44-BU64)^2))^0.5),0))),0),0))</f>
        <v>0</v>
      </c>
      <c s="588" r="CA64">
        <f>IF(ISNUMBER((BU64*BU63)),IF((BU63&gt;=BG$148),IF((BU64&lt;BG$148),1,0),IF((BU64&gt;=BG$148),IF((BU63&lt;BG$148),1,0),0)),0)</f>
        <v>0</v>
      </c>
      <c s="588" r="CB64">
        <f>IF(ISNA((BU64*BU63)),0,(IF((BT64&lt;BT63),-1,1)*(IF(ISNA(BU64),0,IF((BU63&lt;BG$148),IF((BU64&lt;BG$148),(((BT64-BT63)^2)^0.5),(((((BG$148-BU63)*(BT64-BT63))/(BU64-BU63))^2)^0.5)),IF((BU64&lt;BG$148),(((((BG$148-BU64)*(BT64-BT63))/(BU63-BU64))^2)^0.5),0))))))</f>
        <v>0</v>
      </c>
      <c s="441" r="CC64">
        <f>IF((BY64&gt;0),(MAX(CC$47:CC63)+1),0)</f>
        <v>0</v>
      </c>
      <c s="388" r="CD64"/>
      <c s="406" r="CE64"/>
      <c s="789" r="CF64"/>
      <c s="886" r="CG64"/>
      <c s="756" r="CH64"/>
      <c s="321" r="CI64"/>
      <c s="418" r="CJ64"/>
      <c s="550" r="CK64"/>
      <c s="550" r="CL64"/>
      <c t="str" s="620" r="CM64">
        <f>IF((COUNT(CL64:CL$146,CN64:CN$146)=0),NA(),IF(ISBLANK(CL64),CM63,(CM63+(CL64-CN63))))</f>
        <v>#N/A:explicit</v>
      </c>
      <c s="550" r="CN64"/>
      <c t="str" s="620" r="CO64">
        <f>IF(OR(ISBLANK(CN64),ISNUMBER(CL65)),NA(),(CM64-CN64))</f>
        <v>#N/A:explicit</v>
      </c>
      <c t="b" s="895" r="CP64">
        <v>0</v>
      </c>
      <c s="631" r="CQ64"/>
      <c t="str" s="309" r="CR64">
        <f>IF((COUNT(CK64:CK$146)=0),NA(),IF(ISBLANK(CK64),IF(ISBLANK(CK63),MAX(CK$46:CK64),CK63),CK64))</f>
        <v>#N/A:explicit</v>
      </c>
      <c t="str" s="861" r="CS64">
        <f>IF(ISNA(CO64),IF(ISNUMBER(CR64),CS63,NA()),CO64)</f>
        <v>#N/A:explicit</v>
      </c>
      <c s="861" r="CT64">
        <f>IF(ISNUMBER(CS64),CS64,(CM$46+1000))</f>
        <v>1000</v>
      </c>
      <c t="str" s="588" r="CU64">
        <f>IF((CP64=TRUE),NA(),IF((CU$44=(CM$46-MAX(CN$46:CN$146))),NA(),CU$44))</f>
        <v>#N/A:explicit</v>
      </c>
      <c s="588" r="CV64">
        <f>IF((ISNA(((CS64*CR64)*CS63))),0,(IF((CR64&lt;CR63),-1,1)*(IF((CP63=FALSE),IF((CP64=FALSE),IF(ISNA(CS64),0,IF((CS63&lt;CU$44),IF((CS64&lt;CU$44),(((CR64-CR63)^2)^0.5),(((((CU$44-CS63)*(CR64-CR63))/(CS64-CS63))^2)^0.5)),IF((CS64&lt;CU$44),(((((CU$44-CS64)*(CR64-CR63))/(CS63-CS64))^2)^0.5),0))),0),0))))</f>
        <v>0</v>
      </c>
      <c s="588" r="CW64">
        <f>IF(ISNA((CS64*CS63)),0,IF((CP63=FALSE),IF((CP64=FALSE),IF(ISNA(CO64),0,IF((CS63&lt;CU$44),IF((CS64&lt;CU$44),((CU$44-((CS63+CS64)*0.5))*CV64),(((CU$44-CS63)*0.5)*CV64)),IF((CS64&lt;CU$44),(((CU$44-CS64)*0.5)*CV64),0))),0),0))</f>
        <v>0</v>
      </c>
      <c s="588" r="CX64">
        <f>IF(ISNA((CS64*CS63)),0,IF((CP63=FALSE),IF((CP64=FALSE),IF(ISNA(CS64),0,IF((CS63&lt;CU$44),IF((CS64&lt;CU$44),(((CV64^2)+((CS64-CS63)^2))^0.5),(((CV64^2)+((CU$44-CS63)^2))^0.5)),IF((CS64&lt;CU$44),(((CV64^2)+((CU$44-CS64)^2))^0.5),0))),0),0))</f>
        <v>0</v>
      </c>
      <c s="588" r="CY64">
        <f>IF(ISNUMBER((CS64*CS63)),IF((CS63&gt;=CE$148),IF((CS64&lt;CE$148),1,0),IF((CS64&gt;=CE$148),IF((CS63&lt;CE$148),1,0),0)),0)</f>
        <v>0</v>
      </c>
      <c s="588" r="CZ64">
        <f>IF(ISNA((CS64*CS63)),0,(IF((CR64&lt;CR63),-1,1)*(IF(ISNA(CS64),0,IF((CS63&lt;CE$148),IF((CS64&lt;CE$148),(((CR64-CR63)^2)^0.5),(((((CE$148-CS63)*(CR64-CR63))/(CS64-CS63))^2)^0.5)),IF((CS64&lt;CE$148),(((((CE$148-CS64)*(CR64-CR63))/(CS63-CS64))^2)^0.5),0))))))</f>
        <v>0</v>
      </c>
      <c s="441" r="DA64">
        <f>IF((CW64&gt;0),(MAX(DA$47:DA63)+1),0)</f>
        <v>0</v>
      </c>
      <c s="388" r="DB64"/>
      <c s="406" r="DC64"/>
      <c s="789" r="DD64"/>
      <c s="886" r="DE64"/>
      <c s="756" r="DF64"/>
      <c s="321" r="DG64"/>
      <c s="418" r="DH64"/>
      <c s="550" r="DI64"/>
      <c s="550" r="DJ64"/>
      <c t="str" s="620" r="DK64">
        <f>IF((COUNT(DJ64:DJ$146,DL64:DL$146)=0),NA(),IF(ISBLANK(DJ64),DK63,(DK63+(DJ64-DL63))))</f>
        <v>#N/A:explicit</v>
      </c>
      <c s="550" r="DL64"/>
      <c t="str" s="620" r="DM64">
        <f>IF(OR(ISBLANK(DL64),ISNUMBER(DJ65)),NA(),(DK64-DL64))</f>
        <v>#N/A:explicit</v>
      </c>
      <c t="b" s="895" r="DN64">
        <v>0</v>
      </c>
      <c s="631" r="DO64"/>
      <c t="str" s="309" r="DP64">
        <f>IF((COUNT(DI64:DI$146)=0),NA(),IF(ISBLANK(DI64),IF(ISBLANK(DI63),MAX(DI$46:DI64),DI63),DI64))</f>
        <v>#N/A:explicit</v>
      </c>
      <c t="str" s="861" r="DQ64">
        <f>IF(ISNA(DM64),IF(ISNUMBER(DP64),DQ63,NA()),DM64)</f>
        <v>#N/A:explicit</v>
      </c>
      <c s="861" r="DR64">
        <f>IF(ISNUMBER(DQ64),DQ64,(DK$46+1000))</f>
        <v>1000</v>
      </c>
      <c t="str" s="588" r="DS64">
        <f>IF((DN64=TRUE),NA(),IF((DS$44=(DK$46-MAX(DL$46:DL$146))),NA(),DS$44))</f>
        <v>#N/A:explicit</v>
      </c>
      <c s="588" r="DT64">
        <f>IF((ISNA(((DQ64*DP64)*DQ63))),0,(IF((DP64&lt;DP63),-1,1)*(IF((DN63=FALSE),IF((DN64=FALSE),IF(ISNA(DQ64),0,IF((DQ63&lt;DS$44),IF((DQ64&lt;DS$44),(((DP64-DP63)^2)^0.5),(((((DS$44-DQ63)*(DP64-DP63))/(DQ64-DQ63))^2)^0.5)),IF((DQ64&lt;DS$44),(((((DS$44-DQ64)*(DP64-DP63))/(DQ63-DQ64))^2)^0.5),0))),0),0))))</f>
        <v>0</v>
      </c>
      <c s="588" r="DU64">
        <f>IF(ISNA((DQ64*DQ63)),0,IF((DN63=FALSE),IF((DN64=FALSE),IF(ISNA(DM64),0,IF((DQ63&lt;DS$44),IF((DQ64&lt;DS$44),((DS$44-((DQ63+DQ64)*0.5))*DT64),(((DS$44-DQ63)*0.5)*DT64)),IF((DQ64&lt;DS$44),(((DS$44-DQ64)*0.5)*DT64),0))),0),0))</f>
        <v>0</v>
      </c>
      <c s="588" r="DV64">
        <f>IF(ISNA((DQ64*DQ63)),0,IF((DN63=FALSE),IF((DN64=FALSE),IF(ISNA(DQ64),0,IF((DQ63&lt;DS$44),IF((DQ64&lt;DS$44),(((DT64^2)+((DQ64-DQ63)^2))^0.5),(((DT64^2)+((DS$44-DQ63)^2))^0.5)),IF((DQ64&lt;DS$44),(((DT64^2)+((DS$44-DQ64)^2))^0.5),0))),0),0))</f>
        <v>0</v>
      </c>
      <c s="588" r="DW64">
        <f>IF(ISNUMBER((DQ64*DQ63)),IF((DQ63&gt;=DC$148),IF((DQ64&lt;DC$148),1,0),IF((DQ64&gt;=DC$148),IF((DQ63&lt;DC$148),1,0),0)),0)</f>
        <v>0</v>
      </c>
      <c s="588" r="DX64">
        <f>IF(ISNA((DQ64*DQ63)),0,(IF((DP64&lt;DP63),-1,1)*(IF(ISNA(DQ64),0,IF((DQ63&lt;DC$148),IF((DQ64&lt;DC$148),(((DP64-DP63)^2)^0.5),(((((DC$148-DQ63)*(DP64-DP63))/(DQ64-DQ63))^2)^0.5)),IF((DQ64&lt;DC$148),(((((DC$148-DQ64)*(DP64-DP63))/(DQ63-DQ64))^2)^0.5),0))))))</f>
        <v>0</v>
      </c>
      <c s="441" r="DY64">
        <f>IF((DU64&gt;0),(MAX(DY$47:DY63)+1),0)</f>
        <v>0</v>
      </c>
      <c s="388" r="DZ64"/>
      <c s="406" r="EA64"/>
      <c s="789" r="EB64"/>
      <c s="886" r="EC64"/>
      <c s="756" r="ED64"/>
      <c s="321" r="EE64"/>
      <c s="418" r="EF64"/>
      <c s="550" r="EG64"/>
      <c s="550" r="EH64"/>
      <c t="str" s="620" r="EI64">
        <f>IF((COUNT(EH64:EH$146,EJ64:EJ$146)=0),NA(),IF(ISBLANK(EH64),EI63,(EI63+(EH64-EJ63))))</f>
        <v>#N/A:explicit</v>
      </c>
      <c s="550" r="EJ64"/>
      <c t="str" s="620" r="EK64">
        <f>IF(OR(ISBLANK(EJ64),ISNUMBER(EH65)),NA(),(EI64-EJ64))</f>
        <v>#N/A:explicit</v>
      </c>
      <c t="b" s="895" r="EL64">
        <v>0</v>
      </c>
      <c s="631" r="EM64"/>
      <c t="str" s="309" r="EN64">
        <f>IF((COUNT(EG64:EG$146)=0),NA(),IF(ISBLANK(EG64),IF(ISBLANK(EG63),MAX(EG$46:EG64),EG63),EG64))</f>
        <v>#N/A:explicit</v>
      </c>
      <c t="str" s="861" r="EO64">
        <f>IF(ISNA(EK64),IF(ISNUMBER(EN64),EO63,NA()),EK64)</f>
        <v>#N/A:explicit</v>
      </c>
      <c s="861" r="EP64">
        <f>IF(ISNUMBER(EO64),EO64,(EI$46+1000))</f>
        <v>1000</v>
      </c>
      <c t="str" s="588" r="EQ64">
        <f>IF((EL64=TRUE),NA(),IF((EQ$44=(EI$46-MAX(EJ$46:EJ$146))),NA(),EQ$44))</f>
        <v>#N/A:explicit</v>
      </c>
      <c s="588" r="ER64">
        <f>IF((ISNA(((EO64*EN64)*EO63))),0,(IF((EN64&lt;EN63),-1,1)*(IF((EL63=FALSE),IF((EL64=FALSE),IF(ISNA(EO64),0,IF((EO63&lt;EQ$44),IF((EO64&lt;EQ$44),(((EN64-EN63)^2)^0.5),(((((EQ$44-EO63)*(EN64-EN63))/(EO64-EO63))^2)^0.5)),IF((EO64&lt;EQ$44),(((((EQ$44-EO64)*(EN64-EN63))/(EO63-EO64))^2)^0.5),0))),0),0))))</f>
        <v>0</v>
      </c>
      <c s="588" r="ES64">
        <f>IF(ISNA((EO64*EO63)),0,IF((EL63=FALSE),IF((EL64=FALSE),IF(ISNA(EK64),0,IF((EO63&lt;EQ$44),IF((EO64&lt;EQ$44),((EQ$44-((EO63+EO64)*0.5))*ER64),(((EQ$44-EO63)*0.5)*ER64)),IF((EO64&lt;EQ$44),(((EQ$44-EO64)*0.5)*ER64),0))),0),0))</f>
        <v>0</v>
      </c>
      <c s="588" r="ET64">
        <f>IF(ISNA((EO64*EO63)),0,IF((EL63=FALSE),IF((EL64=FALSE),IF(ISNA(EO64),0,IF((EO63&lt;EQ$44),IF((EO64&lt;EQ$44),(((ER64^2)+((EO64-EO63)^2))^0.5),(((ER64^2)+((EQ$44-EO63)^2))^0.5)),IF((EO64&lt;EQ$44),(((ER64^2)+((EQ$44-EO64)^2))^0.5),0))),0),0))</f>
        <v>0</v>
      </c>
      <c s="588" r="EU64">
        <f>IF(ISNUMBER((EO64*EO63)),IF((EO63&gt;=EA$148),IF((EO64&lt;EA$148),1,0),IF((EO64&gt;=EA$148),IF((EO63&lt;EA$148),1,0),0)),0)</f>
        <v>0</v>
      </c>
      <c s="588" r="EV64">
        <f>IF(ISNA((EO64*EO63)),0,(IF((EN64&lt;EN63),-1,1)*(IF(ISNA(EO64),0,IF((EO63&lt;EA$148),IF((EO64&lt;EA$148),(((EN64-EN63)^2)^0.5),(((((EA$148-EO63)*(EN64-EN63))/(EO64-EO63))^2)^0.5)),IF((EO64&lt;EA$148),(((((EA$148-EO64)*(EN64-EN63))/(EO63-EO64))^2)^0.5),0))))))</f>
        <v>0</v>
      </c>
      <c s="441" r="EW64">
        <f>IF((ES64&gt;0),(MAX(EW$47:EW63)+1),0)</f>
        <v>0</v>
      </c>
      <c s="388" r="EX64"/>
      <c s="406" r="EY64"/>
      <c s="789" r="EZ64"/>
      <c s="886" r="FA64"/>
      <c s="756" r="FB64"/>
      <c s="321" r="FC64"/>
      <c s="418" r="FD64"/>
      <c s="550" r="FE64"/>
      <c s="550" r="FF64"/>
      <c t="str" s="620" r="FG64">
        <f>IF((COUNT(FF64:FF$146,FH64:FH$146)=0),NA(),IF(ISBLANK(FF64),FG63,(FG63+(FF64-FH63))))</f>
        <v>#N/A:explicit</v>
      </c>
      <c s="550" r="FH64"/>
      <c t="str" s="620" r="FI64">
        <f>IF(OR(ISBLANK(FH64),ISNUMBER(FF65)),NA(),(FG64-FH64))</f>
        <v>#N/A:explicit</v>
      </c>
      <c t="b" s="895" r="FJ64">
        <v>0</v>
      </c>
      <c s="631" r="FK64"/>
      <c t="str" s="309" r="FL64">
        <f>IF((COUNT(FE64:FE$146)=0),NA(),IF(ISBLANK(FE64),IF(ISBLANK(FE63),MAX(FE$46:FE64),FE63),FE64))</f>
        <v>#N/A:explicit</v>
      </c>
      <c t="str" s="861" r="FM64">
        <f>IF(ISNA(FI64),IF(ISNUMBER(FL64),FM63,NA()),FI64)</f>
        <v>#N/A:explicit</v>
      </c>
      <c s="861" r="FN64">
        <f>IF(ISNUMBER(FM64),FM64,(FG$46+1000))</f>
        <v>1000</v>
      </c>
      <c t="str" s="588" r="FO64">
        <f>IF((FJ64=TRUE),NA(),IF((FO$44=(FG$46-MAX(FH$46:FH$146))),NA(),FO$44))</f>
        <v>#N/A:explicit</v>
      </c>
      <c s="588" r="FP64">
        <f>IF((ISNA(((FM64*FL64)*FM63))),0,(IF((FL64&lt;FL63),-1,1)*(IF((FJ63=FALSE),IF((FJ64=FALSE),IF(ISNA(FM64),0,IF((FM63&lt;FO$44),IF((FM64&lt;FO$44),(((FL64-FL63)^2)^0.5),(((((FO$44-FM63)*(FL64-FL63))/(FM64-FM63))^2)^0.5)),IF((FM64&lt;FO$44),(((((FO$44-FM64)*(FL64-FL63))/(FM63-FM64))^2)^0.5),0))),0),0))))</f>
        <v>0</v>
      </c>
      <c s="588" r="FQ64">
        <f>IF(ISNA((FM64*FM63)),0,IF((FJ63=FALSE),IF((FJ64=FALSE),IF(ISNA(FI64),0,IF((FM63&lt;FO$44),IF((FM64&lt;FO$44),((FO$44-((FM63+FM64)*0.5))*FP64),(((FO$44-FM63)*0.5)*FP64)),IF((FM64&lt;FO$44),(((FO$44-FM64)*0.5)*FP64),0))),0),0))</f>
        <v>0</v>
      </c>
      <c s="588" r="FR64">
        <f>IF(ISNA((FM64*FM63)),0,IF((FJ63=FALSE),IF((FJ64=FALSE),IF(ISNA(FM64),0,IF((FM63&lt;FO$44),IF((FM64&lt;FO$44),(((FP64^2)+((FM64-FM63)^2))^0.5),(((FP64^2)+((FO$44-FM63)^2))^0.5)),IF((FM64&lt;FO$44),(((FP64^2)+((FO$44-FM64)^2))^0.5),0))),0),0))</f>
        <v>0</v>
      </c>
      <c s="588" r="FS64">
        <f>IF(ISNUMBER((FM64*FM63)),IF((FM63&gt;=EY$148),IF((FM64&lt;EY$148),1,0),IF((FM64&gt;=EY$148),IF((FM63&lt;EY$148),1,0),0)),0)</f>
        <v>0</v>
      </c>
      <c s="588" r="FT64">
        <f>IF(ISNA((FM64*FM63)),0,(IF((FL64&lt;FL63),-1,1)*(IF(ISNA(FM64),0,IF((FM63&lt;EY$148),IF((FM64&lt;EY$148),(((FL64-FL63)^2)^0.5),(((((EY$148-FM63)*(FL64-FL63))/(FM64-FM63))^2)^0.5)),IF((FM64&lt;EY$148),(((((EY$148-FM64)*(FL64-FL63))/(FM63-FM64))^2)^0.5),0))))))</f>
        <v>0</v>
      </c>
      <c s="441" r="FU64">
        <f>IF((FQ64&gt;0),(MAX(FU$47:FU63)+1),0)</f>
        <v>0</v>
      </c>
      <c s="222" r="FV64"/>
      <c s="125" r="FW64"/>
      <c s="125" r="FX64"/>
      <c s="125" r="FY64"/>
      <c s="125" r="FZ64"/>
      <c s="125" r="GA64"/>
      <c s="125" r="GB64"/>
      <c s="125" r="GC64"/>
      <c s="125" r="GD64"/>
      <c s="125" r="GE64"/>
      <c s="125" r="GF64"/>
      <c s="125" r="GG64"/>
      <c s="125" r="GH64"/>
      <c s="125" r="GI64"/>
      <c s="125" r="GJ64"/>
      <c s="125" r="GK64"/>
      <c s="125" r="GL64"/>
      <c s="125" r="GM64"/>
      <c s="125" r="GN64"/>
      <c s="125" r="GO64"/>
      <c s="125" r="GP64"/>
      <c s="125" r="GQ64"/>
      <c s="125" r="GR64"/>
      <c s="125" r="GS64"/>
      <c s="125" r="GT64"/>
      <c s="125" r="GU64"/>
      <c s="125" r="GV64"/>
      <c s="125" r="GW64"/>
      <c s="125" r="GX64"/>
      <c s="125" r="GY64"/>
      <c s="125" r="GZ64"/>
      <c s="125" r="HA64"/>
      <c s="125" r="HB64"/>
    </row>
    <row customHeight="1" r="65" ht="13.5">
      <c s="822" r="A65"/>
      <c s="406" r="B65"/>
      <c s="886" r="C65"/>
      <c s="886" r="D65"/>
      <c s="566" r="E65"/>
      <c s="886" r="F65"/>
      <c s="886" r="G65"/>
      <c s="886" r="H65"/>
      <c s="418" r="I65"/>
      <c s="702" r="J65"/>
      <c s="406" r="K65"/>
      <c t="s" s="729" r="L65">
        <v>569</v>
      </c>
      <c s="566" r="M65"/>
      <c s="529" r="N65"/>
      <c s="321" r="O65"/>
      <c s="418" r="P65"/>
      <c s="550" r="Q65"/>
      <c s="550" r="R65"/>
      <c t="str" s="620" r="S65">
        <f>IF((COUNT(R65:R$146,T65:T$146)=0),NA(),IF(ISBLANK(R65),S64,(S64+(R65-T64))))</f>
        <v>#N/A:explicit</v>
      </c>
      <c s="550" r="T65"/>
      <c t="str" s="620" r="U65">
        <f>IF(OR(ISBLANK(T65),ISNUMBER(R66)),NA(),(S65-T65))</f>
        <v>#N/A:explicit</v>
      </c>
      <c t="b" s="895" r="V65">
        <v>0</v>
      </c>
      <c s="631" r="W65"/>
      <c t="str" s="309" r="X65">
        <f>IF((COUNT(Q65:Q$146)=0),NA(),IF(ISBLANK(Q65),IF(ISBLANK(Q64),MAX(Q$46:Q65),Q64),Q65))</f>
        <v>#N/A:explicit</v>
      </c>
      <c t="str" s="861" r="Y65">
        <f>IF(ISNA(U65),IF(ISNUMBER(X65),Y64,NA()),U65)</f>
        <v>#N/A:explicit</v>
      </c>
      <c s="861" r="Z65">
        <f>IF(ISNUMBER(Y65),Y65,(S$46+1000))</f>
        <v>1000</v>
      </c>
      <c t="str" s="588" r="AA65">
        <f>IF((V65=TRUE),NA(),IF((AA$44=(S$46-MAX(T$46:T$146))),NA(),AA$44))</f>
        <v>#N/A:explicit</v>
      </c>
      <c s="588" r="AB65">
        <f>IF((ISNA(((Y65*X65)*Y64))),0,(IF((X65&lt;X64),-1,1)*(IF((V64=FALSE),IF((V65=FALSE),IF(ISNA(Y65),0,IF((Y64&lt;AA$44),IF((Y65&lt;AA$44),(((X65-X64)^2)^0.5),(((((AA$44-Y64)*(X65-X64))/(Y65-Y64))^2)^0.5)),IF((Y65&lt;AA$44),(((((AA$44-Y65)*(X65-X64))/(Y64-Y65))^2)^0.5),0))),0),0))))</f>
        <v>0</v>
      </c>
      <c s="588" r="AC65">
        <f>IF(ISNA((Y65*Y64)),0,IF((V64=FALSE),IF((V65=FALSE),IF(ISNA(U65),0,IF((Y64&lt;AA$44),IF((Y65&lt;AA$44),((AA$44-((Y64+Y65)*0.5))*AB65),(((AA$44-Y64)*0.5)*AB65)),IF((Y65&lt;AA$44),(((AA$44-Y65)*0.5)*AB65),0))),0),0))</f>
        <v>0</v>
      </c>
      <c s="588" r="AD65">
        <f>IF(ISNA((Y65*Y64)),0,IF((V64=FALSE),IF((V65=FALSE),IF(ISNA(Y65),0,IF((Y64&lt;AA$44),IF((Y65&lt;AA$44),(((AB65^2)+((Y65-Y64)^2))^0.5),(((AB65^2)+((AA$44-Y64)^2))^0.5)),IF((Y65&lt;AA$44),(((AB65^2)+((AA$44-Y65)^2))^0.5),0))),0),0))</f>
        <v>0</v>
      </c>
      <c s="588" r="AE65">
        <f>IF(ISNUMBER((Y65*Y64)),IF((Y64&gt;=K$148),IF((Y65&lt;K$148),1,0),IF((Y65&gt;=K$148),IF((Y64&lt;K$148),1,0),0)),0)</f>
        <v>0</v>
      </c>
      <c s="588" r="AF65">
        <f>IF(ISNA((Y65*Y64)),0,(IF((X65&lt;X64),-1,1)*(IF(ISNA(Y65),0,IF((Y64&lt;K$148),IF((Y65&lt;K$148),(((X65-X64)^2)^0.5),(((((K$148-Y64)*(X65-X64))/(Y65-Y64))^2)^0.5)),IF((Y65&lt;K$148),(((((K$148-Y65)*(X65-X64))/(Y64-Y65))^2)^0.5),0))))))</f>
        <v>0</v>
      </c>
      <c s="441" r="AG65">
        <f>IF((AC65&gt;0),(MAX(AG$47:AG64)+1),0)</f>
        <v>0</v>
      </c>
      <c s="388" r="AH65"/>
      <c s="406" r="AI65"/>
      <c t="s" s="729" r="AJ65">
        <v>569</v>
      </c>
      <c s="566" r="AK65"/>
      <c s="529" r="AL65"/>
      <c s="321" r="AM65"/>
      <c s="418" r="AN65"/>
      <c s="550" r="AO65"/>
      <c s="550" r="AP65"/>
      <c t="str" s="620" r="AQ65">
        <f>IF((COUNT(AP65:AP$146,AR65:AR$146)=0),NA(),IF(ISBLANK(AP65),AQ64,(AQ64+(AP65-AR64))))</f>
        <v>#N/A:explicit</v>
      </c>
      <c s="550" r="AR65"/>
      <c t="str" s="620" r="AS65">
        <f>IF(OR(ISBLANK(AR65),ISNUMBER(AP66)),NA(),(AQ65-AR65))</f>
        <v>#N/A:explicit</v>
      </c>
      <c t="b" s="895" r="AT65">
        <v>0</v>
      </c>
      <c s="631" r="AU65"/>
      <c t="str" s="309" r="AV65">
        <f>IF((COUNT(AO65:AO$146)=0),NA(),IF(ISBLANK(AO65),IF(ISBLANK(AO64),MAX(AO$46:AO65),AO64),AO65))</f>
        <v>#N/A:explicit</v>
      </c>
      <c t="str" s="861" r="AW65">
        <f>IF(ISNA(AS65),IF(ISNUMBER(AV65),AW64,NA()),AS65)</f>
        <v>#N/A:explicit</v>
      </c>
      <c s="861" r="AX65">
        <f>IF(ISNUMBER(AW65),AW65,(AQ$46+1000))</f>
        <v>1000</v>
      </c>
      <c t="str" s="588" r="AY65">
        <f>IF((AT65=TRUE),NA(),IF((AY$44=(AQ$46-MAX(AR$46:AR$146))),NA(),AY$44))</f>
        <v>#N/A:explicit</v>
      </c>
      <c s="588" r="AZ65">
        <f>IF((ISNA(((AW65*AV65)*AW64))),0,(IF((AV65&lt;AV64),-1,1)*(IF((AT64=FALSE),IF((AT65=FALSE),IF(ISNA(AW65),0,IF((AW64&lt;AY$44),IF((AW65&lt;AY$44),(((AV65-AV64)^2)^0.5),(((((AY$44-AW64)*(AV65-AV64))/(AW65-AW64))^2)^0.5)),IF((AW65&lt;AY$44),(((((AY$44-AW65)*(AV65-AV64))/(AW64-AW65))^2)^0.5),0))),0),0))))</f>
        <v>0</v>
      </c>
      <c s="588" r="BA65">
        <f>IF(ISNA((AW65*AW64)),0,IF((AT64=FALSE),IF((AT65=FALSE),IF(ISNA(AS65),0,IF((AW64&lt;AY$44),IF((AW65&lt;AY$44),((AY$44-((AW64+AW65)*0.5))*AZ65),(((AY$44-AW64)*0.5)*AZ65)),IF((AW65&lt;AY$44),(((AY$44-AW65)*0.5)*AZ65),0))),0),0))</f>
        <v>0</v>
      </c>
      <c s="588" r="BB65">
        <f>IF(ISNA((AW65*AW64)),0,IF((AT64=FALSE),IF((AT65=FALSE),IF(ISNA(AW65),0,IF((AW64&lt;AY$44),IF((AW65&lt;AY$44),(((AZ65^2)+((AW65-AW64)^2))^0.5),(((AZ65^2)+((AY$44-AW64)^2))^0.5)),IF((AW65&lt;AY$44),(((AZ65^2)+((AY$44-AW65)^2))^0.5),0))),0),0))</f>
        <v>0</v>
      </c>
      <c s="588" r="BC65">
        <f>IF(ISNUMBER((AW65*AW64)),IF((AW64&gt;=AI$148),IF((AW65&lt;AI$148),1,0),IF((AW65&gt;=AI$148),IF((AW64&lt;AI$148),1,0),0)),0)</f>
        <v>0</v>
      </c>
      <c s="588" r="BD65">
        <f>IF(ISNA((AW65*AW64)),0,(IF((AV65&lt;AV64),-1,1)*(IF(ISNA(AW65),0,IF((AW64&lt;AI$148),IF((AW65&lt;AI$148),(((AV65-AV64)^2)^0.5),(((((AI$148-AW64)*(AV65-AV64))/(AW65-AW64))^2)^0.5)),IF((AW65&lt;AI$148),(((((AI$148-AW65)*(AV65-AV64))/(AW64-AW65))^2)^0.5),0))))))</f>
        <v>0</v>
      </c>
      <c s="441" r="BE65">
        <f>IF((BA65&gt;0),(MAX(BE$47:BE64)+1),0)</f>
        <v>0</v>
      </c>
      <c s="388" r="BF65"/>
      <c s="406" r="BG65"/>
      <c t="s" s="729" r="BH65">
        <v>569</v>
      </c>
      <c s="566" r="BI65"/>
      <c s="529" r="BJ65"/>
      <c s="321" r="BK65"/>
      <c s="418" r="BL65"/>
      <c s="550" r="BM65"/>
      <c s="550" r="BN65"/>
      <c t="str" s="620" r="BO65">
        <f>IF((COUNT(BN65:BN$146,BP65:BP$146)=0),NA(),IF(ISBLANK(BN65),BO64,(BO64+(BN65-BP64))))</f>
        <v>#N/A:explicit</v>
      </c>
      <c s="550" r="BP65"/>
      <c t="str" s="620" r="BQ65">
        <f>IF(OR(ISBLANK(BP65),ISNUMBER(BN66)),NA(),(BO65-BP65))</f>
        <v>#N/A:explicit</v>
      </c>
      <c t="b" s="895" r="BR65">
        <v>0</v>
      </c>
      <c s="631" r="BS65"/>
      <c t="str" s="309" r="BT65">
        <f>IF((COUNT(BM65:BM$146)=0),NA(),IF(ISBLANK(BM65),IF(ISBLANK(BM64),MAX(BM$46:BM65),BM64),BM65))</f>
        <v>#N/A:explicit</v>
      </c>
      <c t="str" s="861" r="BU65">
        <f>IF(ISNA(BQ65),IF(ISNUMBER(BT65),BU64,NA()),BQ65)</f>
        <v>#N/A:explicit</v>
      </c>
      <c s="861" r="BV65">
        <f>IF(ISNUMBER(BU65),BU65,(BO$46+1000))</f>
        <v>1000</v>
      </c>
      <c t="str" s="588" r="BW65">
        <f>IF((BR65=TRUE),NA(),IF((BW$44=(BO$46-MAX(BP$46:BP$146))),NA(),BW$44))</f>
        <v>#N/A:explicit</v>
      </c>
      <c s="588" r="BX65">
        <f>IF((ISNA(((BU65*BT65)*BU64))),0,(IF((BT65&lt;BT64),-1,1)*(IF((BR64=FALSE),IF((BR65=FALSE),IF(ISNA(BU65),0,IF((BU64&lt;BW$44),IF((BU65&lt;BW$44),(((BT65-BT64)^2)^0.5),(((((BW$44-BU64)*(BT65-BT64))/(BU65-BU64))^2)^0.5)),IF((BU65&lt;BW$44),(((((BW$44-BU65)*(BT65-BT64))/(BU64-BU65))^2)^0.5),0))),0),0))))</f>
        <v>0</v>
      </c>
      <c s="588" r="BY65">
        <f>IF(ISNA((BU65*BU64)),0,IF((BR64=FALSE),IF((BR65=FALSE),IF(ISNA(BQ65),0,IF((BU64&lt;BW$44),IF((BU65&lt;BW$44),((BW$44-((BU64+BU65)*0.5))*BX65),(((BW$44-BU64)*0.5)*BX65)),IF((BU65&lt;BW$44),(((BW$44-BU65)*0.5)*BX65),0))),0),0))</f>
        <v>0</v>
      </c>
      <c s="588" r="BZ65">
        <f>IF(ISNA((BU65*BU64)),0,IF((BR64=FALSE),IF((BR65=FALSE),IF(ISNA(BU65),0,IF((BU64&lt;BW$44),IF((BU65&lt;BW$44),(((BX65^2)+((BU65-BU64)^2))^0.5),(((BX65^2)+((BW$44-BU64)^2))^0.5)),IF((BU65&lt;BW$44),(((BX65^2)+((BW$44-BU65)^2))^0.5),0))),0),0))</f>
        <v>0</v>
      </c>
      <c s="588" r="CA65">
        <f>IF(ISNUMBER((BU65*BU64)),IF((BU64&gt;=BG$148),IF((BU65&lt;BG$148),1,0),IF((BU65&gt;=BG$148),IF((BU64&lt;BG$148),1,0),0)),0)</f>
        <v>0</v>
      </c>
      <c s="588" r="CB65">
        <f>IF(ISNA((BU65*BU64)),0,(IF((BT65&lt;BT64),-1,1)*(IF(ISNA(BU65),0,IF((BU64&lt;BG$148),IF((BU65&lt;BG$148),(((BT65-BT64)^2)^0.5),(((((BG$148-BU64)*(BT65-BT64))/(BU65-BU64))^2)^0.5)),IF((BU65&lt;BG$148),(((((BG$148-BU65)*(BT65-BT64))/(BU64-BU65))^2)^0.5),0))))))</f>
        <v>0</v>
      </c>
      <c s="441" r="CC65">
        <f>IF((BY65&gt;0),(MAX(CC$47:CC64)+1),0)</f>
        <v>0</v>
      </c>
      <c s="388" r="CD65"/>
      <c s="406" r="CE65"/>
      <c t="s" s="729" r="CF65">
        <v>569</v>
      </c>
      <c s="566" r="CG65"/>
      <c s="529" r="CH65"/>
      <c s="321" r="CI65"/>
      <c s="418" r="CJ65"/>
      <c s="550" r="CK65"/>
      <c s="550" r="CL65"/>
      <c t="str" s="620" r="CM65">
        <f>IF((COUNT(CL65:CL$146,CN65:CN$146)=0),NA(),IF(ISBLANK(CL65),CM64,(CM64+(CL65-CN64))))</f>
        <v>#N/A:explicit</v>
      </c>
      <c s="550" r="CN65"/>
      <c t="str" s="620" r="CO65">
        <f>IF(OR(ISBLANK(CN65),ISNUMBER(CL66)),NA(),(CM65-CN65))</f>
        <v>#N/A:explicit</v>
      </c>
      <c t="b" s="895" r="CP65">
        <v>0</v>
      </c>
      <c s="631" r="CQ65"/>
      <c t="str" s="309" r="CR65">
        <f>IF((COUNT(CK65:CK$146)=0),NA(),IF(ISBLANK(CK65),IF(ISBLANK(CK64),MAX(CK$46:CK65),CK64),CK65))</f>
        <v>#N/A:explicit</v>
      </c>
      <c t="str" s="861" r="CS65">
        <f>IF(ISNA(CO65),IF(ISNUMBER(CR65),CS64,NA()),CO65)</f>
        <v>#N/A:explicit</v>
      </c>
      <c s="861" r="CT65">
        <f>IF(ISNUMBER(CS65),CS65,(CM$46+1000))</f>
        <v>1000</v>
      </c>
      <c t="str" s="588" r="CU65">
        <f>IF((CP65=TRUE),NA(),IF((CU$44=(CM$46-MAX(CN$46:CN$146))),NA(),CU$44))</f>
        <v>#N/A:explicit</v>
      </c>
      <c s="588" r="CV65">
        <f>IF((ISNA(((CS65*CR65)*CS64))),0,(IF((CR65&lt;CR64),-1,1)*(IF((CP64=FALSE),IF((CP65=FALSE),IF(ISNA(CS65),0,IF((CS64&lt;CU$44),IF((CS65&lt;CU$44),(((CR65-CR64)^2)^0.5),(((((CU$44-CS64)*(CR65-CR64))/(CS65-CS64))^2)^0.5)),IF((CS65&lt;CU$44),(((((CU$44-CS65)*(CR65-CR64))/(CS64-CS65))^2)^0.5),0))),0),0))))</f>
        <v>0</v>
      </c>
      <c s="588" r="CW65">
        <f>IF(ISNA((CS65*CS64)),0,IF((CP64=FALSE),IF((CP65=FALSE),IF(ISNA(CO65),0,IF((CS64&lt;CU$44),IF((CS65&lt;CU$44),((CU$44-((CS64+CS65)*0.5))*CV65),(((CU$44-CS64)*0.5)*CV65)),IF((CS65&lt;CU$44),(((CU$44-CS65)*0.5)*CV65),0))),0),0))</f>
        <v>0</v>
      </c>
      <c s="588" r="CX65">
        <f>IF(ISNA((CS65*CS64)),0,IF((CP64=FALSE),IF((CP65=FALSE),IF(ISNA(CS65),0,IF((CS64&lt;CU$44),IF((CS65&lt;CU$44),(((CV65^2)+((CS65-CS64)^2))^0.5),(((CV65^2)+((CU$44-CS64)^2))^0.5)),IF((CS65&lt;CU$44),(((CV65^2)+((CU$44-CS65)^2))^0.5),0))),0),0))</f>
        <v>0</v>
      </c>
      <c s="588" r="CY65">
        <f>IF(ISNUMBER((CS65*CS64)),IF((CS64&gt;=CE$148),IF((CS65&lt;CE$148),1,0),IF((CS65&gt;=CE$148),IF((CS64&lt;CE$148),1,0),0)),0)</f>
        <v>0</v>
      </c>
      <c s="588" r="CZ65">
        <f>IF(ISNA((CS65*CS64)),0,(IF((CR65&lt;CR64),-1,1)*(IF(ISNA(CS65),0,IF((CS64&lt;CE$148),IF((CS65&lt;CE$148),(((CR65-CR64)^2)^0.5),(((((CE$148-CS64)*(CR65-CR64))/(CS65-CS64))^2)^0.5)),IF((CS65&lt;CE$148),(((((CE$148-CS65)*(CR65-CR64))/(CS64-CS65))^2)^0.5),0))))))</f>
        <v>0</v>
      </c>
      <c s="441" r="DA65">
        <f>IF((CW65&gt;0),(MAX(DA$47:DA64)+1),0)</f>
        <v>0</v>
      </c>
      <c s="388" r="DB65"/>
      <c s="406" r="DC65"/>
      <c t="s" s="729" r="DD65">
        <v>569</v>
      </c>
      <c s="566" r="DE65"/>
      <c s="529" r="DF65"/>
      <c s="321" r="DG65"/>
      <c s="418" r="DH65"/>
      <c s="550" r="DI65"/>
      <c s="550" r="DJ65"/>
      <c t="str" s="620" r="DK65">
        <f>IF((COUNT(DJ65:DJ$146,DL65:DL$146)=0),NA(),IF(ISBLANK(DJ65),DK64,(DK64+(DJ65-DL64))))</f>
        <v>#N/A:explicit</v>
      </c>
      <c s="550" r="DL65"/>
      <c t="str" s="620" r="DM65">
        <f>IF(OR(ISBLANK(DL65),ISNUMBER(DJ66)),NA(),(DK65-DL65))</f>
        <v>#N/A:explicit</v>
      </c>
      <c t="b" s="895" r="DN65">
        <v>0</v>
      </c>
      <c s="631" r="DO65"/>
      <c t="str" s="309" r="DP65">
        <f>IF((COUNT(DI65:DI$146)=0),NA(),IF(ISBLANK(DI65),IF(ISBLANK(DI64),MAX(DI$46:DI65),DI64),DI65))</f>
        <v>#N/A:explicit</v>
      </c>
      <c t="str" s="861" r="DQ65">
        <f>IF(ISNA(DM65),IF(ISNUMBER(DP65),DQ64,NA()),DM65)</f>
        <v>#N/A:explicit</v>
      </c>
      <c s="861" r="DR65">
        <f>IF(ISNUMBER(DQ65),DQ65,(DK$46+1000))</f>
        <v>1000</v>
      </c>
      <c t="str" s="588" r="DS65">
        <f>IF((DN65=TRUE),NA(),IF((DS$44=(DK$46-MAX(DL$46:DL$146))),NA(),DS$44))</f>
        <v>#N/A:explicit</v>
      </c>
      <c s="588" r="DT65">
        <f>IF((ISNA(((DQ65*DP65)*DQ64))),0,(IF((DP65&lt;DP64),-1,1)*(IF((DN64=FALSE),IF((DN65=FALSE),IF(ISNA(DQ65),0,IF((DQ64&lt;DS$44),IF((DQ65&lt;DS$44),(((DP65-DP64)^2)^0.5),(((((DS$44-DQ64)*(DP65-DP64))/(DQ65-DQ64))^2)^0.5)),IF((DQ65&lt;DS$44),(((((DS$44-DQ65)*(DP65-DP64))/(DQ64-DQ65))^2)^0.5),0))),0),0))))</f>
        <v>0</v>
      </c>
      <c s="588" r="DU65">
        <f>IF(ISNA((DQ65*DQ64)),0,IF((DN64=FALSE),IF((DN65=FALSE),IF(ISNA(DM65),0,IF((DQ64&lt;DS$44),IF((DQ65&lt;DS$44),((DS$44-((DQ64+DQ65)*0.5))*DT65),(((DS$44-DQ64)*0.5)*DT65)),IF((DQ65&lt;DS$44),(((DS$44-DQ65)*0.5)*DT65),0))),0),0))</f>
        <v>0</v>
      </c>
      <c s="588" r="DV65">
        <f>IF(ISNA((DQ65*DQ64)),0,IF((DN64=FALSE),IF((DN65=FALSE),IF(ISNA(DQ65),0,IF((DQ64&lt;DS$44),IF((DQ65&lt;DS$44),(((DT65^2)+((DQ65-DQ64)^2))^0.5),(((DT65^2)+((DS$44-DQ64)^2))^0.5)),IF((DQ65&lt;DS$44),(((DT65^2)+((DS$44-DQ65)^2))^0.5),0))),0),0))</f>
        <v>0</v>
      </c>
      <c s="588" r="DW65">
        <f>IF(ISNUMBER((DQ65*DQ64)),IF((DQ64&gt;=DC$148),IF((DQ65&lt;DC$148),1,0),IF((DQ65&gt;=DC$148),IF((DQ64&lt;DC$148),1,0),0)),0)</f>
        <v>0</v>
      </c>
      <c s="588" r="DX65">
        <f>IF(ISNA((DQ65*DQ64)),0,(IF((DP65&lt;DP64),-1,1)*(IF(ISNA(DQ65),0,IF((DQ64&lt;DC$148),IF((DQ65&lt;DC$148),(((DP65-DP64)^2)^0.5),(((((DC$148-DQ64)*(DP65-DP64))/(DQ65-DQ64))^2)^0.5)),IF((DQ65&lt;DC$148),(((((DC$148-DQ65)*(DP65-DP64))/(DQ64-DQ65))^2)^0.5),0))))))</f>
        <v>0</v>
      </c>
      <c s="441" r="DY65">
        <f>IF((DU65&gt;0),(MAX(DY$47:DY64)+1),0)</f>
        <v>0</v>
      </c>
      <c s="388" r="DZ65"/>
      <c s="406" r="EA65"/>
      <c t="s" s="729" r="EB65">
        <v>569</v>
      </c>
      <c s="566" r="EC65"/>
      <c s="529" r="ED65"/>
      <c s="321" r="EE65"/>
      <c s="418" r="EF65"/>
      <c s="550" r="EG65"/>
      <c s="550" r="EH65"/>
      <c t="str" s="620" r="EI65">
        <f>IF((COUNT(EH65:EH$146,EJ65:EJ$146)=0),NA(),IF(ISBLANK(EH65),EI64,(EI64+(EH65-EJ64))))</f>
        <v>#N/A:explicit</v>
      </c>
      <c s="550" r="EJ65"/>
      <c t="str" s="620" r="EK65">
        <f>IF(OR(ISBLANK(EJ65),ISNUMBER(EH66)),NA(),(EI65-EJ65))</f>
        <v>#N/A:explicit</v>
      </c>
      <c t="b" s="895" r="EL65">
        <v>0</v>
      </c>
      <c s="631" r="EM65"/>
      <c t="str" s="309" r="EN65">
        <f>IF((COUNT(EG65:EG$146)=0),NA(),IF(ISBLANK(EG65),IF(ISBLANK(EG64),MAX(EG$46:EG65),EG64),EG65))</f>
        <v>#N/A:explicit</v>
      </c>
      <c t="str" s="861" r="EO65">
        <f>IF(ISNA(EK65),IF(ISNUMBER(EN65),EO64,NA()),EK65)</f>
        <v>#N/A:explicit</v>
      </c>
      <c s="861" r="EP65">
        <f>IF(ISNUMBER(EO65),EO65,(EI$46+1000))</f>
        <v>1000</v>
      </c>
      <c t="str" s="588" r="EQ65">
        <f>IF((EL65=TRUE),NA(),IF((EQ$44=(EI$46-MAX(EJ$46:EJ$146))),NA(),EQ$44))</f>
        <v>#N/A:explicit</v>
      </c>
      <c s="588" r="ER65">
        <f>IF((ISNA(((EO65*EN65)*EO64))),0,(IF((EN65&lt;EN64),-1,1)*(IF((EL64=FALSE),IF((EL65=FALSE),IF(ISNA(EO65),0,IF((EO64&lt;EQ$44),IF((EO65&lt;EQ$44),(((EN65-EN64)^2)^0.5),(((((EQ$44-EO64)*(EN65-EN64))/(EO65-EO64))^2)^0.5)),IF((EO65&lt;EQ$44),(((((EQ$44-EO65)*(EN65-EN64))/(EO64-EO65))^2)^0.5),0))),0),0))))</f>
        <v>0</v>
      </c>
      <c s="588" r="ES65">
        <f>IF(ISNA((EO65*EO64)),0,IF((EL64=FALSE),IF((EL65=FALSE),IF(ISNA(EK65),0,IF((EO64&lt;EQ$44),IF((EO65&lt;EQ$44),((EQ$44-((EO64+EO65)*0.5))*ER65),(((EQ$44-EO64)*0.5)*ER65)),IF((EO65&lt;EQ$44),(((EQ$44-EO65)*0.5)*ER65),0))),0),0))</f>
        <v>0</v>
      </c>
      <c s="588" r="ET65">
        <f>IF(ISNA((EO65*EO64)),0,IF((EL64=FALSE),IF((EL65=FALSE),IF(ISNA(EO65),0,IF((EO64&lt;EQ$44),IF((EO65&lt;EQ$44),(((ER65^2)+((EO65-EO64)^2))^0.5),(((ER65^2)+((EQ$44-EO64)^2))^0.5)),IF((EO65&lt;EQ$44),(((ER65^2)+((EQ$44-EO65)^2))^0.5),0))),0),0))</f>
        <v>0</v>
      </c>
      <c s="588" r="EU65">
        <f>IF(ISNUMBER((EO65*EO64)),IF((EO64&gt;=EA$148),IF((EO65&lt;EA$148),1,0),IF((EO65&gt;=EA$148),IF((EO64&lt;EA$148),1,0),0)),0)</f>
        <v>0</v>
      </c>
      <c s="588" r="EV65">
        <f>IF(ISNA((EO65*EO64)),0,(IF((EN65&lt;EN64),-1,1)*(IF(ISNA(EO65),0,IF((EO64&lt;EA$148),IF((EO65&lt;EA$148),(((EN65-EN64)^2)^0.5),(((((EA$148-EO64)*(EN65-EN64))/(EO65-EO64))^2)^0.5)),IF((EO65&lt;EA$148),(((((EA$148-EO65)*(EN65-EN64))/(EO64-EO65))^2)^0.5),0))))))</f>
        <v>0</v>
      </c>
      <c s="441" r="EW65">
        <f>IF((ES65&gt;0),(MAX(EW$47:EW64)+1),0)</f>
        <v>0</v>
      </c>
      <c s="388" r="EX65"/>
      <c s="406" r="EY65"/>
      <c t="s" s="729" r="EZ65">
        <v>569</v>
      </c>
      <c s="566" r="FA65"/>
      <c s="529" r="FB65"/>
      <c s="321" r="FC65"/>
      <c s="418" r="FD65"/>
      <c s="550" r="FE65"/>
      <c s="550" r="FF65"/>
      <c t="str" s="620" r="FG65">
        <f>IF((COUNT(FF65:FF$146,FH65:FH$146)=0),NA(),IF(ISBLANK(FF65),FG64,(FG64+(FF65-FH64))))</f>
        <v>#N/A:explicit</v>
      </c>
      <c s="550" r="FH65"/>
      <c t="str" s="620" r="FI65">
        <f>IF(OR(ISBLANK(FH65),ISNUMBER(FF66)),NA(),(FG65-FH65))</f>
        <v>#N/A:explicit</v>
      </c>
      <c t="b" s="895" r="FJ65">
        <v>0</v>
      </c>
      <c s="631" r="FK65"/>
      <c t="str" s="309" r="FL65">
        <f>IF((COUNT(FE65:FE$146)=0),NA(),IF(ISBLANK(FE65),IF(ISBLANK(FE64),MAX(FE$46:FE65),FE64),FE65))</f>
        <v>#N/A:explicit</v>
      </c>
      <c t="str" s="861" r="FM65">
        <f>IF(ISNA(FI65),IF(ISNUMBER(FL65),FM64,NA()),FI65)</f>
        <v>#N/A:explicit</v>
      </c>
      <c s="861" r="FN65">
        <f>IF(ISNUMBER(FM65),FM65,(FG$46+1000))</f>
        <v>1000</v>
      </c>
      <c t="str" s="588" r="FO65">
        <f>IF((FJ65=TRUE),NA(),IF((FO$44=(FG$46-MAX(FH$46:FH$146))),NA(),FO$44))</f>
        <v>#N/A:explicit</v>
      </c>
      <c s="588" r="FP65">
        <f>IF((ISNA(((FM65*FL65)*FM64))),0,(IF((FL65&lt;FL64),-1,1)*(IF((FJ64=FALSE),IF((FJ65=FALSE),IF(ISNA(FM65),0,IF((FM64&lt;FO$44),IF((FM65&lt;FO$44),(((FL65-FL64)^2)^0.5),(((((FO$44-FM64)*(FL65-FL64))/(FM65-FM64))^2)^0.5)),IF((FM65&lt;FO$44),(((((FO$44-FM65)*(FL65-FL64))/(FM64-FM65))^2)^0.5),0))),0),0))))</f>
        <v>0</v>
      </c>
      <c s="588" r="FQ65">
        <f>IF(ISNA((FM65*FM64)),0,IF((FJ64=FALSE),IF((FJ65=FALSE),IF(ISNA(FI65),0,IF((FM64&lt;FO$44),IF((FM65&lt;FO$44),((FO$44-((FM64+FM65)*0.5))*FP65),(((FO$44-FM64)*0.5)*FP65)),IF((FM65&lt;FO$44),(((FO$44-FM65)*0.5)*FP65),0))),0),0))</f>
        <v>0</v>
      </c>
      <c s="588" r="FR65">
        <f>IF(ISNA((FM65*FM64)),0,IF((FJ64=FALSE),IF((FJ65=FALSE),IF(ISNA(FM65),0,IF((FM64&lt;FO$44),IF((FM65&lt;FO$44),(((FP65^2)+((FM65-FM64)^2))^0.5),(((FP65^2)+((FO$44-FM64)^2))^0.5)),IF((FM65&lt;FO$44),(((FP65^2)+((FO$44-FM65)^2))^0.5),0))),0),0))</f>
        <v>0</v>
      </c>
      <c s="588" r="FS65">
        <f>IF(ISNUMBER((FM65*FM64)),IF((FM64&gt;=EY$148),IF((FM65&lt;EY$148),1,0),IF((FM65&gt;=EY$148),IF((FM64&lt;EY$148),1,0),0)),0)</f>
        <v>0</v>
      </c>
      <c s="588" r="FT65">
        <f>IF(ISNA((FM65*FM64)),0,(IF((FL65&lt;FL64),-1,1)*(IF(ISNA(FM65),0,IF((FM64&lt;EY$148),IF((FM65&lt;EY$148),(((FL65-FL64)^2)^0.5),(((((EY$148-FM64)*(FL65-FL64))/(FM65-FM64))^2)^0.5)),IF((FM65&lt;EY$148),(((((EY$148-FM65)*(FL65-FL64))/(FM64-FM65))^2)^0.5),0))))))</f>
        <v>0</v>
      </c>
      <c s="441" r="FU65">
        <f>IF((FQ65&gt;0),(MAX(FU$47:FU64)+1),0)</f>
        <v>0</v>
      </c>
      <c s="222" r="FV65"/>
      <c s="125" r="FW65"/>
      <c s="125" r="FX65"/>
      <c s="125" r="FY65"/>
      <c s="125" r="FZ65"/>
      <c s="125" r="GA65"/>
      <c s="125" r="GB65"/>
      <c s="125" r="GC65"/>
      <c s="125" r="GD65"/>
      <c s="125" r="GE65"/>
      <c s="125" r="GF65"/>
      <c s="125" r="GG65"/>
      <c s="125" r="GH65"/>
      <c s="125" r="GI65"/>
      <c s="125" r="GJ65"/>
      <c s="125" r="GK65"/>
      <c s="125" r="GL65"/>
      <c s="125" r="GM65"/>
      <c s="125" r="GN65"/>
      <c s="125" r="GO65"/>
      <c s="125" r="GP65"/>
      <c s="125" r="GQ65"/>
      <c s="125" r="GR65"/>
      <c s="125" r="GS65"/>
      <c s="125" r="GT65"/>
      <c s="125" r="GU65"/>
      <c s="125" r="GV65"/>
      <c s="125" r="GW65"/>
      <c s="125" r="GX65"/>
      <c s="125" r="GY65"/>
      <c s="125" r="GZ65"/>
      <c s="125" r="HA65"/>
      <c s="125" r="HB65"/>
    </row>
    <row customHeight="1" r="66" ht="13.5">
      <c s="822" r="A66"/>
      <c s="406" r="B66"/>
      <c s="886" r="C66"/>
      <c t="s" s="836" r="D66">
        <v>262</v>
      </c>
      <c s="458" r="E66"/>
      <c s="406" r="F66"/>
      <c s="886" r="G66"/>
      <c s="886" r="H66"/>
      <c s="418" r="I66"/>
      <c s="702" r="J66"/>
      <c s="406" r="K66"/>
      <c s="301" r="L66"/>
      <c t="s" s="7" r="M66">
        <v>597</v>
      </c>
      <c s="550" r="N66"/>
      <c t="str" s="108" r="O66">
        <f>IF(ISNUMBER(((O67*T35)*T37)),((((((O67/8)^0.5)*IF((V148=2),1,1.486))*(L31^0.666))*((T35/100)^0.5))/T37),"---")</f>
        <v>---</v>
      </c>
      <c s="418" r="P66"/>
      <c s="550" r="Q66"/>
      <c s="550" r="R66"/>
      <c t="str" s="620" r="S66">
        <f>IF((COUNT(R66:R$146,T66:T$146)=0),NA(),IF(ISBLANK(R66),S65,(S65+(R66-T65))))</f>
        <v>#N/A:explicit</v>
      </c>
      <c s="550" r="T66"/>
      <c t="str" s="620" r="U66">
        <f>IF(OR(ISBLANK(T66),ISNUMBER(R67)),NA(),(S66-T66))</f>
        <v>#N/A:explicit</v>
      </c>
      <c t="b" s="895" r="V66">
        <v>0</v>
      </c>
      <c s="631" r="W66"/>
      <c t="str" s="309" r="X66">
        <f>IF((COUNT(Q66:Q$146)=0),NA(),IF(ISBLANK(Q66),IF(ISBLANK(Q65),MAX(Q$46:Q66),Q65),Q66))</f>
        <v>#N/A:explicit</v>
      </c>
      <c t="str" s="861" r="Y66">
        <f>IF(ISNA(U66),IF(ISNUMBER(X66),Y65,NA()),U66)</f>
        <v>#N/A:explicit</v>
      </c>
      <c s="861" r="Z66">
        <f>IF(ISNUMBER(Y66),Y66,(S$46+1000))</f>
        <v>1000</v>
      </c>
      <c t="str" s="588" r="AA66">
        <f>IF((V66=TRUE),NA(),IF((AA$44=(S$46-MAX(T$46:T$146))),NA(),AA$44))</f>
        <v>#N/A:explicit</v>
      </c>
      <c s="588" r="AB66">
        <f>IF((ISNA(((Y66*X66)*Y65))),0,(IF((X66&lt;X65),-1,1)*(IF((V65=FALSE),IF((V66=FALSE),IF(ISNA(Y66),0,IF((Y65&lt;AA$44),IF((Y66&lt;AA$44),(((X66-X65)^2)^0.5),(((((AA$44-Y65)*(X66-X65))/(Y66-Y65))^2)^0.5)),IF((Y66&lt;AA$44),(((((AA$44-Y66)*(X66-X65))/(Y65-Y66))^2)^0.5),0))),0),0))))</f>
        <v>0</v>
      </c>
      <c s="588" r="AC66">
        <f>IF(ISNA((Y66*Y65)),0,IF((V65=FALSE),IF((V66=FALSE),IF(ISNA(U66),0,IF((Y65&lt;AA$44),IF((Y66&lt;AA$44),((AA$44-((Y65+Y66)*0.5))*AB66),(((AA$44-Y65)*0.5)*AB66)),IF((Y66&lt;AA$44),(((AA$44-Y66)*0.5)*AB66),0))),0),0))</f>
        <v>0</v>
      </c>
      <c s="588" r="AD66">
        <f>IF(ISNA((Y66*Y65)),0,IF((V65=FALSE),IF((V66=FALSE),IF(ISNA(Y66),0,IF((Y65&lt;AA$44),IF((Y66&lt;AA$44),(((AB66^2)+((Y66-Y65)^2))^0.5),(((AB66^2)+((AA$44-Y65)^2))^0.5)),IF((Y66&lt;AA$44),(((AB66^2)+((AA$44-Y66)^2))^0.5),0))),0),0))</f>
        <v>0</v>
      </c>
      <c s="588" r="AE66">
        <f>IF(ISNUMBER((Y66*Y65)),IF((Y65&gt;=K$148),IF((Y66&lt;K$148),1,0),IF((Y66&gt;=K$148),IF((Y65&lt;K$148),1,0),0)),0)</f>
        <v>0</v>
      </c>
      <c s="588" r="AF66">
        <f>IF(ISNA((Y66*Y65)),0,(IF((X66&lt;X65),-1,1)*(IF(ISNA(Y66),0,IF((Y65&lt;K$148),IF((Y66&lt;K$148),(((X66-X65)^2)^0.5),(((((K$148-Y65)*(X66-X65))/(Y66-Y65))^2)^0.5)),IF((Y66&lt;K$148),(((((K$148-Y66)*(X66-X65))/(Y65-Y66))^2)^0.5),0))))))</f>
        <v>0</v>
      </c>
      <c s="441" r="AG66">
        <f>IF((AC66&gt;0),(MAX(AG$47:AG65)+1),0)</f>
        <v>0</v>
      </c>
      <c s="388" r="AH66"/>
      <c s="406" r="AI66"/>
      <c s="301" r="AJ66"/>
      <c t="s" s="7" r="AK66">
        <v>597</v>
      </c>
      <c s="550" r="AL66"/>
      <c t="str" s="108" r="AM66">
        <f>IF(ISNUMBER(((AM67*AR35)*AR37)),((((((AM67/8)^0.5)*IF((AT148=2),1,1.486))*(AJ31^0.666))*((AR35/100)^0.5))/AR37),"---")</f>
        <v>---</v>
      </c>
      <c s="418" r="AN66"/>
      <c s="550" r="AO66"/>
      <c s="550" r="AP66"/>
      <c t="str" s="620" r="AQ66">
        <f>IF((COUNT(AP66:AP$146,AR66:AR$146)=0),NA(),IF(ISBLANK(AP66),AQ65,(AQ65+(AP66-AR65))))</f>
        <v>#N/A:explicit</v>
      </c>
      <c s="550" r="AR66"/>
      <c t="str" s="620" r="AS66">
        <f>IF(OR(ISBLANK(AR66),ISNUMBER(AP67)),NA(),(AQ66-AR66))</f>
        <v>#N/A:explicit</v>
      </c>
      <c t="b" s="895" r="AT66">
        <v>0</v>
      </c>
      <c s="631" r="AU66"/>
      <c t="str" s="309" r="AV66">
        <f>IF((COUNT(AO66:AO$146)=0),NA(),IF(ISBLANK(AO66),IF(ISBLANK(AO65),MAX(AO$46:AO66),AO65),AO66))</f>
        <v>#N/A:explicit</v>
      </c>
      <c t="str" s="861" r="AW66">
        <f>IF(ISNA(AS66),IF(ISNUMBER(AV66),AW65,NA()),AS66)</f>
        <v>#N/A:explicit</v>
      </c>
      <c s="861" r="AX66">
        <f>IF(ISNUMBER(AW66),AW66,(AQ$46+1000))</f>
        <v>1000</v>
      </c>
      <c t="str" s="588" r="AY66">
        <f>IF((AT66=TRUE),NA(),IF((AY$44=(AQ$46-MAX(AR$46:AR$146))),NA(),AY$44))</f>
        <v>#N/A:explicit</v>
      </c>
      <c s="588" r="AZ66">
        <f>IF((ISNA(((AW66*AV66)*AW65))),0,(IF((AV66&lt;AV65),-1,1)*(IF((AT65=FALSE),IF((AT66=FALSE),IF(ISNA(AW66),0,IF((AW65&lt;AY$44),IF((AW66&lt;AY$44),(((AV66-AV65)^2)^0.5),(((((AY$44-AW65)*(AV66-AV65))/(AW66-AW65))^2)^0.5)),IF((AW66&lt;AY$44),(((((AY$44-AW66)*(AV66-AV65))/(AW65-AW66))^2)^0.5),0))),0),0))))</f>
        <v>0</v>
      </c>
      <c s="588" r="BA66">
        <f>IF(ISNA((AW66*AW65)),0,IF((AT65=FALSE),IF((AT66=FALSE),IF(ISNA(AS66),0,IF((AW65&lt;AY$44),IF((AW66&lt;AY$44),((AY$44-((AW65+AW66)*0.5))*AZ66),(((AY$44-AW65)*0.5)*AZ66)),IF((AW66&lt;AY$44),(((AY$44-AW66)*0.5)*AZ66),0))),0),0))</f>
        <v>0</v>
      </c>
      <c s="588" r="BB66">
        <f>IF(ISNA((AW66*AW65)),0,IF((AT65=FALSE),IF((AT66=FALSE),IF(ISNA(AW66),0,IF((AW65&lt;AY$44),IF((AW66&lt;AY$44),(((AZ66^2)+((AW66-AW65)^2))^0.5),(((AZ66^2)+((AY$44-AW65)^2))^0.5)),IF((AW66&lt;AY$44),(((AZ66^2)+((AY$44-AW66)^2))^0.5),0))),0),0))</f>
        <v>0</v>
      </c>
      <c s="588" r="BC66">
        <f>IF(ISNUMBER((AW66*AW65)),IF((AW65&gt;=AI$148),IF((AW66&lt;AI$148),1,0),IF((AW66&gt;=AI$148),IF((AW65&lt;AI$148),1,0),0)),0)</f>
        <v>0</v>
      </c>
      <c s="588" r="BD66">
        <f>IF(ISNA((AW66*AW65)),0,(IF((AV66&lt;AV65),-1,1)*(IF(ISNA(AW66),0,IF((AW65&lt;AI$148),IF((AW66&lt;AI$148),(((AV66-AV65)^2)^0.5),(((((AI$148-AW65)*(AV66-AV65))/(AW66-AW65))^2)^0.5)),IF((AW66&lt;AI$148),(((((AI$148-AW66)*(AV66-AV65))/(AW65-AW66))^2)^0.5),0))))))</f>
        <v>0</v>
      </c>
      <c s="441" r="BE66">
        <f>IF((BA66&gt;0),(MAX(BE$47:BE65)+1),0)</f>
        <v>0</v>
      </c>
      <c s="388" r="BF66"/>
      <c s="406" r="BG66"/>
      <c s="301" r="BH66"/>
      <c t="s" s="7" r="BI66">
        <v>597</v>
      </c>
      <c s="550" r="BJ66"/>
      <c t="str" s="108" r="BK66">
        <f>IF(ISNUMBER(((BK67*BP35)*BP37)),((((((BK67/8)^0.5)*IF((BR148=2),1,1.486))*(BH31^0.666))*((BP35/100)^0.5))/BP37),"---")</f>
        <v>---</v>
      </c>
      <c s="418" r="BL66"/>
      <c s="550" r="BM66"/>
      <c s="550" r="BN66"/>
      <c t="str" s="620" r="BO66">
        <f>IF((COUNT(BN66:BN$146,BP66:BP$146)=0),NA(),IF(ISBLANK(BN66),BO65,(BO65+(BN66-BP65))))</f>
        <v>#N/A:explicit</v>
      </c>
      <c s="550" r="BP66"/>
      <c t="str" s="620" r="BQ66">
        <f>IF(OR(ISBLANK(BP66),ISNUMBER(BN67)),NA(),(BO66-BP66))</f>
        <v>#N/A:explicit</v>
      </c>
      <c t="b" s="895" r="BR66">
        <v>0</v>
      </c>
      <c s="631" r="BS66"/>
      <c t="str" s="309" r="BT66">
        <f>IF((COUNT(BM66:BM$146)=0),NA(),IF(ISBLANK(BM66),IF(ISBLANK(BM65),MAX(BM$46:BM66),BM65),BM66))</f>
        <v>#N/A:explicit</v>
      </c>
      <c t="str" s="861" r="BU66">
        <f>IF(ISNA(BQ66),IF(ISNUMBER(BT66),BU65,NA()),BQ66)</f>
        <v>#N/A:explicit</v>
      </c>
      <c s="861" r="BV66">
        <f>IF(ISNUMBER(BU66),BU66,(BO$46+1000))</f>
        <v>1000</v>
      </c>
      <c t="str" s="588" r="BW66">
        <f>IF((BR66=TRUE),NA(),IF((BW$44=(BO$46-MAX(BP$46:BP$146))),NA(),BW$44))</f>
        <v>#N/A:explicit</v>
      </c>
      <c s="588" r="BX66">
        <f>IF((ISNA(((BU66*BT66)*BU65))),0,(IF((BT66&lt;BT65),-1,1)*(IF((BR65=FALSE),IF((BR66=FALSE),IF(ISNA(BU66),0,IF((BU65&lt;BW$44),IF((BU66&lt;BW$44),(((BT66-BT65)^2)^0.5),(((((BW$44-BU65)*(BT66-BT65))/(BU66-BU65))^2)^0.5)),IF((BU66&lt;BW$44),(((((BW$44-BU66)*(BT66-BT65))/(BU65-BU66))^2)^0.5),0))),0),0))))</f>
        <v>0</v>
      </c>
      <c s="588" r="BY66">
        <f>IF(ISNA((BU66*BU65)),0,IF((BR65=FALSE),IF((BR66=FALSE),IF(ISNA(BQ66),0,IF((BU65&lt;BW$44),IF((BU66&lt;BW$44),((BW$44-((BU65+BU66)*0.5))*BX66),(((BW$44-BU65)*0.5)*BX66)),IF((BU66&lt;BW$44),(((BW$44-BU66)*0.5)*BX66),0))),0),0))</f>
        <v>0</v>
      </c>
      <c s="588" r="BZ66">
        <f>IF(ISNA((BU66*BU65)),0,IF((BR65=FALSE),IF((BR66=FALSE),IF(ISNA(BU66),0,IF((BU65&lt;BW$44),IF((BU66&lt;BW$44),(((BX66^2)+((BU66-BU65)^2))^0.5),(((BX66^2)+((BW$44-BU65)^2))^0.5)),IF((BU66&lt;BW$44),(((BX66^2)+((BW$44-BU66)^2))^0.5),0))),0),0))</f>
        <v>0</v>
      </c>
      <c s="588" r="CA66">
        <f>IF(ISNUMBER((BU66*BU65)),IF((BU65&gt;=BG$148),IF((BU66&lt;BG$148),1,0),IF((BU66&gt;=BG$148),IF((BU65&lt;BG$148),1,0),0)),0)</f>
        <v>0</v>
      </c>
      <c s="588" r="CB66">
        <f>IF(ISNA((BU66*BU65)),0,(IF((BT66&lt;BT65),-1,1)*(IF(ISNA(BU66),0,IF((BU65&lt;BG$148),IF((BU66&lt;BG$148),(((BT66-BT65)^2)^0.5),(((((BG$148-BU65)*(BT66-BT65))/(BU66-BU65))^2)^0.5)),IF((BU66&lt;BG$148),(((((BG$148-BU66)*(BT66-BT65))/(BU65-BU66))^2)^0.5),0))))))</f>
        <v>0</v>
      </c>
      <c s="441" r="CC66">
        <f>IF((BY66&gt;0),(MAX(CC$47:CC65)+1),0)</f>
        <v>0</v>
      </c>
      <c s="388" r="CD66"/>
      <c s="406" r="CE66"/>
      <c s="301" r="CF66"/>
      <c t="s" s="7" r="CG66">
        <v>597</v>
      </c>
      <c s="550" r="CH66"/>
      <c t="str" s="108" r="CI66">
        <f>IF(ISNUMBER(((CI67*CN35)*CN37)),((((((CI67/8)^0.5)*IF((CP148=2),1,1.486))*(CF31^0.666))*((CN35/100)^0.5))/CN37),"---")</f>
        <v>---</v>
      </c>
      <c s="418" r="CJ66"/>
      <c s="550" r="CK66"/>
      <c s="550" r="CL66"/>
      <c t="str" s="620" r="CM66">
        <f>IF((COUNT(CL66:CL$146,CN66:CN$146)=0),NA(),IF(ISBLANK(CL66),CM65,(CM65+(CL66-CN65))))</f>
        <v>#N/A:explicit</v>
      </c>
      <c s="550" r="CN66"/>
      <c t="str" s="620" r="CO66">
        <f>IF(OR(ISBLANK(CN66),ISNUMBER(CL67)),NA(),(CM66-CN66))</f>
        <v>#N/A:explicit</v>
      </c>
      <c t="b" s="895" r="CP66">
        <v>0</v>
      </c>
      <c s="631" r="CQ66"/>
      <c t="str" s="309" r="CR66">
        <f>IF((COUNT(CK66:CK$146)=0),NA(),IF(ISBLANK(CK66),IF(ISBLANK(CK65),MAX(CK$46:CK66),CK65),CK66))</f>
        <v>#N/A:explicit</v>
      </c>
      <c t="str" s="861" r="CS66">
        <f>IF(ISNA(CO66),IF(ISNUMBER(CR66),CS65,NA()),CO66)</f>
        <v>#N/A:explicit</v>
      </c>
      <c s="861" r="CT66">
        <f>IF(ISNUMBER(CS66),CS66,(CM$46+1000))</f>
        <v>1000</v>
      </c>
      <c t="str" s="588" r="CU66">
        <f>IF((CP66=TRUE),NA(),IF((CU$44=(CM$46-MAX(CN$46:CN$146))),NA(),CU$44))</f>
        <v>#N/A:explicit</v>
      </c>
      <c s="588" r="CV66">
        <f>IF((ISNA(((CS66*CR66)*CS65))),0,(IF((CR66&lt;CR65),-1,1)*(IF((CP65=FALSE),IF((CP66=FALSE),IF(ISNA(CS66),0,IF((CS65&lt;CU$44),IF((CS66&lt;CU$44),(((CR66-CR65)^2)^0.5),(((((CU$44-CS65)*(CR66-CR65))/(CS66-CS65))^2)^0.5)),IF((CS66&lt;CU$44),(((((CU$44-CS66)*(CR66-CR65))/(CS65-CS66))^2)^0.5),0))),0),0))))</f>
        <v>0</v>
      </c>
      <c s="588" r="CW66">
        <f>IF(ISNA((CS66*CS65)),0,IF((CP65=FALSE),IF((CP66=FALSE),IF(ISNA(CO66),0,IF((CS65&lt;CU$44),IF((CS66&lt;CU$44),((CU$44-((CS65+CS66)*0.5))*CV66),(((CU$44-CS65)*0.5)*CV66)),IF((CS66&lt;CU$44),(((CU$44-CS66)*0.5)*CV66),0))),0),0))</f>
        <v>0</v>
      </c>
      <c s="588" r="CX66">
        <f>IF(ISNA((CS66*CS65)),0,IF((CP65=FALSE),IF((CP66=FALSE),IF(ISNA(CS66),0,IF((CS65&lt;CU$44),IF((CS66&lt;CU$44),(((CV66^2)+((CS66-CS65)^2))^0.5),(((CV66^2)+((CU$44-CS65)^2))^0.5)),IF((CS66&lt;CU$44),(((CV66^2)+((CU$44-CS66)^2))^0.5),0))),0),0))</f>
        <v>0</v>
      </c>
      <c s="588" r="CY66">
        <f>IF(ISNUMBER((CS66*CS65)),IF((CS65&gt;=CE$148),IF((CS66&lt;CE$148),1,0),IF((CS66&gt;=CE$148),IF((CS65&lt;CE$148),1,0),0)),0)</f>
        <v>0</v>
      </c>
      <c s="588" r="CZ66">
        <f>IF(ISNA((CS66*CS65)),0,(IF((CR66&lt;CR65),-1,1)*(IF(ISNA(CS66),0,IF((CS65&lt;CE$148),IF((CS66&lt;CE$148),(((CR66-CR65)^2)^0.5),(((((CE$148-CS65)*(CR66-CR65))/(CS66-CS65))^2)^0.5)),IF((CS66&lt;CE$148),(((((CE$148-CS66)*(CR66-CR65))/(CS65-CS66))^2)^0.5),0))))))</f>
        <v>0</v>
      </c>
      <c s="441" r="DA66">
        <f>IF((CW66&gt;0),(MAX(DA$47:DA65)+1),0)</f>
        <v>0</v>
      </c>
      <c s="388" r="DB66"/>
      <c s="406" r="DC66"/>
      <c s="301" r="DD66"/>
      <c t="s" s="7" r="DE66">
        <v>597</v>
      </c>
      <c s="550" r="DF66"/>
      <c t="str" s="108" r="DG66">
        <f>IF(ISNUMBER(((DG67*DL35)*DL37)),((((((DG67/8)^0.5)*IF((DN148=2),1,1.486))*(DD31^0.666))*((DL35/100)^0.5))/DL37),"---")</f>
        <v>---</v>
      </c>
      <c s="418" r="DH66"/>
      <c s="550" r="DI66"/>
      <c s="550" r="DJ66"/>
      <c t="str" s="620" r="DK66">
        <f>IF((COUNT(DJ66:DJ$146,DL66:DL$146)=0),NA(),IF(ISBLANK(DJ66),DK65,(DK65+(DJ66-DL65))))</f>
        <v>#N/A:explicit</v>
      </c>
      <c s="550" r="DL66"/>
      <c t="str" s="620" r="DM66">
        <f>IF(OR(ISBLANK(DL66),ISNUMBER(DJ67)),NA(),(DK66-DL66))</f>
        <v>#N/A:explicit</v>
      </c>
      <c t="b" s="895" r="DN66">
        <v>0</v>
      </c>
      <c s="631" r="DO66"/>
      <c t="str" s="309" r="DP66">
        <f>IF((COUNT(DI66:DI$146)=0),NA(),IF(ISBLANK(DI66),IF(ISBLANK(DI65),MAX(DI$46:DI66),DI65),DI66))</f>
        <v>#N/A:explicit</v>
      </c>
      <c t="str" s="861" r="DQ66">
        <f>IF(ISNA(DM66),IF(ISNUMBER(DP66),DQ65,NA()),DM66)</f>
        <v>#N/A:explicit</v>
      </c>
      <c s="861" r="DR66">
        <f>IF(ISNUMBER(DQ66),DQ66,(DK$46+1000))</f>
        <v>1000</v>
      </c>
      <c t="str" s="588" r="DS66">
        <f>IF((DN66=TRUE),NA(),IF((DS$44=(DK$46-MAX(DL$46:DL$146))),NA(),DS$44))</f>
        <v>#N/A:explicit</v>
      </c>
      <c s="588" r="DT66">
        <f>IF((ISNA(((DQ66*DP66)*DQ65))),0,(IF((DP66&lt;DP65),-1,1)*(IF((DN65=FALSE),IF((DN66=FALSE),IF(ISNA(DQ66),0,IF((DQ65&lt;DS$44),IF((DQ66&lt;DS$44),(((DP66-DP65)^2)^0.5),(((((DS$44-DQ65)*(DP66-DP65))/(DQ66-DQ65))^2)^0.5)),IF((DQ66&lt;DS$44),(((((DS$44-DQ66)*(DP66-DP65))/(DQ65-DQ66))^2)^0.5),0))),0),0))))</f>
        <v>0</v>
      </c>
      <c s="588" r="DU66">
        <f>IF(ISNA((DQ66*DQ65)),0,IF((DN65=FALSE),IF((DN66=FALSE),IF(ISNA(DM66),0,IF((DQ65&lt;DS$44),IF((DQ66&lt;DS$44),((DS$44-((DQ65+DQ66)*0.5))*DT66),(((DS$44-DQ65)*0.5)*DT66)),IF((DQ66&lt;DS$44),(((DS$44-DQ66)*0.5)*DT66),0))),0),0))</f>
        <v>0</v>
      </c>
      <c s="588" r="DV66">
        <f>IF(ISNA((DQ66*DQ65)),0,IF((DN65=FALSE),IF((DN66=FALSE),IF(ISNA(DQ66),0,IF((DQ65&lt;DS$44),IF((DQ66&lt;DS$44),(((DT66^2)+((DQ66-DQ65)^2))^0.5),(((DT66^2)+((DS$44-DQ65)^2))^0.5)),IF((DQ66&lt;DS$44),(((DT66^2)+((DS$44-DQ66)^2))^0.5),0))),0),0))</f>
        <v>0</v>
      </c>
      <c s="588" r="DW66">
        <f>IF(ISNUMBER((DQ66*DQ65)),IF((DQ65&gt;=DC$148),IF((DQ66&lt;DC$148),1,0),IF((DQ66&gt;=DC$148),IF((DQ65&lt;DC$148),1,0),0)),0)</f>
        <v>0</v>
      </c>
      <c s="588" r="DX66">
        <f>IF(ISNA((DQ66*DQ65)),0,(IF((DP66&lt;DP65),-1,1)*(IF(ISNA(DQ66),0,IF((DQ65&lt;DC$148),IF((DQ66&lt;DC$148),(((DP66-DP65)^2)^0.5),(((((DC$148-DQ65)*(DP66-DP65))/(DQ66-DQ65))^2)^0.5)),IF((DQ66&lt;DC$148),(((((DC$148-DQ66)*(DP66-DP65))/(DQ65-DQ66))^2)^0.5),0))))))</f>
        <v>0</v>
      </c>
      <c s="441" r="DY66">
        <f>IF((DU66&gt;0),(MAX(DY$47:DY65)+1),0)</f>
        <v>0</v>
      </c>
      <c s="388" r="DZ66"/>
      <c s="406" r="EA66"/>
      <c s="301" r="EB66"/>
      <c t="s" s="7" r="EC66">
        <v>597</v>
      </c>
      <c s="550" r="ED66"/>
      <c t="str" s="108" r="EE66">
        <f>IF(ISNUMBER(((EE67*EJ35)*EJ37)),((((((EE67/8)^0.5)*IF((EL148=2),1,1.486))*(EB31^0.666))*((EJ35/100)^0.5))/EJ37),"---")</f>
        <v>---</v>
      </c>
      <c s="418" r="EF66"/>
      <c s="550" r="EG66"/>
      <c s="550" r="EH66"/>
      <c t="str" s="620" r="EI66">
        <f>IF((COUNT(EH66:EH$146,EJ66:EJ$146)=0),NA(),IF(ISBLANK(EH66),EI65,(EI65+(EH66-EJ65))))</f>
        <v>#N/A:explicit</v>
      </c>
      <c s="550" r="EJ66"/>
      <c t="str" s="620" r="EK66">
        <f>IF(OR(ISBLANK(EJ66),ISNUMBER(EH67)),NA(),(EI66-EJ66))</f>
        <v>#N/A:explicit</v>
      </c>
      <c t="b" s="895" r="EL66">
        <v>0</v>
      </c>
      <c s="631" r="EM66"/>
      <c t="str" s="309" r="EN66">
        <f>IF((COUNT(EG66:EG$146)=0),NA(),IF(ISBLANK(EG66),IF(ISBLANK(EG65),MAX(EG$46:EG66),EG65),EG66))</f>
        <v>#N/A:explicit</v>
      </c>
      <c t="str" s="861" r="EO66">
        <f>IF(ISNA(EK66),IF(ISNUMBER(EN66),EO65,NA()),EK66)</f>
        <v>#N/A:explicit</v>
      </c>
      <c s="861" r="EP66">
        <f>IF(ISNUMBER(EO66),EO66,(EI$46+1000))</f>
        <v>1000</v>
      </c>
      <c t="str" s="588" r="EQ66">
        <f>IF((EL66=TRUE),NA(),IF((EQ$44=(EI$46-MAX(EJ$46:EJ$146))),NA(),EQ$44))</f>
        <v>#N/A:explicit</v>
      </c>
      <c s="588" r="ER66">
        <f>IF((ISNA(((EO66*EN66)*EO65))),0,(IF((EN66&lt;EN65),-1,1)*(IF((EL65=FALSE),IF((EL66=FALSE),IF(ISNA(EO66),0,IF((EO65&lt;EQ$44),IF((EO66&lt;EQ$44),(((EN66-EN65)^2)^0.5),(((((EQ$44-EO65)*(EN66-EN65))/(EO66-EO65))^2)^0.5)),IF((EO66&lt;EQ$44),(((((EQ$44-EO66)*(EN66-EN65))/(EO65-EO66))^2)^0.5),0))),0),0))))</f>
        <v>0</v>
      </c>
      <c s="588" r="ES66">
        <f>IF(ISNA((EO66*EO65)),0,IF((EL65=FALSE),IF((EL66=FALSE),IF(ISNA(EK66),0,IF((EO65&lt;EQ$44),IF((EO66&lt;EQ$44),((EQ$44-((EO65+EO66)*0.5))*ER66),(((EQ$44-EO65)*0.5)*ER66)),IF((EO66&lt;EQ$44),(((EQ$44-EO66)*0.5)*ER66),0))),0),0))</f>
        <v>0</v>
      </c>
      <c s="588" r="ET66">
        <f>IF(ISNA((EO66*EO65)),0,IF((EL65=FALSE),IF((EL66=FALSE),IF(ISNA(EO66),0,IF((EO65&lt;EQ$44),IF((EO66&lt;EQ$44),(((ER66^2)+((EO66-EO65)^2))^0.5),(((ER66^2)+((EQ$44-EO65)^2))^0.5)),IF((EO66&lt;EQ$44),(((ER66^2)+((EQ$44-EO66)^2))^0.5),0))),0),0))</f>
        <v>0</v>
      </c>
      <c s="588" r="EU66">
        <f>IF(ISNUMBER((EO66*EO65)),IF((EO65&gt;=EA$148),IF((EO66&lt;EA$148),1,0),IF((EO66&gt;=EA$148),IF((EO65&lt;EA$148),1,0),0)),0)</f>
        <v>0</v>
      </c>
      <c s="588" r="EV66">
        <f>IF(ISNA((EO66*EO65)),0,(IF((EN66&lt;EN65),-1,1)*(IF(ISNA(EO66),0,IF((EO65&lt;EA$148),IF((EO66&lt;EA$148),(((EN66-EN65)^2)^0.5),(((((EA$148-EO65)*(EN66-EN65))/(EO66-EO65))^2)^0.5)),IF((EO66&lt;EA$148),(((((EA$148-EO66)*(EN66-EN65))/(EO65-EO66))^2)^0.5),0))))))</f>
        <v>0</v>
      </c>
      <c s="441" r="EW66">
        <f>IF((ES66&gt;0),(MAX(EW$47:EW65)+1),0)</f>
        <v>0</v>
      </c>
      <c s="388" r="EX66"/>
      <c s="406" r="EY66"/>
      <c s="301" r="EZ66"/>
      <c t="s" s="7" r="FA66">
        <v>597</v>
      </c>
      <c s="550" r="FB66"/>
      <c t="str" s="108" r="FC66">
        <f>IF(ISNUMBER(((FC67*FH35)*FH37)),((((((FC67/8)^0.5)*IF((FJ148=2),1,1.486))*(EZ31^0.666))*((FH35/100)^0.5))/FH37),"---")</f>
        <v>---</v>
      </c>
      <c s="418" r="FD66"/>
      <c s="550" r="FE66"/>
      <c s="550" r="FF66"/>
      <c t="str" s="620" r="FG66">
        <f>IF((COUNT(FF66:FF$146,FH66:FH$146)=0),NA(),IF(ISBLANK(FF66),FG65,(FG65+(FF66-FH65))))</f>
        <v>#N/A:explicit</v>
      </c>
      <c s="550" r="FH66"/>
      <c t="str" s="620" r="FI66">
        <f>IF(OR(ISBLANK(FH66),ISNUMBER(FF67)),NA(),(FG66-FH66))</f>
        <v>#N/A:explicit</v>
      </c>
      <c t="b" s="895" r="FJ66">
        <v>0</v>
      </c>
      <c s="631" r="FK66"/>
      <c t="str" s="309" r="FL66">
        <f>IF((COUNT(FE66:FE$146)=0),NA(),IF(ISBLANK(FE66),IF(ISBLANK(FE65),MAX(FE$46:FE66),FE65),FE66))</f>
        <v>#N/A:explicit</v>
      </c>
      <c t="str" s="861" r="FM66">
        <f>IF(ISNA(FI66),IF(ISNUMBER(FL66),FM65,NA()),FI66)</f>
        <v>#N/A:explicit</v>
      </c>
      <c s="861" r="FN66">
        <f>IF(ISNUMBER(FM66),FM66,(FG$46+1000))</f>
        <v>1000</v>
      </c>
      <c t="str" s="588" r="FO66">
        <f>IF((FJ66=TRUE),NA(),IF((FO$44=(FG$46-MAX(FH$46:FH$146))),NA(),FO$44))</f>
        <v>#N/A:explicit</v>
      </c>
      <c s="588" r="FP66">
        <f>IF((ISNA(((FM66*FL66)*FM65))),0,(IF((FL66&lt;FL65),-1,1)*(IF((FJ65=FALSE),IF((FJ66=FALSE),IF(ISNA(FM66),0,IF((FM65&lt;FO$44),IF((FM66&lt;FO$44),(((FL66-FL65)^2)^0.5),(((((FO$44-FM65)*(FL66-FL65))/(FM66-FM65))^2)^0.5)),IF((FM66&lt;FO$44),(((((FO$44-FM66)*(FL66-FL65))/(FM65-FM66))^2)^0.5),0))),0),0))))</f>
        <v>0</v>
      </c>
      <c s="588" r="FQ66">
        <f>IF(ISNA((FM66*FM65)),0,IF((FJ65=FALSE),IF((FJ66=FALSE),IF(ISNA(FI66),0,IF((FM65&lt;FO$44),IF((FM66&lt;FO$44),((FO$44-((FM65+FM66)*0.5))*FP66),(((FO$44-FM65)*0.5)*FP66)),IF((FM66&lt;FO$44),(((FO$44-FM66)*0.5)*FP66),0))),0),0))</f>
        <v>0</v>
      </c>
      <c s="588" r="FR66">
        <f>IF(ISNA((FM66*FM65)),0,IF((FJ65=FALSE),IF((FJ66=FALSE),IF(ISNA(FM66),0,IF((FM65&lt;FO$44),IF((FM66&lt;FO$44),(((FP66^2)+((FM66-FM65)^2))^0.5),(((FP66^2)+((FO$44-FM65)^2))^0.5)),IF((FM66&lt;FO$44),(((FP66^2)+((FO$44-FM66)^2))^0.5),0))),0),0))</f>
        <v>0</v>
      </c>
      <c s="588" r="FS66">
        <f>IF(ISNUMBER((FM66*FM65)),IF((FM65&gt;=EY$148),IF((FM66&lt;EY$148),1,0),IF((FM66&gt;=EY$148),IF((FM65&lt;EY$148),1,0),0)),0)</f>
        <v>0</v>
      </c>
      <c s="588" r="FT66">
        <f>IF(ISNA((FM66*FM65)),0,(IF((FL66&lt;FL65),-1,1)*(IF(ISNA(FM66),0,IF((FM65&lt;EY$148),IF((FM66&lt;EY$148),(((FL66-FL65)^2)^0.5),(((((EY$148-FM65)*(FL66-FL65))/(FM66-FM65))^2)^0.5)),IF((FM66&lt;EY$148),(((((EY$148-FM66)*(FL66-FL65))/(FM65-FM66))^2)^0.5),0))))))</f>
        <v>0</v>
      </c>
      <c s="441" r="FU66">
        <f>IF((FQ66&gt;0),(MAX(FU$47:FU65)+1),0)</f>
        <v>0</v>
      </c>
      <c s="222" r="FV66"/>
      <c s="125" r="FW66"/>
      <c s="125" r="FX66"/>
      <c s="125" r="FY66"/>
      <c s="125" r="FZ66"/>
      <c s="125" r="GA66"/>
      <c s="125" r="GB66"/>
      <c s="125" r="GC66"/>
      <c s="125" r="GD66"/>
      <c s="125" r="GE66"/>
      <c s="125" r="GF66"/>
      <c s="125" r="GG66"/>
      <c s="125" r="GH66"/>
      <c s="125" r="GI66"/>
      <c s="125" r="GJ66"/>
      <c s="125" r="GK66"/>
      <c s="125" r="GL66"/>
      <c s="125" r="GM66"/>
      <c s="125" r="GN66"/>
      <c s="125" r="GO66"/>
      <c s="125" r="GP66"/>
      <c s="125" r="GQ66"/>
      <c s="125" r="GR66"/>
      <c s="125" r="GS66"/>
      <c s="125" r="GT66"/>
      <c s="125" r="GU66"/>
      <c s="125" r="GV66"/>
      <c s="125" r="GW66"/>
      <c s="125" r="GX66"/>
      <c s="125" r="GY66"/>
      <c s="125" r="GZ66"/>
      <c s="125" r="HA66"/>
      <c s="125" r="HB66"/>
    </row>
    <row customHeight="1" r="67" ht="13.5">
      <c s="822" r="A67"/>
      <c s="406" r="B67"/>
      <c s="886" r="C67"/>
      <c s="886" r="D67"/>
      <c t="str" s="374" r="E67">
        <f>'Dimension Estimated Values'!I8</f>
        <v>#VALUE!:cantParseText:---</v>
      </c>
      <c s="886" r="F67"/>
      <c s="886" r="G67"/>
      <c s="886" r="H67"/>
      <c s="418" r="I67"/>
      <c t="s" s="702" r="J67">
        <v>2</v>
      </c>
      <c s="406" r="K67"/>
      <c s="789" r="L67"/>
      <c t="s" s="771" r="M67">
        <v>598</v>
      </c>
      <c s="894" r="N67"/>
      <c t="str" s="181" r="O67">
        <f>IF((L27&gt;0),IF(ISNUMBER(T27),IF((L31&gt;(T27/IF((V148=2),1000,304.8))),((1/(2.03*LOG((((11.1*((L31/L29)^-0.314))*L31)/((3.5*T27)/IF((V148=2),1000,304.8))))))^2),(8/((((L31/(0.365*(T27/IF((V148=2),1000,304.8))))^2.34)*((L27/L28)^(7*((0.139*LOG(((1.91*(T27/IF((V148=2),1000,304.8)))/L31)))-0.08))))^2))),"---"),"---")</f>
        <v>---</v>
      </c>
      <c s="418" r="P67"/>
      <c s="550" r="Q67"/>
      <c s="550" r="R67"/>
      <c t="str" s="620" r="S67">
        <f>IF((COUNT(R67:R$146,T67:T$146)=0),NA(),IF(ISBLANK(R67),S66,(S66+(R67-T66))))</f>
        <v>#N/A:explicit</v>
      </c>
      <c s="550" r="T67"/>
      <c t="str" s="620" r="U67">
        <f>IF(OR(ISBLANK(T67),ISNUMBER(R68)),NA(),(S67-T67))</f>
        <v>#N/A:explicit</v>
      </c>
      <c t="b" s="895" r="V67">
        <v>0</v>
      </c>
      <c s="631" r="W67"/>
      <c t="str" s="309" r="X67">
        <f>IF((COUNT(Q67:Q$146)=0),NA(),IF(ISBLANK(Q67),IF(ISBLANK(Q66),MAX(Q$46:Q67),Q66),Q67))</f>
        <v>#N/A:explicit</v>
      </c>
      <c t="str" s="861" r="Y67">
        <f>IF(ISNA(U67),IF(ISNUMBER(X67),Y66,NA()),U67)</f>
        <v>#N/A:explicit</v>
      </c>
      <c s="861" r="Z67">
        <f>IF(ISNUMBER(Y67),Y67,(S$46+1000))</f>
        <v>1000</v>
      </c>
      <c t="str" s="588" r="AA67">
        <f>IF((V67=TRUE),NA(),IF((AA$44=(S$46-MAX(T$46:T$146))),NA(),AA$44))</f>
        <v>#N/A:explicit</v>
      </c>
      <c s="588" r="AB67">
        <f>IF((ISNA(((Y67*X67)*Y66))),0,(IF((X67&lt;X66),-1,1)*(IF((V66=FALSE),IF((V67=FALSE),IF(ISNA(Y67),0,IF((Y66&lt;AA$44),IF((Y67&lt;AA$44),(((X67-X66)^2)^0.5),(((((AA$44-Y66)*(X67-X66))/(Y67-Y66))^2)^0.5)),IF((Y67&lt;AA$44),(((((AA$44-Y67)*(X67-X66))/(Y66-Y67))^2)^0.5),0))),0),0))))</f>
        <v>0</v>
      </c>
      <c s="588" r="AC67">
        <f>IF(ISNA((Y67*Y66)),0,IF((V66=FALSE),IF((V67=FALSE),IF(ISNA(U67),0,IF((Y66&lt;AA$44),IF((Y67&lt;AA$44),((AA$44-((Y66+Y67)*0.5))*AB67),(((AA$44-Y66)*0.5)*AB67)),IF((Y67&lt;AA$44),(((AA$44-Y67)*0.5)*AB67),0))),0),0))</f>
        <v>0</v>
      </c>
      <c s="588" r="AD67">
        <f>IF(ISNA((Y67*Y66)),0,IF((V66=FALSE),IF((V67=FALSE),IF(ISNA(Y67),0,IF((Y66&lt;AA$44),IF((Y67&lt;AA$44),(((AB67^2)+((Y67-Y66)^2))^0.5),(((AB67^2)+((AA$44-Y66)^2))^0.5)),IF((Y67&lt;AA$44),(((AB67^2)+((AA$44-Y67)^2))^0.5),0))),0),0))</f>
        <v>0</v>
      </c>
      <c s="588" r="AE67">
        <f>IF(ISNUMBER((Y67*Y66)),IF((Y66&gt;=K$148),IF((Y67&lt;K$148),1,0),IF((Y67&gt;=K$148),IF((Y66&lt;K$148),1,0),0)),0)</f>
        <v>0</v>
      </c>
      <c s="588" r="AF67">
        <f>IF(ISNA((Y67*Y66)),0,(IF((X67&lt;X66),-1,1)*(IF(ISNA(Y67),0,IF((Y66&lt;K$148),IF((Y67&lt;K$148),(((X67-X66)^2)^0.5),(((((K$148-Y66)*(X67-X66))/(Y67-Y66))^2)^0.5)),IF((Y67&lt;K$148),(((((K$148-Y67)*(X67-X66))/(Y66-Y67))^2)^0.5),0))))))</f>
        <v>0</v>
      </c>
      <c s="441" r="AG67">
        <f>IF((AC67&gt;0),(MAX(AG$47:AG66)+1),0)</f>
        <v>0</v>
      </c>
      <c s="388" r="AH67"/>
      <c s="406" r="AI67"/>
      <c s="789" r="AJ67"/>
      <c t="s" s="771" r="AK67">
        <v>598</v>
      </c>
      <c s="894" r="AL67"/>
      <c t="str" s="181" r="AM67">
        <f>IF((AJ27&gt;0),IF(ISNUMBER(AR27),IF((AJ31&gt;(AR27/IF((AT148=2),1000,304.8))),((1/(2.03*LOG((((11.1*((AJ31/AJ29)^-0.314))*AJ31)/((3.5*AR27)/IF((AT148=2),1000,304.8))))))^2),(8/((((AJ31/(0.365*(AR27/IF((AT148=2),1000,304.8))))^2.34)*((AJ27/AJ28)^(7*((0.139*LOG(((1.91*(AR27/IF((AT148=2),1000,304.8)))/AJ31)))-0.08))))^2))),"---"),"---")</f>
        <v>---</v>
      </c>
      <c s="418" r="AN67"/>
      <c s="550" r="AO67"/>
      <c s="550" r="AP67"/>
      <c t="str" s="620" r="AQ67">
        <f>IF((COUNT(AP67:AP$146,AR67:AR$146)=0),NA(),IF(ISBLANK(AP67),AQ66,(AQ66+(AP67-AR66))))</f>
        <v>#N/A:explicit</v>
      </c>
      <c s="550" r="AR67"/>
      <c t="str" s="620" r="AS67">
        <f>IF(OR(ISBLANK(AR67),ISNUMBER(AP68)),NA(),(AQ67-AR67))</f>
        <v>#N/A:explicit</v>
      </c>
      <c t="b" s="895" r="AT67">
        <v>0</v>
      </c>
      <c s="631" r="AU67"/>
      <c t="str" s="309" r="AV67">
        <f>IF((COUNT(AO67:AO$146)=0),NA(),IF(ISBLANK(AO67),IF(ISBLANK(AO66),MAX(AO$46:AO67),AO66),AO67))</f>
        <v>#N/A:explicit</v>
      </c>
      <c t="str" s="861" r="AW67">
        <f>IF(ISNA(AS67),IF(ISNUMBER(AV67),AW66,NA()),AS67)</f>
        <v>#N/A:explicit</v>
      </c>
      <c s="861" r="AX67">
        <f>IF(ISNUMBER(AW67),AW67,(AQ$46+1000))</f>
        <v>1000</v>
      </c>
      <c t="str" s="588" r="AY67">
        <f>IF((AT67=TRUE),NA(),IF((AY$44=(AQ$46-MAX(AR$46:AR$146))),NA(),AY$44))</f>
        <v>#N/A:explicit</v>
      </c>
      <c s="588" r="AZ67">
        <f>IF((ISNA(((AW67*AV67)*AW66))),0,(IF((AV67&lt;AV66),-1,1)*(IF((AT66=FALSE),IF((AT67=FALSE),IF(ISNA(AW67),0,IF((AW66&lt;AY$44),IF((AW67&lt;AY$44),(((AV67-AV66)^2)^0.5),(((((AY$44-AW66)*(AV67-AV66))/(AW67-AW66))^2)^0.5)),IF((AW67&lt;AY$44),(((((AY$44-AW67)*(AV67-AV66))/(AW66-AW67))^2)^0.5),0))),0),0))))</f>
        <v>0</v>
      </c>
      <c s="588" r="BA67">
        <f>IF(ISNA((AW67*AW66)),0,IF((AT66=FALSE),IF((AT67=FALSE),IF(ISNA(AS67),0,IF((AW66&lt;AY$44),IF((AW67&lt;AY$44),((AY$44-((AW66+AW67)*0.5))*AZ67),(((AY$44-AW66)*0.5)*AZ67)),IF((AW67&lt;AY$44),(((AY$44-AW67)*0.5)*AZ67),0))),0),0))</f>
        <v>0</v>
      </c>
      <c s="588" r="BB67">
        <f>IF(ISNA((AW67*AW66)),0,IF((AT66=FALSE),IF((AT67=FALSE),IF(ISNA(AW67),0,IF((AW66&lt;AY$44),IF((AW67&lt;AY$44),(((AZ67^2)+((AW67-AW66)^2))^0.5),(((AZ67^2)+((AY$44-AW66)^2))^0.5)),IF((AW67&lt;AY$44),(((AZ67^2)+((AY$44-AW67)^2))^0.5),0))),0),0))</f>
        <v>0</v>
      </c>
      <c s="588" r="BC67">
        <f>IF(ISNUMBER((AW67*AW66)),IF((AW66&gt;=AI$148),IF((AW67&lt;AI$148),1,0),IF((AW67&gt;=AI$148),IF((AW66&lt;AI$148),1,0),0)),0)</f>
        <v>0</v>
      </c>
      <c s="588" r="BD67">
        <f>IF(ISNA((AW67*AW66)),0,(IF((AV67&lt;AV66),-1,1)*(IF(ISNA(AW67),0,IF((AW66&lt;AI$148),IF((AW67&lt;AI$148),(((AV67-AV66)^2)^0.5),(((((AI$148-AW66)*(AV67-AV66))/(AW67-AW66))^2)^0.5)),IF((AW67&lt;AI$148),(((((AI$148-AW67)*(AV67-AV66))/(AW66-AW67))^2)^0.5),0))))))</f>
        <v>0</v>
      </c>
      <c s="441" r="BE67">
        <f>IF((BA67&gt;0),(MAX(BE$47:BE66)+1),0)</f>
        <v>0</v>
      </c>
      <c s="388" r="BF67"/>
      <c s="406" r="BG67"/>
      <c s="789" r="BH67"/>
      <c t="s" s="771" r="BI67">
        <v>598</v>
      </c>
      <c s="894" r="BJ67"/>
      <c t="str" s="181" r="BK67">
        <f>IF((BH27&gt;0),IF(ISNUMBER(BP27),IF((BH31&gt;(BP27/IF((BR148=2),1000,304.8))),((1/(2.03*LOG((((11.1*((BH31/BH29)^-0.314))*BH31)/((3.5*BP27)/IF((BR148=2),1000,304.8))))))^2),(8/((((BH31/(0.365*(BP27/IF((BR148=2),1000,304.8))))^2.34)*((BH27/BH28)^(7*((0.139*LOG(((1.91*(BP27/IF((BR148=2),1000,304.8)))/BH31)))-0.08))))^2))),"---"),"---")</f>
        <v>---</v>
      </c>
      <c s="418" r="BL67"/>
      <c s="550" r="BM67"/>
      <c s="550" r="BN67"/>
      <c t="str" s="620" r="BO67">
        <f>IF((COUNT(BN67:BN$146,BP67:BP$146)=0),NA(),IF(ISBLANK(BN67),BO66,(BO66+(BN67-BP66))))</f>
        <v>#N/A:explicit</v>
      </c>
      <c s="550" r="BP67"/>
      <c t="str" s="620" r="BQ67">
        <f>IF(OR(ISBLANK(BP67),ISNUMBER(BN68)),NA(),(BO67-BP67))</f>
        <v>#N/A:explicit</v>
      </c>
      <c t="b" s="895" r="BR67">
        <v>0</v>
      </c>
      <c s="631" r="BS67"/>
      <c t="str" s="309" r="BT67">
        <f>IF((COUNT(BM67:BM$146)=0),NA(),IF(ISBLANK(BM67),IF(ISBLANK(BM66),MAX(BM$46:BM67),BM66),BM67))</f>
        <v>#N/A:explicit</v>
      </c>
      <c t="str" s="861" r="BU67">
        <f>IF(ISNA(BQ67),IF(ISNUMBER(BT67),BU66,NA()),BQ67)</f>
        <v>#N/A:explicit</v>
      </c>
      <c s="861" r="BV67">
        <f>IF(ISNUMBER(BU67),BU67,(BO$46+1000))</f>
        <v>1000</v>
      </c>
      <c t="str" s="588" r="BW67">
        <f>IF((BR67=TRUE),NA(),IF((BW$44=(BO$46-MAX(BP$46:BP$146))),NA(),BW$44))</f>
        <v>#N/A:explicit</v>
      </c>
      <c s="588" r="BX67">
        <f>IF((ISNA(((BU67*BT67)*BU66))),0,(IF((BT67&lt;BT66),-1,1)*(IF((BR66=FALSE),IF((BR67=FALSE),IF(ISNA(BU67),0,IF((BU66&lt;BW$44),IF((BU67&lt;BW$44),(((BT67-BT66)^2)^0.5),(((((BW$44-BU66)*(BT67-BT66))/(BU67-BU66))^2)^0.5)),IF((BU67&lt;BW$44),(((((BW$44-BU67)*(BT67-BT66))/(BU66-BU67))^2)^0.5),0))),0),0))))</f>
        <v>0</v>
      </c>
      <c s="588" r="BY67">
        <f>IF(ISNA((BU67*BU66)),0,IF((BR66=FALSE),IF((BR67=FALSE),IF(ISNA(BQ67),0,IF((BU66&lt;BW$44),IF((BU67&lt;BW$44),((BW$44-((BU66+BU67)*0.5))*BX67),(((BW$44-BU66)*0.5)*BX67)),IF((BU67&lt;BW$44),(((BW$44-BU67)*0.5)*BX67),0))),0),0))</f>
        <v>0</v>
      </c>
      <c s="588" r="BZ67">
        <f>IF(ISNA((BU67*BU66)),0,IF((BR66=FALSE),IF((BR67=FALSE),IF(ISNA(BU67),0,IF((BU66&lt;BW$44),IF((BU67&lt;BW$44),(((BX67^2)+((BU67-BU66)^2))^0.5),(((BX67^2)+((BW$44-BU66)^2))^0.5)),IF((BU67&lt;BW$44),(((BX67^2)+((BW$44-BU67)^2))^0.5),0))),0),0))</f>
        <v>0</v>
      </c>
      <c s="588" r="CA67">
        <f>IF(ISNUMBER((BU67*BU66)),IF((BU66&gt;=BG$148),IF((BU67&lt;BG$148),1,0),IF((BU67&gt;=BG$148),IF((BU66&lt;BG$148),1,0),0)),0)</f>
        <v>0</v>
      </c>
      <c s="588" r="CB67">
        <f>IF(ISNA((BU67*BU66)),0,(IF((BT67&lt;BT66),-1,1)*(IF(ISNA(BU67),0,IF((BU66&lt;BG$148),IF((BU67&lt;BG$148),(((BT67-BT66)^2)^0.5),(((((BG$148-BU66)*(BT67-BT66))/(BU67-BU66))^2)^0.5)),IF((BU67&lt;BG$148),(((((BG$148-BU67)*(BT67-BT66))/(BU66-BU67))^2)^0.5),0))))))</f>
        <v>0</v>
      </c>
      <c s="441" r="CC67">
        <f>IF((BY67&gt;0),(MAX(CC$47:CC66)+1),0)</f>
        <v>0</v>
      </c>
      <c s="388" r="CD67"/>
      <c s="406" r="CE67"/>
      <c s="789" r="CF67"/>
      <c t="s" s="771" r="CG67">
        <v>598</v>
      </c>
      <c s="894" r="CH67"/>
      <c t="str" s="181" r="CI67">
        <f>IF((CF27&gt;0),IF(ISNUMBER(CN27),IF((CF31&gt;(CN27/IF((CP148=2),1000,304.8))),((1/(2.03*LOG((((11.1*((CF31/CF29)^-0.314))*CF31)/((3.5*CN27)/IF((CP148=2),1000,304.8))))))^2),(8/((((CF31/(0.365*(CN27/IF((CP148=2),1000,304.8))))^2.34)*((CF27/CF28)^(7*((0.139*LOG(((1.91*(CN27/IF((CP148=2),1000,304.8)))/CF31)))-0.08))))^2))),"---"),"---")</f>
        <v>---</v>
      </c>
      <c s="418" r="CJ67"/>
      <c s="550" r="CK67"/>
      <c s="550" r="CL67"/>
      <c t="str" s="620" r="CM67">
        <f>IF((COUNT(CL67:CL$146,CN67:CN$146)=0),NA(),IF(ISBLANK(CL67),CM66,(CM66+(CL67-CN66))))</f>
        <v>#N/A:explicit</v>
      </c>
      <c s="550" r="CN67"/>
      <c t="str" s="620" r="CO67">
        <f>IF(OR(ISBLANK(CN67),ISNUMBER(CL68)),NA(),(CM67-CN67))</f>
        <v>#N/A:explicit</v>
      </c>
      <c t="b" s="895" r="CP67">
        <v>0</v>
      </c>
      <c s="631" r="CQ67"/>
      <c t="str" s="309" r="CR67">
        <f>IF((COUNT(CK67:CK$146)=0),NA(),IF(ISBLANK(CK67),IF(ISBLANK(CK66),MAX(CK$46:CK67),CK66),CK67))</f>
        <v>#N/A:explicit</v>
      </c>
      <c t="str" s="861" r="CS67">
        <f>IF(ISNA(CO67),IF(ISNUMBER(CR67),CS66,NA()),CO67)</f>
        <v>#N/A:explicit</v>
      </c>
      <c s="861" r="CT67">
        <f>IF(ISNUMBER(CS67),CS67,(CM$46+1000))</f>
        <v>1000</v>
      </c>
      <c t="str" s="588" r="CU67">
        <f>IF((CP67=TRUE),NA(),IF((CU$44=(CM$46-MAX(CN$46:CN$146))),NA(),CU$44))</f>
        <v>#N/A:explicit</v>
      </c>
      <c s="588" r="CV67">
        <f>IF((ISNA(((CS67*CR67)*CS66))),0,(IF((CR67&lt;CR66),-1,1)*(IF((CP66=FALSE),IF((CP67=FALSE),IF(ISNA(CS67),0,IF((CS66&lt;CU$44),IF((CS67&lt;CU$44),(((CR67-CR66)^2)^0.5),(((((CU$44-CS66)*(CR67-CR66))/(CS67-CS66))^2)^0.5)),IF((CS67&lt;CU$44),(((((CU$44-CS67)*(CR67-CR66))/(CS66-CS67))^2)^0.5),0))),0),0))))</f>
        <v>0</v>
      </c>
      <c s="588" r="CW67">
        <f>IF(ISNA((CS67*CS66)),0,IF((CP66=FALSE),IF((CP67=FALSE),IF(ISNA(CO67),0,IF((CS66&lt;CU$44),IF((CS67&lt;CU$44),((CU$44-((CS66+CS67)*0.5))*CV67),(((CU$44-CS66)*0.5)*CV67)),IF((CS67&lt;CU$44),(((CU$44-CS67)*0.5)*CV67),0))),0),0))</f>
        <v>0</v>
      </c>
      <c s="588" r="CX67">
        <f>IF(ISNA((CS67*CS66)),0,IF((CP66=FALSE),IF((CP67=FALSE),IF(ISNA(CS67),0,IF((CS66&lt;CU$44),IF((CS67&lt;CU$44),(((CV67^2)+((CS67-CS66)^2))^0.5),(((CV67^2)+((CU$44-CS66)^2))^0.5)),IF((CS67&lt;CU$44),(((CV67^2)+((CU$44-CS67)^2))^0.5),0))),0),0))</f>
        <v>0</v>
      </c>
      <c s="588" r="CY67">
        <f>IF(ISNUMBER((CS67*CS66)),IF((CS66&gt;=CE$148),IF((CS67&lt;CE$148),1,0),IF((CS67&gt;=CE$148),IF((CS66&lt;CE$148),1,0),0)),0)</f>
        <v>0</v>
      </c>
      <c s="588" r="CZ67">
        <f>IF(ISNA((CS67*CS66)),0,(IF((CR67&lt;CR66),-1,1)*(IF(ISNA(CS67),0,IF((CS66&lt;CE$148),IF((CS67&lt;CE$148),(((CR67-CR66)^2)^0.5),(((((CE$148-CS66)*(CR67-CR66))/(CS67-CS66))^2)^0.5)),IF((CS67&lt;CE$148),(((((CE$148-CS67)*(CR67-CR66))/(CS66-CS67))^2)^0.5),0))))))</f>
        <v>0</v>
      </c>
      <c s="441" r="DA67">
        <f>IF((CW67&gt;0),(MAX(DA$47:DA66)+1),0)</f>
        <v>0</v>
      </c>
      <c s="388" r="DB67"/>
      <c s="406" r="DC67"/>
      <c s="789" r="DD67"/>
      <c t="s" s="771" r="DE67">
        <v>598</v>
      </c>
      <c s="894" r="DF67"/>
      <c t="str" s="181" r="DG67">
        <f>IF((DD27&gt;0),IF(ISNUMBER(DL27),IF((DD31&gt;(DL27/IF((DN148=2),1000,304.8))),((1/(2.03*LOG((((11.1*((DD31/DD29)^-0.314))*DD31)/((3.5*DL27)/IF((DN148=2),1000,304.8))))))^2),(8/((((DD31/(0.365*(DL27/IF((DN148=2),1000,304.8))))^2.34)*((DD27/DD28)^(7*((0.139*LOG(((1.91*(DL27/IF((DN148=2),1000,304.8)))/DD31)))-0.08))))^2))),"---"),"---")</f>
        <v>---</v>
      </c>
      <c s="418" r="DH67"/>
      <c s="550" r="DI67"/>
      <c s="550" r="DJ67"/>
      <c t="str" s="620" r="DK67">
        <f>IF((COUNT(DJ67:DJ$146,DL67:DL$146)=0),NA(),IF(ISBLANK(DJ67),DK66,(DK66+(DJ67-DL66))))</f>
        <v>#N/A:explicit</v>
      </c>
      <c s="550" r="DL67"/>
      <c t="str" s="620" r="DM67">
        <f>IF(OR(ISBLANK(DL67),ISNUMBER(DJ68)),NA(),(DK67-DL67))</f>
        <v>#N/A:explicit</v>
      </c>
      <c t="b" s="895" r="DN67">
        <v>0</v>
      </c>
      <c s="631" r="DO67"/>
      <c t="str" s="309" r="DP67">
        <f>IF((COUNT(DI67:DI$146)=0),NA(),IF(ISBLANK(DI67),IF(ISBLANK(DI66),MAX(DI$46:DI67),DI66),DI67))</f>
        <v>#N/A:explicit</v>
      </c>
      <c t="str" s="861" r="DQ67">
        <f>IF(ISNA(DM67),IF(ISNUMBER(DP67),DQ66,NA()),DM67)</f>
        <v>#N/A:explicit</v>
      </c>
      <c s="861" r="DR67">
        <f>IF(ISNUMBER(DQ67),DQ67,(DK$46+1000))</f>
        <v>1000</v>
      </c>
      <c t="str" s="588" r="DS67">
        <f>IF((DN67=TRUE),NA(),IF((DS$44=(DK$46-MAX(DL$46:DL$146))),NA(),DS$44))</f>
        <v>#N/A:explicit</v>
      </c>
      <c s="588" r="DT67">
        <f>IF((ISNA(((DQ67*DP67)*DQ66))),0,(IF((DP67&lt;DP66),-1,1)*(IF((DN66=FALSE),IF((DN67=FALSE),IF(ISNA(DQ67),0,IF((DQ66&lt;DS$44),IF((DQ67&lt;DS$44),(((DP67-DP66)^2)^0.5),(((((DS$44-DQ66)*(DP67-DP66))/(DQ67-DQ66))^2)^0.5)),IF((DQ67&lt;DS$44),(((((DS$44-DQ67)*(DP67-DP66))/(DQ66-DQ67))^2)^0.5),0))),0),0))))</f>
        <v>0</v>
      </c>
      <c s="588" r="DU67">
        <f>IF(ISNA((DQ67*DQ66)),0,IF((DN66=FALSE),IF((DN67=FALSE),IF(ISNA(DM67),0,IF((DQ66&lt;DS$44),IF((DQ67&lt;DS$44),((DS$44-((DQ66+DQ67)*0.5))*DT67),(((DS$44-DQ66)*0.5)*DT67)),IF((DQ67&lt;DS$44),(((DS$44-DQ67)*0.5)*DT67),0))),0),0))</f>
        <v>0</v>
      </c>
      <c s="588" r="DV67">
        <f>IF(ISNA((DQ67*DQ66)),0,IF((DN66=FALSE),IF((DN67=FALSE),IF(ISNA(DQ67),0,IF((DQ66&lt;DS$44),IF((DQ67&lt;DS$44),(((DT67^2)+((DQ67-DQ66)^2))^0.5),(((DT67^2)+((DS$44-DQ66)^2))^0.5)),IF((DQ67&lt;DS$44),(((DT67^2)+((DS$44-DQ67)^2))^0.5),0))),0),0))</f>
        <v>0</v>
      </c>
      <c s="588" r="DW67">
        <f>IF(ISNUMBER((DQ67*DQ66)),IF((DQ66&gt;=DC$148),IF((DQ67&lt;DC$148),1,0),IF((DQ67&gt;=DC$148),IF((DQ66&lt;DC$148),1,0),0)),0)</f>
        <v>0</v>
      </c>
      <c s="588" r="DX67">
        <f>IF(ISNA((DQ67*DQ66)),0,(IF((DP67&lt;DP66),-1,1)*(IF(ISNA(DQ67),0,IF((DQ66&lt;DC$148),IF((DQ67&lt;DC$148),(((DP67-DP66)^2)^0.5),(((((DC$148-DQ66)*(DP67-DP66))/(DQ67-DQ66))^2)^0.5)),IF((DQ67&lt;DC$148),(((((DC$148-DQ67)*(DP67-DP66))/(DQ66-DQ67))^2)^0.5),0))))))</f>
        <v>0</v>
      </c>
      <c s="441" r="DY67">
        <f>IF((DU67&gt;0),(MAX(DY$47:DY66)+1),0)</f>
        <v>0</v>
      </c>
      <c s="388" r="DZ67"/>
      <c s="406" r="EA67"/>
      <c s="789" r="EB67"/>
      <c t="s" s="771" r="EC67">
        <v>598</v>
      </c>
      <c s="894" r="ED67"/>
      <c t="str" s="181" r="EE67">
        <f>IF((EB27&gt;0),IF(ISNUMBER(EJ27),IF((EB31&gt;(EJ27/IF((EL148=2),1000,304.8))),((1/(2.03*LOG((((11.1*((EB31/EB29)^-0.314))*EB31)/((3.5*EJ27)/IF((EL148=2),1000,304.8))))))^2),(8/((((EB31/(0.365*(EJ27/IF((EL148=2),1000,304.8))))^2.34)*((EB27/EB28)^(7*((0.139*LOG(((1.91*(EJ27/IF((EL148=2),1000,304.8)))/EB31)))-0.08))))^2))),"---"),"---")</f>
        <v>---</v>
      </c>
      <c s="418" r="EF67"/>
      <c s="550" r="EG67"/>
      <c s="550" r="EH67"/>
      <c t="str" s="620" r="EI67">
        <f>IF((COUNT(EH67:EH$146,EJ67:EJ$146)=0),NA(),IF(ISBLANK(EH67),EI66,(EI66+(EH67-EJ66))))</f>
        <v>#N/A:explicit</v>
      </c>
      <c s="550" r="EJ67"/>
      <c t="str" s="620" r="EK67">
        <f>IF(OR(ISBLANK(EJ67),ISNUMBER(EH68)),NA(),(EI67-EJ67))</f>
        <v>#N/A:explicit</v>
      </c>
      <c t="b" s="895" r="EL67">
        <v>0</v>
      </c>
      <c s="631" r="EM67"/>
      <c t="str" s="309" r="EN67">
        <f>IF((COUNT(EG67:EG$146)=0),NA(),IF(ISBLANK(EG67),IF(ISBLANK(EG66),MAX(EG$46:EG67),EG66),EG67))</f>
        <v>#N/A:explicit</v>
      </c>
      <c t="str" s="861" r="EO67">
        <f>IF(ISNA(EK67),IF(ISNUMBER(EN67),EO66,NA()),EK67)</f>
        <v>#N/A:explicit</v>
      </c>
      <c s="861" r="EP67">
        <f>IF(ISNUMBER(EO67),EO67,(EI$46+1000))</f>
        <v>1000</v>
      </c>
      <c t="str" s="588" r="EQ67">
        <f>IF((EL67=TRUE),NA(),IF((EQ$44=(EI$46-MAX(EJ$46:EJ$146))),NA(),EQ$44))</f>
        <v>#N/A:explicit</v>
      </c>
      <c s="588" r="ER67">
        <f>IF((ISNA(((EO67*EN67)*EO66))),0,(IF((EN67&lt;EN66),-1,1)*(IF((EL66=FALSE),IF((EL67=FALSE),IF(ISNA(EO67),0,IF((EO66&lt;EQ$44),IF((EO67&lt;EQ$44),(((EN67-EN66)^2)^0.5),(((((EQ$44-EO66)*(EN67-EN66))/(EO67-EO66))^2)^0.5)),IF((EO67&lt;EQ$44),(((((EQ$44-EO67)*(EN67-EN66))/(EO66-EO67))^2)^0.5),0))),0),0))))</f>
        <v>0</v>
      </c>
      <c s="588" r="ES67">
        <f>IF(ISNA((EO67*EO66)),0,IF((EL66=FALSE),IF((EL67=FALSE),IF(ISNA(EK67),0,IF((EO66&lt;EQ$44),IF((EO67&lt;EQ$44),((EQ$44-((EO66+EO67)*0.5))*ER67),(((EQ$44-EO66)*0.5)*ER67)),IF((EO67&lt;EQ$44),(((EQ$44-EO67)*0.5)*ER67),0))),0),0))</f>
        <v>0</v>
      </c>
      <c s="588" r="ET67">
        <f>IF(ISNA((EO67*EO66)),0,IF((EL66=FALSE),IF((EL67=FALSE),IF(ISNA(EO67),0,IF((EO66&lt;EQ$44),IF((EO67&lt;EQ$44),(((ER67^2)+((EO67-EO66)^2))^0.5),(((ER67^2)+((EQ$44-EO66)^2))^0.5)),IF((EO67&lt;EQ$44),(((ER67^2)+((EQ$44-EO67)^2))^0.5),0))),0),0))</f>
        <v>0</v>
      </c>
      <c s="588" r="EU67">
        <f>IF(ISNUMBER((EO67*EO66)),IF((EO66&gt;=EA$148),IF((EO67&lt;EA$148),1,0),IF((EO67&gt;=EA$148),IF((EO66&lt;EA$148),1,0),0)),0)</f>
        <v>0</v>
      </c>
      <c s="588" r="EV67">
        <f>IF(ISNA((EO67*EO66)),0,(IF((EN67&lt;EN66),-1,1)*(IF(ISNA(EO67),0,IF((EO66&lt;EA$148),IF((EO67&lt;EA$148),(((EN67-EN66)^2)^0.5),(((((EA$148-EO66)*(EN67-EN66))/(EO67-EO66))^2)^0.5)),IF((EO67&lt;EA$148),(((((EA$148-EO67)*(EN67-EN66))/(EO66-EO67))^2)^0.5),0))))))</f>
        <v>0</v>
      </c>
      <c s="441" r="EW67">
        <f>IF((ES67&gt;0),(MAX(EW$47:EW66)+1),0)</f>
        <v>0</v>
      </c>
      <c s="388" r="EX67"/>
      <c s="406" r="EY67"/>
      <c s="789" r="EZ67"/>
      <c t="s" s="771" r="FA67">
        <v>598</v>
      </c>
      <c s="894" r="FB67"/>
      <c t="str" s="181" r="FC67">
        <f>IF((EZ27&gt;0),IF(ISNUMBER(FH27),IF((EZ31&gt;(FH27/IF((FJ148=2),1000,304.8))),((1/(2.03*LOG((((11.1*((EZ31/EZ29)^-0.314))*EZ31)/((3.5*FH27)/IF((FJ148=2),1000,304.8))))))^2),(8/((((EZ31/(0.365*(FH27/IF((FJ148=2),1000,304.8))))^2.34)*((EZ27/EZ28)^(7*((0.139*LOG(((1.91*(FH27/IF((FJ148=2),1000,304.8)))/EZ31)))-0.08))))^2))),"---"),"---")</f>
        <v>---</v>
      </c>
      <c s="418" r="FD67"/>
      <c s="550" r="FE67"/>
      <c s="550" r="FF67"/>
      <c t="str" s="620" r="FG67">
        <f>IF((COUNT(FF67:FF$146,FH67:FH$146)=0),NA(),IF(ISBLANK(FF67),FG66,(FG66+(FF67-FH66))))</f>
        <v>#N/A:explicit</v>
      </c>
      <c s="550" r="FH67"/>
      <c t="str" s="620" r="FI67">
        <f>IF(OR(ISBLANK(FH67),ISNUMBER(FF68)),NA(),(FG67-FH67))</f>
        <v>#N/A:explicit</v>
      </c>
      <c t="b" s="895" r="FJ67">
        <v>0</v>
      </c>
      <c s="631" r="FK67"/>
      <c t="str" s="309" r="FL67">
        <f>IF((COUNT(FE67:FE$146)=0),NA(),IF(ISBLANK(FE67),IF(ISBLANK(FE66),MAX(FE$46:FE67),FE66),FE67))</f>
        <v>#N/A:explicit</v>
      </c>
      <c t="str" s="861" r="FM67">
        <f>IF(ISNA(FI67),IF(ISNUMBER(FL67),FM66,NA()),FI67)</f>
        <v>#N/A:explicit</v>
      </c>
      <c s="861" r="FN67">
        <f>IF(ISNUMBER(FM67),FM67,(FG$46+1000))</f>
        <v>1000</v>
      </c>
      <c t="str" s="588" r="FO67">
        <f>IF((FJ67=TRUE),NA(),IF((FO$44=(FG$46-MAX(FH$46:FH$146))),NA(),FO$44))</f>
        <v>#N/A:explicit</v>
      </c>
      <c s="588" r="FP67">
        <f>IF((ISNA(((FM67*FL67)*FM66))),0,(IF((FL67&lt;FL66),-1,1)*(IF((FJ66=FALSE),IF((FJ67=FALSE),IF(ISNA(FM67),0,IF((FM66&lt;FO$44),IF((FM67&lt;FO$44),(((FL67-FL66)^2)^0.5),(((((FO$44-FM66)*(FL67-FL66))/(FM67-FM66))^2)^0.5)),IF((FM67&lt;FO$44),(((((FO$44-FM67)*(FL67-FL66))/(FM66-FM67))^2)^0.5),0))),0),0))))</f>
        <v>0</v>
      </c>
      <c s="588" r="FQ67">
        <f>IF(ISNA((FM67*FM66)),0,IF((FJ66=FALSE),IF((FJ67=FALSE),IF(ISNA(FI67),0,IF((FM66&lt;FO$44),IF((FM67&lt;FO$44),((FO$44-((FM66+FM67)*0.5))*FP67),(((FO$44-FM66)*0.5)*FP67)),IF((FM67&lt;FO$44),(((FO$44-FM67)*0.5)*FP67),0))),0),0))</f>
        <v>0</v>
      </c>
      <c s="588" r="FR67">
        <f>IF(ISNA((FM67*FM66)),0,IF((FJ66=FALSE),IF((FJ67=FALSE),IF(ISNA(FM67),0,IF((FM66&lt;FO$44),IF((FM67&lt;FO$44),(((FP67^2)+((FM67-FM66)^2))^0.5),(((FP67^2)+((FO$44-FM66)^2))^0.5)),IF((FM67&lt;FO$44),(((FP67^2)+((FO$44-FM67)^2))^0.5),0))),0),0))</f>
        <v>0</v>
      </c>
      <c s="588" r="FS67">
        <f>IF(ISNUMBER((FM67*FM66)),IF((FM66&gt;=EY$148),IF((FM67&lt;EY$148),1,0),IF((FM67&gt;=EY$148),IF((FM66&lt;EY$148),1,0),0)),0)</f>
        <v>0</v>
      </c>
      <c s="588" r="FT67">
        <f>IF(ISNA((FM67*FM66)),0,(IF((FL67&lt;FL66),-1,1)*(IF(ISNA(FM67),0,IF((FM66&lt;EY$148),IF((FM67&lt;EY$148),(((FL67-FL66)^2)^0.5),(((((EY$148-FM66)*(FL67-FL66))/(FM67-FM66))^2)^0.5)),IF((FM67&lt;EY$148),(((((EY$148-FM67)*(FL67-FL66))/(FM66-FM67))^2)^0.5),0))))))</f>
        <v>0</v>
      </c>
      <c s="441" r="FU67">
        <f>IF((FQ67&gt;0),(MAX(FU$47:FU66)+1),0)</f>
        <v>0</v>
      </c>
      <c s="222" r="FV67"/>
      <c s="125" r="FW67"/>
      <c s="125" r="FX67"/>
      <c s="125" r="FY67"/>
      <c s="125" r="FZ67"/>
      <c s="125" r="GA67"/>
      <c s="125" r="GB67"/>
      <c s="125" r="GC67"/>
      <c s="125" r="GD67"/>
      <c s="125" r="GE67"/>
      <c s="125" r="GF67"/>
      <c s="125" r="GG67"/>
      <c s="125" r="GH67"/>
      <c s="125" r="GI67"/>
      <c s="125" r="GJ67"/>
      <c s="125" r="GK67"/>
      <c s="125" r="GL67"/>
      <c s="125" r="GM67"/>
      <c s="125" r="GN67"/>
      <c s="125" r="GO67"/>
      <c s="125" r="GP67"/>
      <c s="125" r="GQ67"/>
      <c s="125" r="GR67"/>
      <c s="125" r="GS67"/>
      <c s="125" r="GT67"/>
      <c s="125" r="GU67"/>
      <c s="125" r="GV67"/>
      <c s="125" r="GW67"/>
      <c s="125" r="GX67"/>
      <c s="125" r="GY67"/>
      <c s="125" r="GZ67"/>
      <c s="125" r="HA67"/>
      <c s="125" r="HB67"/>
    </row>
    <row customHeight="1" r="68" ht="13.5">
      <c s="822" r="A68"/>
      <c s="406" r="B68"/>
      <c s="886" r="C68"/>
      <c s="886" r="D68"/>
      <c s="886" r="E68"/>
      <c s="886" r="F68"/>
      <c s="886" r="G68"/>
      <c s="886" r="H68"/>
      <c s="418" r="I68"/>
      <c s="702" r="J68"/>
      <c s="406" r="K68"/>
      <c s="886" r="L68"/>
      <c s="886" r="M68"/>
      <c s="756" r="N68"/>
      <c s="886" r="O68"/>
      <c s="418" r="P68"/>
      <c s="550" r="Q68"/>
      <c s="550" r="R68"/>
      <c t="str" s="620" r="S68">
        <f>IF((COUNT(R68:R$146,T68:T$146)=0),NA(),IF(ISBLANK(R68),S67,(S67+(R68-T67))))</f>
        <v>#N/A:explicit</v>
      </c>
      <c s="550" r="T68"/>
      <c t="str" s="620" r="U68">
        <f>IF(OR(ISBLANK(T68),ISNUMBER(R69)),NA(),(S68-T68))</f>
        <v>#N/A:explicit</v>
      </c>
      <c t="b" s="895" r="V68">
        <v>0</v>
      </c>
      <c s="631" r="W68"/>
      <c t="str" s="309" r="X68">
        <f>IF((COUNT(Q68:Q$146)=0),NA(),IF(ISBLANK(Q68),IF(ISBLANK(Q67),MAX(Q$46:Q68),Q67),Q68))</f>
        <v>#N/A:explicit</v>
      </c>
      <c t="str" s="861" r="Y68">
        <f>IF(ISNA(U68),IF(ISNUMBER(X68),Y67,NA()),U68)</f>
        <v>#N/A:explicit</v>
      </c>
      <c s="861" r="Z68">
        <f>IF(ISNUMBER(Y68),Y68,(S$46+1000))</f>
        <v>1000</v>
      </c>
      <c t="str" s="588" r="AA68">
        <f>IF((V68=TRUE),NA(),IF((AA$44=(S$46-MAX(T$46:T$146))),NA(),AA$44))</f>
        <v>#N/A:explicit</v>
      </c>
      <c s="588" r="AB68">
        <f>IF((ISNA(((Y68*X68)*Y67))),0,(IF((X68&lt;X67),-1,1)*(IF((V67=FALSE),IF((V68=FALSE),IF(ISNA(Y68),0,IF((Y67&lt;AA$44),IF((Y68&lt;AA$44),(((X68-X67)^2)^0.5),(((((AA$44-Y67)*(X68-X67))/(Y68-Y67))^2)^0.5)),IF((Y68&lt;AA$44),(((((AA$44-Y68)*(X68-X67))/(Y67-Y68))^2)^0.5),0))),0),0))))</f>
        <v>0</v>
      </c>
      <c s="588" r="AC68">
        <f>IF(ISNA((Y68*Y67)),0,IF((V67=FALSE),IF((V68=FALSE),IF(ISNA(U68),0,IF((Y67&lt;AA$44),IF((Y68&lt;AA$44),((AA$44-((Y67+Y68)*0.5))*AB68),(((AA$44-Y67)*0.5)*AB68)),IF((Y68&lt;AA$44),(((AA$44-Y68)*0.5)*AB68),0))),0),0))</f>
        <v>0</v>
      </c>
      <c s="588" r="AD68">
        <f>IF(ISNA((Y68*Y67)),0,IF((V67=FALSE),IF((V68=FALSE),IF(ISNA(Y68),0,IF((Y67&lt;AA$44),IF((Y68&lt;AA$44),(((AB68^2)+((Y68-Y67)^2))^0.5),(((AB68^2)+((AA$44-Y67)^2))^0.5)),IF((Y68&lt;AA$44),(((AB68^2)+((AA$44-Y68)^2))^0.5),0))),0),0))</f>
        <v>0</v>
      </c>
      <c s="588" r="AE68">
        <f>IF(ISNUMBER((Y68*Y67)),IF((Y67&gt;=K$148),IF((Y68&lt;K$148),1,0),IF((Y68&gt;=K$148),IF((Y67&lt;K$148),1,0),0)),0)</f>
        <v>0</v>
      </c>
      <c s="588" r="AF68">
        <f>IF(ISNA((Y68*Y67)),0,(IF((X68&lt;X67),-1,1)*(IF(ISNA(Y68),0,IF((Y67&lt;K$148),IF((Y68&lt;K$148),(((X68-X67)^2)^0.5),(((((K$148-Y67)*(X68-X67))/(Y68-Y67))^2)^0.5)),IF((Y68&lt;K$148),(((((K$148-Y68)*(X68-X67))/(Y67-Y68))^2)^0.5),0))))))</f>
        <v>0</v>
      </c>
      <c s="441" r="AG68">
        <f>IF((AC68&gt;0),(MAX(AG$47:AG67)+1),0)</f>
        <v>0</v>
      </c>
      <c s="388" r="AH68"/>
      <c s="406" r="AI68"/>
      <c s="886" r="AJ68"/>
      <c s="886" r="AK68"/>
      <c s="756" r="AL68"/>
      <c s="886" r="AM68"/>
      <c s="418" r="AN68"/>
      <c s="550" r="AO68"/>
      <c s="550" r="AP68"/>
      <c t="str" s="620" r="AQ68">
        <f>IF((COUNT(AP68:AP$146,AR68:AR$146)=0),NA(),IF(ISBLANK(AP68),AQ67,(AQ67+(AP68-AR67))))</f>
        <v>#N/A:explicit</v>
      </c>
      <c s="550" r="AR68"/>
      <c t="str" s="620" r="AS68">
        <f>IF(OR(ISBLANK(AR68),ISNUMBER(AP69)),NA(),(AQ68-AR68))</f>
        <v>#N/A:explicit</v>
      </c>
      <c t="b" s="895" r="AT68">
        <v>0</v>
      </c>
      <c s="631" r="AU68"/>
      <c t="str" s="309" r="AV68">
        <f>IF((COUNT(AO68:AO$146)=0),NA(),IF(ISBLANK(AO68),IF(ISBLANK(AO67),MAX(AO$46:AO68),AO67),AO68))</f>
        <v>#N/A:explicit</v>
      </c>
      <c t="str" s="861" r="AW68">
        <f>IF(ISNA(AS68),IF(ISNUMBER(AV68),AW67,NA()),AS68)</f>
        <v>#N/A:explicit</v>
      </c>
      <c s="861" r="AX68">
        <f>IF(ISNUMBER(AW68),AW68,(AQ$46+1000))</f>
        <v>1000</v>
      </c>
      <c t="str" s="588" r="AY68">
        <f>IF((AT68=TRUE),NA(),IF((AY$44=(AQ$46-MAX(AR$46:AR$146))),NA(),AY$44))</f>
        <v>#N/A:explicit</v>
      </c>
      <c s="588" r="AZ68">
        <f>IF((ISNA(((AW68*AV68)*AW67))),0,(IF((AV68&lt;AV67),-1,1)*(IF((AT67=FALSE),IF((AT68=FALSE),IF(ISNA(AW68),0,IF((AW67&lt;AY$44),IF((AW68&lt;AY$44),(((AV68-AV67)^2)^0.5),(((((AY$44-AW67)*(AV68-AV67))/(AW68-AW67))^2)^0.5)),IF((AW68&lt;AY$44),(((((AY$44-AW68)*(AV68-AV67))/(AW67-AW68))^2)^0.5),0))),0),0))))</f>
        <v>0</v>
      </c>
      <c s="588" r="BA68">
        <f>IF(ISNA((AW68*AW67)),0,IF((AT67=FALSE),IF((AT68=FALSE),IF(ISNA(AS68),0,IF((AW67&lt;AY$44),IF((AW68&lt;AY$44),((AY$44-((AW67+AW68)*0.5))*AZ68),(((AY$44-AW67)*0.5)*AZ68)),IF((AW68&lt;AY$44),(((AY$44-AW68)*0.5)*AZ68),0))),0),0))</f>
        <v>0</v>
      </c>
      <c s="588" r="BB68">
        <f>IF(ISNA((AW68*AW67)),0,IF((AT67=FALSE),IF((AT68=FALSE),IF(ISNA(AW68),0,IF((AW67&lt;AY$44),IF((AW68&lt;AY$44),(((AZ68^2)+((AW68-AW67)^2))^0.5),(((AZ68^2)+((AY$44-AW67)^2))^0.5)),IF((AW68&lt;AY$44),(((AZ68^2)+((AY$44-AW68)^2))^0.5),0))),0),0))</f>
        <v>0</v>
      </c>
      <c s="588" r="BC68">
        <f>IF(ISNUMBER((AW68*AW67)),IF((AW67&gt;=AI$148),IF((AW68&lt;AI$148),1,0),IF((AW68&gt;=AI$148),IF((AW67&lt;AI$148),1,0),0)),0)</f>
        <v>0</v>
      </c>
      <c s="588" r="BD68">
        <f>IF(ISNA((AW68*AW67)),0,(IF((AV68&lt;AV67),-1,1)*(IF(ISNA(AW68),0,IF((AW67&lt;AI$148),IF((AW68&lt;AI$148),(((AV68-AV67)^2)^0.5),(((((AI$148-AW67)*(AV68-AV67))/(AW68-AW67))^2)^0.5)),IF((AW68&lt;AI$148),(((((AI$148-AW68)*(AV68-AV67))/(AW67-AW68))^2)^0.5),0))))))</f>
        <v>0</v>
      </c>
      <c s="441" r="BE68">
        <f>IF((BA68&gt;0),(MAX(BE$47:BE67)+1),0)</f>
        <v>0</v>
      </c>
      <c s="388" r="BF68"/>
      <c s="406" r="BG68"/>
      <c s="886" r="BH68"/>
      <c s="886" r="BI68"/>
      <c s="756" r="BJ68"/>
      <c s="886" r="BK68"/>
      <c s="418" r="BL68"/>
      <c s="550" r="BM68"/>
      <c s="550" r="BN68"/>
      <c t="str" s="620" r="BO68">
        <f>IF((COUNT(BN68:BN$146,BP68:BP$146)=0),NA(),IF(ISBLANK(BN68),BO67,(BO67+(BN68-BP67))))</f>
        <v>#N/A:explicit</v>
      </c>
      <c s="550" r="BP68"/>
      <c t="str" s="620" r="BQ68">
        <f>IF(OR(ISBLANK(BP68),ISNUMBER(BN69)),NA(),(BO68-BP68))</f>
        <v>#N/A:explicit</v>
      </c>
      <c t="b" s="895" r="BR68">
        <v>0</v>
      </c>
      <c s="631" r="BS68"/>
      <c t="str" s="309" r="BT68">
        <f>IF((COUNT(BM68:BM$146)=0),NA(),IF(ISBLANK(BM68),IF(ISBLANK(BM67),MAX(BM$46:BM68),BM67),BM68))</f>
        <v>#N/A:explicit</v>
      </c>
      <c t="str" s="861" r="BU68">
        <f>IF(ISNA(BQ68),IF(ISNUMBER(BT68),BU67,NA()),BQ68)</f>
        <v>#N/A:explicit</v>
      </c>
      <c s="861" r="BV68">
        <f>IF(ISNUMBER(BU68),BU68,(BO$46+1000))</f>
        <v>1000</v>
      </c>
      <c t="str" s="588" r="BW68">
        <f>IF((BR68=TRUE),NA(),IF((BW$44=(BO$46-MAX(BP$46:BP$146))),NA(),BW$44))</f>
        <v>#N/A:explicit</v>
      </c>
      <c s="588" r="BX68">
        <f>IF((ISNA(((BU68*BT68)*BU67))),0,(IF((BT68&lt;BT67),-1,1)*(IF((BR67=FALSE),IF((BR68=FALSE),IF(ISNA(BU68),0,IF((BU67&lt;BW$44),IF((BU68&lt;BW$44),(((BT68-BT67)^2)^0.5),(((((BW$44-BU67)*(BT68-BT67))/(BU68-BU67))^2)^0.5)),IF((BU68&lt;BW$44),(((((BW$44-BU68)*(BT68-BT67))/(BU67-BU68))^2)^0.5),0))),0),0))))</f>
        <v>0</v>
      </c>
      <c s="588" r="BY68">
        <f>IF(ISNA((BU68*BU67)),0,IF((BR67=FALSE),IF((BR68=FALSE),IF(ISNA(BQ68),0,IF((BU67&lt;BW$44),IF((BU68&lt;BW$44),((BW$44-((BU67+BU68)*0.5))*BX68),(((BW$44-BU67)*0.5)*BX68)),IF((BU68&lt;BW$44),(((BW$44-BU68)*0.5)*BX68),0))),0),0))</f>
        <v>0</v>
      </c>
      <c s="588" r="BZ68">
        <f>IF(ISNA((BU68*BU67)),0,IF((BR67=FALSE),IF((BR68=FALSE),IF(ISNA(BU68),0,IF((BU67&lt;BW$44),IF((BU68&lt;BW$44),(((BX68^2)+((BU68-BU67)^2))^0.5),(((BX68^2)+((BW$44-BU67)^2))^0.5)),IF((BU68&lt;BW$44),(((BX68^2)+((BW$44-BU68)^2))^0.5),0))),0),0))</f>
        <v>0</v>
      </c>
      <c s="588" r="CA68">
        <f>IF(ISNUMBER((BU68*BU67)),IF((BU67&gt;=BG$148),IF((BU68&lt;BG$148),1,0),IF((BU68&gt;=BG$148),IF((BU67&lt;BG$148),1,0),0)),0)</f>
        <v>0</v>
      </c>
      <c s="588" r="CB68">
        <f>IF(ISNA((BU68*BU67)),0,(IF((BT68&lt;BT67),-1,1)*(IF(ISNA(BU68),0,IF((BU67&lt;BG$148),IF((BU68&lt;BG$148),(((BT68-BT67)^2)^0.5),(((((BG$148-BU67)*(BT68-BT67))/(BU68-BU67))^2)^0.5)),IF((BU68&lt;BG$148),(((((BG$148-BU68)*(BT68-BT67))/(BU67-BU68))^2)^0.5),0))))))</f>
        <v>0</v>
      </c>
      <c s="441" r="CC68">
        <f>IF((BY68&gt;0),(MAX(CC$47:CC67)+1),0)</f>
        <v>0</v>
      </c>
      <c s="388" r="CD68"/>
      <c s="406" r="CE68"/>
      <c s="886" r="CF68"/>
      <c s="886" r="CG68"/>
      <c s="756" r="CH68"/>
      <c s="886" r="CI68"/>
      <c s="418" r="CJ68"/>
      <c s="550" r="CK68"/>
      <c s="550" r="CL68"/>
      <c t="str" s="620" r="CM68">
        <f>IF((COUNT(CL68:CL$146,CN68:CN$146)=0),NA(),IF(ISBLANK(CL68),CM67,(CM67+(CL68-CN67))))</f>
        <v>#N/A:explicit</v>
      </c>
      <c s="550" r="CN68"/>
      <c t="str" s="620" r="CO68">
        <f>IF(OR(ISBLANK(CN68),ISNUMBER(CL69)),NA(),(CM68-CN68))</f>
        <v>#N/A:explicit</v>
      </c>
      <c t="b" s="895" r="CP68">
        <v>0</v>
      </c>
      <c s="631" r="CQ68"/>
      <c t="str" s="309" r="CR68">
        <f>IF((COUNT(CK68:CK$146)=0),NA(),IF(ISBLANK(CK68),IF(ISBLANK(CK67),MAX(CK$46:CK68),CK67),CK68))</f>
        <v>#N/A:explicit</v>
      </c>
      <c t="str" s="861" r="CS68">
        <f>IF(ISNA(CO68),IF(ISNUMBER(CR68),CS67,NA()),CO68)</f>
        <v>#N/A:explicit</v>
      </c>
      <c s="861" r="CT68">
        <f>IF(ISNUMBER(CS68),CS68,(CM$46+1000))</f>
        <v>1000</v>
      </c>
      <c t="str" s="588" r="CU68">
        <f>IF((CP68=TRUE),NA(),IF((CU$44=(CM$46-MAX(CN$46:CN$146))),NA(),CU$44))</f>
        <v>#N/A:explicit</v>
      </c>
      <c s="588" r="CV68">
        <f>IF((ISNA(((CS68*CR68)*CS67))),0,(IF((CR68&lt;CR67),-1,1)*(IF((CP67=FALSE),IF((CP68=FALSE),IF(ISNA(CS68),0,IF((CS67&lt;CU$44),IF((CS68&lt;CU$44),(((CR68-CR67)^2)^0.5),(((((CU$44-CS67)*(CR68-CR67))/(CS68-CS67))^2)^0.5)),IF((CS68&lt;CU$44),(((((CU$44-CS68)*(CR68-CR67))/(CS67-CS68))^2)^0.5),0))),0),0))))</f>
        <v>0</v>
      </c>
      <c s="588" r="CW68">
        <f>IF(ISNA((CS68*CS67)),0,IF((CP67=FALSE),IF((CP68=FALSE),IF(ISNA(CO68),0,IF((CS67&lt;CU$44),IF((CS68&lt;CU$44),((CU$44-((CS67+CS68)*0.5))*CV68),(((CU$44-CS67)*0.5)*CV68)),IF((CS68&lt;CU$44),(((CU$44-CS68)*0.5)*CV68),0))),0),0))</f>
        <v>0</v>
      </c>
      <c s="588" r="CX68">
        <f>IF(ISNA((CS68*CS67)),0,IF((CP67=FALSE),IF((CP68=FALSE),IF(ISNA(CS68),0,IF((CS67&lt;CU$44),IF((CS68&lt;CU$44),(((CV68^2)+((CS68-CS67)^2))^0.5),(((CV68^2)+((CU$44-CS67)^2))^0.5)),IF((CS68&lt;CU$44),(((CV68^2)+((CU$44-CS68)^2))^0.5),0))),0),0))</f>
        <v>0</v>
      </c>
      <c s="588" r="CY68">
        <f>IF(ISNUMBER((CS68*CS67)),IF((CS67&gt;=CE$148),IF((CS68&lt;CE$148),1,0),IF((CS68&gt;=CE$148),IF((CS67&lt;CE$148),1,0),0)),0)</f>
        <v>0</v>
      </c>
      <c s="588" r="CZ68">
        <f>IF(ISNA((CS68*CS67)),0,(IF((CR68&lt;CR67),-1,1)*(IF(ISNA(CS68),0,IF((CS67&lt;CE$148),IF((CS68&lt;CE$148),(((CR68-CR67)^2)^0.5),(((((CE$148-CS67)*(CR68-CR67))/(CS68-CS67))^2)^0.5)),IF((CS68&lt;CE$148),(((((CE$148-CS68)*(CR68-CR67))/(CS67-CS68))^2)^0.5),0))))))</f>
        <v>0</v>
      </c>
      <c s="441" r="DA68">
        <f>IF((CW68&gt;0),(MAX(DA$47:DA67)+1),0)</f>
        <v>0</v>
      </c>
      <c s="388" r="DB68"/>
      <c s="406" r="DC68"/>
      <c s="886" r="DD68"/>
      <c s="886" r="DE68"/>
      <c s="756" r="DF68"/>
      <c s="886" r="DG68"/>
      <c s="418" r="DH68"/>
      <c s="550" r="DI68"/>
      <c s="550" r="DJ68"/>
      <c t="str" s="620" r="DK68">
        <f>IF((COUNT(DJ68:DJ$146,DL68:DL$146)=0),NA(),IF(ISBLANK(DJ68),DK67,(DK67+(DJ68-DL67))))</f>
        <v>#N/A:explicit</v>
      </c>
      <c s="550" r="DL68"/>
      <c t="str" s="620" r="DM68">
        <f>IF(OR(ISBLANK(DL68),ISNUMBER(DJ69)),NA(),(DK68-DL68))</f>
        <v>#N/A:explicit</v>
      </c>
      <c t="b" s="895" r="DN68">
        <v>0</v>
      </c>
      <c s="631" r="DO68"/>
      <c t="str" s="309" r="DP68">
        <f>IF((COUNT(DI68:DI$146)=0),NA(),IF(ISBLANK(DI68),IF(ISBLANK(DI67),MAX(DI$46:DI68),DI67),DI68))</f>
        <v>#N/A:explicit</v>
      </c>
      <c t="str" s="861" r="DQ68">
        <f>IF(ISNA(DM68),IF(ISNUMBER(DP68),DQ67,NA()),DM68)</f>
        <v>#N/A:explicit</v>
      </c>
      <c s="861" r="DR68">
        <f>IF(ISNUMBER(DQ68),DQ68,(DK$46+1000))</f>
        <v>1000</v>
      </c>
      <c t="str" s="588" r="DS68">
        <f>IF((DN68=TRUE),NA(),IF((DS$44=(DK$46-MAX(DL$46:DL$146))),NA(),DS$44))</f>
        <v>#N/A:explicit</v>
      </c>
      <c s="588" r="DT68">
        <f>IF((ISNA(((DQ68*DP68)*DQ67))),0,(IF((DP68&lt;DP67),-1,1)*(IF((DN67=FALSE),IF((DN68=FALSE),IF(ISNA(DQ68),0,IF((DQ67&lt;DS$44),IF((DQ68&lt;DS$44),(((DP68-DP67)^2)^0.5),(((((DS$44-DQ67)*(DP68-DP67))/(DQ68-DQ67))^2)^0.5)),IF((DQ68&lt;DS$44),(((((DS$44-DQ68)*(DP68-DP67))/(DQ67-DQ68))^2)^0.5),0))),0),0))))</f>
        <v>0</v>
      </c>
      <c s="588" r="DU68">
        <f>IF(ISNA((DQ68*DQ67)),0,IF((DN67=FALSE),IF((DN68=FALSE),IF(ISNA(DM68),0,IF((DQ67&lt;DS$44),IF((DQ68&lt;DS$44),((DS$44-((DQ67+DQ68)*0.5))*DT68),(((DS$44-DQ67)*0.5)*DT68)),IF((DQ68&lt;DS$44),(((DS$44-DQ68)*0.5)*DT68),0))),0),0))</f>
        <v>0</v>
      </c>
      <c s="588" r="DV68">
        <f>IF(ISNA((DQ68*DQ67)),0,IF((DN67=FALSE),IF((DN68=FALSE),IF(ISNA(DQ68),0,IF((DQ67&lt;DS$44),IF((DQ68&lt;DS$44),(((DT68^2)+((DQ68-DQ67)^2))^0.5),(((DT68^2)+((DS$44-DQ67)^2))^0.5)),IF((DQ68&lt;DS$44),(((DT68^2)+((DS$44-DQ68)^2))^0.5),0))),0),0))</f>
        <v>0</v>
      </c>
      <c s="588" r="DW68">
        <f>IF(ISNUMBER((DQ68*DQ67)),IF((DQ67&gt;=DC$148),IF((DQ68&lt;DC$148),1,0),IF((DQ68&gt;=DC$148),IF((DQ67&lt;DC$148),1,0),0)),0)</f>
        <v>0</v>
      </c>
      <c s="588" r="DX68">
        <f>IF(ISNA((DQ68*DQ67)),0,(IF((DP68&lt;DP67),-1,1)*(IF(ISNA(DQ68),0,IF((DQ67&lt;DC$148),IF((DQ68&lt;DC$148),(((DP68-DP67)^2)^0.5),(((((DC$148-DQ67)*(DP68-DP67))/(DQ68-DQ67))^2)^0.5)),IF((DQ68&lt;DC$148),(((((DC$148-DQ68)*(DP68-DP67))/(DQ67-DQ68))^2)^0.5),0))))))</f>
        <v>0</v>
      </c>
      <c s="441" r="DY68">
        <f>IF((DU68&gt;0),(MAX(DY$47:DY67)+1),0)</f>
        <v>0</v>
      </c>
      <c s="388" r="DZ68"/>
      <c s="406" r="EA68"/>
      <c s="886" r="EB68"/>
      <c s="886" r="EC68"/>
      <c s="756" r="ED68"/>
      <c s="886" r="EE68"/>
      <c s="418" r="EF68"/>
      <c s="550" r="EG68"/>
      <c s="550" r="EH68"/>
      <c t="str" s="620" r="EI68">
        <f>IF((COUNT(EH68:EH$146,EJ68:EJ$146)=0),NA(),IF(ISBLANK(EH68),EI67,(EI67+(EH68-EJ67))))</f>
        <v>#N/A:explicit</v>
      </c>
      <c s="550" r="EJ68"/>
      <c t="str" s="620" r="EK68">
        <f>IF(OR(ISBLANK(EJ68),ISNUMBER(EH69)),NA(),(EI68-EJ68))</f>
        <v>#N/A:explicit</v>
      </c>
      <c t="b" s="895" r="EL68">
        <v>0</v>
      </c>
      <c s="631" r="EM68"/>
      <c t="str" s="309" r="EN68">
        <f>IF((COUNT(EG68:EG$146)=0),NA(),IF(ISBLANK(EG68),IF(ISBLANK(EG67),MAX(EG$46:EG68),EG67),EG68))</f>
        <v>#N/A:explicit</v>
      </c>
      <c t="str" s="861" r="EO68">
        <f>IF(ISNA(EK68),IF(ISNUMBER(EN68),EO67,NA()),EK68)</f>
        <v>#N/A:explicit</v>
      </c>
      <c s="861" r="EP68">
        <f>IF(ISNUMBER(EO68),EO68,(EI$46+1000))</f>
        <v>1000</v>
      </c>
      <c t="str" s="588" r="EQ68">
        <f>IF((EL68=TRUE),NA(),IF((EQ$44=(EI$46-MAX(EJ$46:EJ$146))),NA(),EQ$44))</f>
        <v>#N/A:explicit</v>
      </c>
      <c s="588" r="ER68">
        <f>IF((ISNA(((EO68*EN68)*EO67))),0,(IF((EN68&lt;EN67),-1,1)*(IF((EL67=FALSE),IF((EL68=FALSE),IF(ISNA(EO68),0,IF((EO67&lt;EQ$44),IF((EO68&lt;EQ$44),(((EN68-EN67)^2)^0.5),(((((EQ$44-EO67)*(EN68-EN67))/(EO68-EO67))^2)^0.5)),IF((EO68&lt;EQ$44),(((((EQ$44-EO68)*(EN68-EN67))/(EO67-EO68))^2)^0.5),0))),0),0))))</f>
        <v>0</v>
      </c>
      <c s="588" r="ES68">
        <f>IF(ISNA((EO68*EO67)),0,IF((EL67=FALSE),IF((EL68=FALSE),IF(ISNA(EK68),0,IF((EO67&lt;EQ$44),IF((EO68&lt;EQ$44),((EQ$44-((EO67+EO68)*0.5))*ER68),(((EQ$44-EO67)*0.5)*ER68)),IF((EO68&lt;EQ$44),(((EQ$44-EO68)*0.5)*ER68),0))),0),0))</f>
        <v>0</v>
      </c>
      <c s="588" r="ET68">
        <f>IF(ISNA((EO68*EO67)),0,IF((EL67=FALSE),IF((EL68=FALSE),IF(ISNA(EO68),0,IF((EO67&lt;EQ$44),IF((EO68&lt;EQ$44),(((ER68^2)+((EO68-EO67)^2))^0.5),(((ER68^2)+((EQ$44-EO67)^2))^0.5)),IF((EO68&lt;EQ$44),(((ER68^2)+((EQ$44-EO68)^2))^0.5),0))),0),0))</f>
        <v>0</v>
      </c>
      <c s="588" r="EU68">
        <f>IF(ISNUMBER((EO68*EO67)),IF((EO67&gt;=EA$148),IF((EO68&lt;EA$148),1,0),IF((EO68&gt;=EA$148),IF((EO67&lt;EA$148),1,0),0)),0)</f>
        <v>0</v>
      </c>
      <c s="588" r="EV68">
        <f>IF(ISNA((EO68*EO67)),0,(IF((EN68&lt;EN67),-1,1)*(IF(ISNA(EO68),0,IF((EO67&lt;EA$148),IF((EO68&lt;EA$148),(((EN68-EN67)^2)^0.5),(((((EA$148-EO67)*(EN68-EN67))/(EO68-EO67))^2)^0.5)),IF((EO68&lt;EA$148),(((((EA$148-EO68)*(EN68-EN67))/(EO67-EO68))^2)^0.5),0))))))</f>
        <v>0</v>
      </c>
      <c s="441" r="EW68">
        <f>IF((ES68&gt;0),(MAX(EW$47:EW67)+1),0)</f>
        <v>0</v>
      </c>
      <c s="388" r="EX68"/>
      <c s="406" r="EY68"/>
      <c s="886" r="EZ68"/>
      <c s="886" r="FA68"/>
      <c s="756" r="FB68"/>
      <c s="886" r="FC68"/>
      <c s="418" r="FD68"/>
      <c s="550" r="FE68"/>
      <c s="550" r="FF68"/>
      <c t="str" s="620" r="FG68">
        <f>IF((COUNT(FF68:FF$146,FH68:FH$146)=0),NA(),IF(ISBLANK(FF68),FG67,(FG67+(FF68-FH67))))</f>
        <v>#N/A:explicit</v>
      </c>
      <c s="550" r="FH68"/>
      <c t="str" s="620" r="FI68">
        <f>IF(OR(ISBLANK(FH68),ISNUMBER(FF69)),NA(),(FG68-FH68))</f>
        <v>#N/A:explicit</v>
      </c>
      <c t="b" s="895" r="FJ68">
        <v>0</v>
      </c>
      <c s="631" r="FK68"/>
      <c t="str" s="309" r="FL68">
        <f>IF((COUNT(FE68:FE$146)=0),NA(),IF(ISBLANK(FE68),IF(ISBLANK(FE67),MAX(FE$46:FE68),FE67),FE68))</f>
        <v>#N/A:explicit</v>
      </c>
      <c t="str" s="861" r="FM68">
        <f>IF(ISNA(FI68),IF(ISNUMBER(FL68),FM67,NA()),FI68)</f>
        <v>#N/A:explicit</v>
      </c>
      <c s="861" r="FN68">
        <f>IF(ISNUMBER(FM68),FM68,(FG$46+1000))</f>
        <v>1000</v>
      </c>
      <c t="str" s="588" r="FO68">
        <f>IF((FJ68=TRUE),NA(),IF((FO$44=(FG$46-MAX(FH$46:FH$146))),NA(),FO$44))</f>
        <v>#N/A:explicit</v>
      </c>
      <c s="588" r="FP68">
        <f>IF((ISNA(((FM68*FL68)*FM67))),0,(IF((FL68&lt;FL67),-1,1)*(IF((FJ67=FALSE),IF((FJ68=FALSE),IF(ISNA(FM68),0,IF((FM67&lt;FO$44),IF((FM68&lt;FO$44),(((FL68-FL67)^2)^0.5),(((((FO$44-FM67)*(FL68-FL67))/(FM68-FM67))^2)^0.5)),IF((FM68&lt;FO$44),(((((FO$44-FM68)*(FL68-FL67))/(FM67-FM68))^2)^0.5),0))),0),0))))</f>
        <v>0</v>
      </c>
      <c s="588" r="FQ68">
        <f>IF(ISNA((FM68*FM67)),0,IF((FJ67=FALSE),IF((FJ68=FALSE),IF(ISNA(FI68),0,IF((FM67&lt;FO$44),IF((FM68&lt;FO$44),((FO$44-((FM67+FM68)*0.5))*FP68),(((FO$44-FM67)*0.5)*FP68)),IF((FM68&lt;FO$44),(((FO$44-FM68)*0.5)*FP68),0))),0),0))</f>
        <v>0</v>
      </c>
      <c s="588" r="FR68">
        <f>IF(ISNA((FM68*FM67)),0,IF((FJ67=FALSE),IF((FJ68=FALSE),IF(ISNA(FM68),0,IF((FM67&lt;FO$44),IF((FM68&lt;FO$44),(((FP68^2)+((FM68-FM67)^2))^0.5),(((FP68^2)+((FO$44-FM67)^2))^0.5)),IF((FM68&lt;FO$44),(((FP68^2)+((FO$44-FM68)^2))^0.5),0))),0),0))</f>
        <v>0</v>
      </c>
      <c s="588" r="FS68">
        <f>IF(ISNUMBER((FM68*FM67)),IF((FM67&gt;=EY$148),IF((FM68&lt;EY$148),1,0),IF((FM68&gt;=EY$148),IF((FM67&lt;EY$148),1,0),0)),0)</f>
        <v>0</v>
      </c>
      <c s="588" r="FT68">
        <f>IF(ISNA((FM68*FM67)),0,(IF((FL68&lt;FL67),-1,1)*(IF(ISNA(FM68),0,IF((FM67&lt;EY$148),IF((FM68&lt;EY$148),(((FL68-FL67)^2)^0.5),(((((EY$148-FM67)*(FL68-FL67))/(FM68-FM67))^2)^0.5)),IF((FM68&lt;EY$148),(((((EY$148-FM68)*(FL68-FL67))/(FM67-FM68))^2)^0.5),0))))))</f>
        <v>0</v>
      </c>
      <c s="441" r="FU68">
        <f>IF((FQ68&gt;0),(MAX(FU$47:FU67)+1),0)</f>
        <v>0</v>
      </c>
      <c s="222" r="FV68"/>
      <c s="125" r="FW68"/>
      <c s="125" r="FX68"/>
      <c s="125" r="FY68"/>
      <c s="125" r="FZ68"/>
      <c s="125" r="GA68"/>
      <c s="125" r="GB68"/>
      <c s="125" r="GC68"/>
      <c s="125" r="GD68"/>
      <c s="125" r="GE68"/>
      <c s="125" r="GF68"/>
      <c s="125" r="GG68"/>
      <c s="125" r="GH68"/>
      <c s="125" r="GI68"/>
      <c s="125" r="GJ68"/>
      <c s="125" r="GK68"/>
      <c s="125" r="GL68"/>
      <c s="125" r="GM68"/>
      <c s="125" r="GN68"/>
      <c s="125" r="GO68"/>
      <c s="125" r="GP68"/>
      <c s="125" r="GQ68"/>
      <c s="125" r="GR68"/>
      <c s="125" r="GS68"/>
      <c s="125" r="GT68"/>
      <c s="125" r="GU68"/>
      <c s="125" r="GV68"/>
      <c s="125" r="GW68"/>
      <c s="125" r="GX68"/>
      <c s="125" r="GY68"/>
      <c s="125" r="GZ68"/>
      <c s="125" r="HA68"/>
      <c s="125" r="HB68"/>
    </row>
    <row customHeight="1" r="69" ht="13.5">
      <c s="822" r="A69"/>
      <c s="695" r="B69"/>
      <c s="566" r="C69"/>
      <c s="566" r="D69"/>
      <c s="566" r="E69"/>
      <c s="566" r="F69"/>
      <c s="566" r="G69"/>
      <c s="566" r="H69"/>
      <c s="704" r="I69"/>
      <c s="702" r="J69"/>
      <c s="406" r="K69"/>
      <c t="s" s="699" r="L69">
        <v>529</v>
      </c>
      <c s="566" r="M69"/>
      <c s="566" r="N69"/>
      <c s="566" r="O69"/>
      <c s="418" r="P69"/>
      <c s="550" r="Q69"/>
      <c s="550" r="R69"/>
      <c t="str" s="620" r="S69">
        <f>IF((COUNT(R69:R$146,T69:T$146)=0),NA(),IF(ISBLANK(R69),S68,(S68+(R69-T68))))</f>
        <v>#N/A:explicit</v>
      </c>
      <c s="550" r="T69"/>
      <c t="str" s="620" r="U69">
        <f>IF(OR(ISBLANK(T69),ISNUMBER(R70)),NA(),(S69-T69))</f>
        <v>#N/A:explicit</v>
      </c>
      <c t="b" s="895" r="V69">
        <v>0</v>
      </c>
      <c s="631" r="W69"/>
      <c t="str" s="309" r="X69">
        <f>IF((COUNT(Q69:Q$146)=0),NA(),IF(ISBLANK(Q69),IF(ISBLANK(Q68),MAX(Q$46:Q69),Q68),Q69))</f>
        <v>#N/A:explicit</v>
      </c>
      <c t="str" s="861" r="Y69">
        <f>IF(ISNA(U69),IF(ISNUMBER(X69),Y68,NA()),U69)</f>
        <v>#N/A:explicit</v>
      </c>
      <c s="861" r="Z69">
        <f>IF(ISNUMBER(Y69),Y69,(S$46+1000))</f>
        <v>1000</v>
      </c>
      <c t="str" s="588" r="AA69">
        <f>IF((V69=TRUE),NA(),IF((AA$44=(S$46-MAX(T$46:T$146))),NA(),AA$44))</f>
        <v>#N/A:explicit</v>
      </c>
      <c s="588" r="AB69">
        <f>IF((ISNA(((Y69*X69)*Y68))),0,(IF((X69&lt;X68),-1,1)*(IF((V68=FALSE),IF((V69=FALSE),IF(ISNA(Y69),0,IF((Y68&lt;AA$44),IF((Y69&lt;AA$44),(((X69-X68)^2)^0.5),(((((AA$44-Y68)*(X69-X68))/(Y69-Y68))^2)^0.5)),IF((Y69&lt;AA$44),(((((AA$44-Y69)*(X69-X68))/(Y68-Y69))^2)^0.5),0))),0),0))))</f>
        <v>0</v>
      </c>
      <c s="588" r="AC69">
        <f>IF(ISNA((Y69*Y68)),0,IF((V68=FALSE),IF((V69=FALSE),IF(ISNA(U69),0,IF((Y68&lt;AA$44),IF((Y69&lt;AA$44),((AA$44-((Y68+Y69)*0.5))*AB69),(((AA$44-Y68)*0.5)*AB69)),IF((Y69&lt;AA$44),(((AA$44-Y69)*0.5)*AB69),0))),0),0))</f>
        <v>0</v>
      </c>
      <c s="588" r="AD69">
        <f>IF(ISNA((Y69*Y68)),0,IF((V68=FALSE),IF((V69=FALSE),IF(ISNA(Y69),0,IF((Y68&lt;AA$44),IF((Y69&lt;AA$44),(((AB69^2)+((Y69-Y68)^2))^0.5),(((AB69^2)+((AA$44-Y68)^2))^0.5)),IF((Y69&lt;AA$44),(((AB69^2)+((AA$44-Y69)^2))^0.5),0))),0),0))</f>
        <v>0</v>
      </c>
      <c s="588" r="AE69">
        <f>IF(ISNUMBER((Y69*Y68)),IF((Y68&gt;=K$148),IF((Y69&lt;K$148),1,0),IF((Y69&gt;=K$148),IF((Y68&lt;K$148),1,0),0)),0)</f>
        <v>0</v>
      </c>
      <c s="588" r="AF69">
        <f>IF(ISNA((Y69*Y68)),0,(IF((X69&lt;X68),-1,1)*(IF(ISNA(Y69),0,IF((Y68&lt;K$148),IF((Y69&lt;K$148),(((X69-X68)^2)^0.5),(((((K$148-Y68)*(X69-X68))/(Y69-Y68))^2)^0.5)),IF((Y69&lt;K$148),(((((K$148-Y69)*(X69-X68))/(Y68-Y69))^2)^0.5),0))))))</f>
        <v>0</v>
      </c>
      <c s="441" r="AG69">
        <f>IF((AC69&gt;0),(MAX(AG$47:AG68)+1),0)</f>
        <v>0</v>
      </c>
      <c s="388" r="AH69"/>
      <c s="406" r="AI69"/>
      <c t="s" s="699" r="AJ69">
        <v>529</v>
      </c>
      <c s="566" r="AK69"/>
      <c s="566" r="AL69"/>
      <c s="566" r="AM69"/>
      <c s="418" r="AN69"/>
      <c s="550" r="AO69"/>
      <c s="550" r="AP69"/>
      <c t="str" s="620" r="AQ69">
        <f>IF((COUNT(AP69:AP$146,AR69:AR$146)=0),NA(),IF(ISBLANK(AP69),AQ68,(AQ68+(AP69-AR68))))</f>
        <v>#N/A:explicit</v>
      </c>
      <c s="550" r="AR69"/>
      <c t="str" s="620" r="AS69">
        <f>IF(OR(ISBLANK(AR69),ISNUMBER(AP70)),NA(),(AQ69-AR69))</f>
        <v>#N/A:explicit</v>
      </c>
      <c t="b" s="895" r="AT69">
        <v>0</v>
      </c>
      <c s="631" r="AU69"/>
      <c t="str" s="309" r="AV69">
        <f>IF((COUNT(AO69:AO$146)=0),NA(),IF(ISBLANK(AO69),IF(ISBLANK(AO68),MAX(AO$46:AO69),AO68),AO69))</f>
        <v>#N/A:explicit</v>
      </c>
      <c t="str" s="861" r="AW69">
        <f>IF(ISNA(AS69),IF(ISNUMBER(AV69),AW68,NA()),AS69)</f>
        <v>#N/A:explicit</v>
      </c>
      <c s="861" r="AX69">
        <f>IF(ISNUMBER(AW69),AW69,(AQ$46+1000))</f>
        <v>1000</v>
      </c>
      <c t="str" s="588" r="AY69">
        <f>IF((AT69=TRUE),NA(),IF((AY$44=(AQ$46-MAX(AR$46:AR$146))),NA(),AY$44))</f>
        <v>#N/A:explicit</v>
      </c>
      <c s="588" r="AZ69">
        <f>IF((ISNA(((AW69*AV69)*AW68))),0,(IF((AV69&lt;AV68),-1,1)*(IF((AT68=FALSE),IF((AT69=FALSE),IF(ISNA(AW69),0,IF((AW68&lt;AY$44),IF((AW69&lt;AY$44),(((AV69-AV68)^2)^0.5),(((((AY$44-AW68)*(AV69-AV68))/(AW69-AW68))^2)^0.5)),IF((AW69&lt;AY$44),(((((AY$44-AW69)*(AV69-AV68))/(AW68-AW69))^2)^0.5),0))),0),0))))</f>
        <v>0</v>
      </c>
      <c s="588" r="BA69">
        <f>IF(ISNA((AW69*AW68)),0,IF((AT68=FALSE),IF((AT69=FALSE),IF(ISNA(AS69),0,IF((AW68&lt;AY$44),IF((AW69&lt;AY$44),((AY$44-((AW68+AW69)*0.5))*AZ69),(((AY$44-AW68)*0.5)*AZ69)),IF((AW69&lt;AY$44),(((AY$44-AW69)*0.5)*AZ69),0))),0),0))</f>
        <v>0</v>
      </c>
      <c s="588" r="BB69">
        <f>IF(ISNA((AW69*AW68)),0,IF((AT68=FALSE),IF((AT69=FALSE),IF(ISNA(AW69),0,IF((AW68&lt;AY$44),IF((AW69&lt;AY$44),(((AZ69^2)+((AW69-AW68)^2))^0.5),(((AZ69^2)+((AY$44-AW68)^2))^0.5)),IF((AW69&lt;AY$44),(((AZ69^2)+((AY$44-AW69)^2))^0.5),0))),0),0))</f>
        <v>0</v>
      </c>
      <c s="588" r="BC69">
        <f>IF(ISNUMBER((AW69*AW68)),IF((AW68&gt;=AI$148),IF((AW69&lt;AI$148),1,0),IF((AW69&gt;=AI$148),IF((AW68&lt;AI$148),1,0),0)),0)</f>
        <v>0</v>
      </c>
      <c s="588" r="BD69">
        <f>IF(ISNA((AW69*AW68)),0,(IF((AV69&lt;AV68),-1,1)*(IF(ISNA(AW69),0,IF((AW68&lt;AI$148),IF((AW69&lt;AI$148),(((AV69-AV68)^2)^0.5),(((((AI$148-AW68)*(AV69-AV68))/(AW69-AW68))^2)^0.5)),IF((AW69&lt;AI$148),(((((AI$148-AW69)*(AV69-AV68))/(AW68-AW69))^2)^0.5),0))))))</f>
        <v>0</v>
      </c>
      <c s="441" r="BE69">
        <f>IF((BA69&gt;0),(MAX(BE$47:BE68)+1),0)</f>
        <v>0</v>
      </c>
      <c s="388" r="BF69"/>
      <c s="406" r="BG69"/>
      <c t="s" s="699" r="BH69">
        <v>529</v>
      </c>
      <c s="566" r="BI69"/>
      <c s="566" r="BJ69"/>
      <c s="566" r="BK69"/>
      <c s="418" r="BL69"/>
      <c s="550" r="BM69"/>
      <c s="550" r="BN69"/>
      <c t="str" s="620" r="BO69">
        <f>IF((COUNT(BN69:BN$146,BP69:BP$146)=0),NA(),IF(ISBLANK(BN69),BO68,(BO68+(BN69-BP68))))</f>
        <v>#N/A:explicit</v>
      </c>
      <c s="550" r="BP69"/>
      <c t="str" s="620" r="BQ69">
        <f>IF(OR(ISBLANK(BP69),ISNUMBER(BN70)),NA(),(BO69-BP69))</f>
        <v>#N/A:explicit</v>
      </c>
      <c t="b" s="895" r="BR69">
        <v>0</v>
      </c>
      <c s="631" r="BS69"/>
      <c t="str" s="309" r="BT69">
        <f>IF((COUNT(BM69:BM$146)=0),NA(),IF(ISBLANK(BM69),IF(ISBLANK(BM68),MAX(BM$46:BM69),BM68),BM69))</f>
        <v>#N/A:explicit</v>
      </c>
      <c t="str" s="861" r="BU69">
        <f>IF(ISNA(BQ69),IF(ISNUMBER(BT69),BU68,NA()),BQ69)</f>
        <v>#N/A:explicit</v>
      </c>
      <c s="861" r="BV69">
        <f>IF(ISNUMBER(BU69),BU69,(BO$46+1000))</f>
        <v>1000</v>
      </c>
      <c t="str" s="588" r="BW69">
        <f>IF((BR69=TRUE),NA(),IF((BW$44=(BO$46-MAX(BP$46:BP$146))),NA(),BW$44))</f>
        <v>#N/A:explicit</v>
      </c>
      <c s="588" r="BX69">
        <f>IF((ISNA(((BU69*BT69)*BU68))),0,(IF((BT69&lt;BT68),-1,1)*(IF((BR68=FALSE),IF((BR69=FALSE),IF(ISNA(BU69),0,IF((BU68&lt;BW$44),IF((BU69&lt;BW$44),(((BT69-BT68)^2)^0.5),(((((BW$44-BU68)*(BT69-BT68))/(BU69-BU68))^2)^0.5)),IF((BU69&lt;BW$44),(((((BW$44-BU69)*(BT69-BT68))/(BU68-BU69))^2)^0.5),0))),0),0))))</f>
        <v>0</v>
      </c>
      <c s="588" r="BY69">
        <f>IF(ISNA((BU69*BU68)),0,IF((BR68=FALSE),IF((BR69=FALSE),IF(ISNA(BQ69),0,IF((BU68&lt;BW$44),IF((BU69&lt;BW$44),((BW$44-((BU68+BU69)*0.5))*BX69),(((BW$44-BU68)*0.5)*BX69)),IF((BU69&lt;BW$44),(((BW$44-BU69)*0.5)*BX69),0))),0),0))</f>
        <v>0</v>
      </c>
      <c s="588" r="BZ69">
        <f>IF(ISNA((BU69*BU68)),0,IF((BR68=FALSE),IF((BR69=FALSE),IF(ISNA(BU69),0,IF((BU68&lt;BW$44),IF((BU69&lt;BW$44),(((BX69^2)+((BU69-BU68)^2))^0.5),(((BX69^2)+((BW$44-BU68)^2))^0.5)),IF((BU69&lt;BW$44),(((BX69^2)+((BW$44-BU69)^2))^0.5),0))),0),0))</f>
        <v>0</v>
      </c>
      <c s="588" r="CA69">
        <f>IF(ISNUMBER((BU69*BU68)),IF((BU68&gt;=BG$148),IF((BU69&lt;BG$148),1,0),IF((BU69&gt;=BG$148),IF((BU68&lt;BG$148),1,0),0)),0)</f>
        <v>0</v>
      </c>
      <c s="588" r="CB69">
        <f>IF(ISNA((BU69*BU68)),0,(IF((BT69&lt;BT68),-1,1)*(IF(ISNA(BU69),0,IF((BU68&lt;BG$148),IF((BU69&lt;BG$148),(((BT69-BT68)^2)^0.5),(((((BG$148-BU68)*(BT69-BT68))/(BU69-BU68))^2)^0.5)),IF((BU69&lt;BG$148),(((((BG$148-BU69)*(BT69-BT68))/(BU68-BU69))^2)^0.5),0))))))</f>
        <v>0</v>
      </c>
      <c s="441" r="CC69">
        <f>IF((BY69&gt;0),(MAX(CC$47:CC68)+1),0)</f>
        <v>0</v>
      </c>
      <c s="388" r="CD69"/>
      <c s="406" r="CE69"/>
      <c t="s" s="699" r="CF69">
        <v>529</v>
      </c>
      <c s="566" r="CG69"/>
      <c s="566" r="CH69"/>
      <c s="566" r="CI69"/>
      <c s="418" r="CJ69"/>
      <c s="550" r="CK69"/>
      <c s="550" r="CL69"/>
      <c t="str" s="620" r="CM69">
        <f>IF((COUNT(CL69:CL$146,CN69:CN$146)=0),NA(),IF(ISBLANK(CL69),CM68,(CM68+(CL69-CN68))))</f>
        <v>#N/A:explicit</v>
      </c>
      <c s="550" r="CN69"/>
      <c t="str" s="620" r="CO69">
        <f>IF(OR(ISBLANK(CN69),ISNUMBER(CL70)),NA(),(CM69-CN69))</f>
        <v>#N/A:explicit</v>
      </c>
      <c t="b" s="895" r="CP69">
        <v>0</v>
      </c>
      <c s="631" r="CQ69"/>
      <c t="str" s="309" r="CR69">
        <f>IF((COUNT(CK69:CK$146)=0),NA(),IF(ISBLANK(CK69),IF(ISBLANK(CK68),MAX(CK$46:CK69),CK68),CK69))</f>
        <v>#N/A:explicit</v>
      </c>
      <c t="str" s="861" r="CS69">
        <f>IF(ISNA(CO69),IF(ISNUMBER(CR69),CS68,NA()),CO69)</f>
        <v>#N/A:explicit</v>
      </c>
      <c s="861" r="CT69">
        <f>IF(ISNUMBER(CS69),CS69,(CM$46+1000))</f>
        <v>1000</v>
      </c>
      <c t="str" s="588" r="CU69">
        <f>IF((CP69=TRUE),NA(),IF((CU$44=(CM$46-MAX(CN$46:CN$146))),NA(),CU$44))</f>
        <v>#N/A:explicit</v>
      </c>
      <c s="588" r="CV69">
        <f>IF((ISNA(((CS69*CR69)*CS68))),0,(IF((CR69&lt;CR68),-1,1)*(IF((CP68=FALSE),IF((CP69=FALSE),IF(ISNA(CS69),0,IF((CS68&lt;CU$44),IF((CS69&lt;CU$44),(((CR69-CR68)^2)^0.5),(((((CU$44-CS68)*(CR69-CR68))/(CS69-CS68))^2)^0.5)),IF((CS69&lt;CU$44),(((((CU$44-CS69)*(CR69-CR68))/(CS68-CS69))^2)^0.5),0))),0),0))))</f>
        <v>0</v>
      </c>
      <c s="588" r="CW69">
        <f>IF(ISNA((CS69*CS68)),0,IF((CP68=FALSE),IF((CP69=FALSE),IF(ISNA(CO69),0,IF((CS68&lt;CU$44),IF((CS69&lt;CU$44),((CU$44-((CS68+CS69)*0.5))*CV69),(((CU$44-CS68)*0.5)*CV69)),IF((CS69&lt;CU$44),(((CU$44-CS69)*0.5)*CV69),0))),0),0))</f>
        <v>0</v>
      </c>
      <c s="588" r="CX69">
        <f>IF(ISNA((CS69*CS68)),0,IF((CP68=FALSE),IF((CP69=FALSE),IF(ISNA(CS69),0,IF((CS68&lt;CU$44),IF((CS69&lt;CU$44),(((CV69^2)+((CS69-CS68)^2))^0.5),(((CV69^2)+((CU$44-CS68)^2))^0.5)),IF((CS69&lt;CU$44),(((CV69^2)+((CU$44-CS69)^2))^0.5),0))),0),0))</f>
        <v>0</v>
      </c>
      <c s="588" r="CY69">
        <f>IF(ISNUMBER((CS69*CS68)),IF((CS68&gt;=CE$148),IF((CS69&lt;CE$148),1,0),IF((CS69&gt;=CE$148),IF((CS68&lt;CE$148),1,0),0)),0)</f>
        <v>0</v>
      </c>
      <c s="588" r="CZ69">
        <f>IF(ISNA((CS69*CS68)),0,(IF((CR69&lt;CR68),-1,1)*(IF(ISNA(CS69),0,IF((CS68&lt;CE$148),IF((CS69&lt;CE$148),(((CR69-CR68)^2)^0.5),(((((CE$148-CS68)*(CR69-CR68))/(CS69-CS68))^2)^0.5)),IF((CS69&lt;CE$148),(((((CE$148-CS69)*(CR69-CR68))/(CS68-CS69))^2)^0.5),0))))))</f>
        <v>0</v>
      </c>
      <c s="441" r="DA69">
        <f>IF((CW69&gt;0),(MAX(DA$47:DA68)+1),0)</f>
        <v>0</v>
      </c>
      <c s="388" r="DB69"/>
      <c s="406" r="DC69"/>
      <c t="s" s="699" r="DD69">
        <v>529</v>
      </c>
      <c s="566" r="DE69"/>
      <c s="566" r="DF69"/>
      <c s="566" r="DG69"/>
      <c s="418" r="DH69"/>
      <c s="550" r="DI69"/>
      <c s="550" r="DJ69"/>
      <c t="str" s="620" r="DK69">
        <f>IF((COUNT(DJ69:DJ$146,DL69:DL$146)=0),NA(),IF(ISBLANK(DJ69),DK68,(DK68+(DJ69-DL68))))</f>
        <v>#N/A:explicit</v>
      </c>
      <c s="550" r="DL69"/>
      <c t="str" s="620" r="DM69">
        <f>IF(OR(ISBLANK(DL69),ISNUMBER(DJ70)),NA(),(DK69-DL69))</f>
        <v>#N/A:explicit</v>
      </c>
      <c t="b" s="895" r="DN69">
        <v>0</v>
      </c>
      <c s="631" r="DO69"/>
      <c t="str" s="309" r="DP69">
        <f>IF((COUNT(DI69:DI$146)=0),NA(),IF(ISBLANK(DI69),IF(ISBLANK(DI68),MAX(DI$46:DI69),DI68),DI69))</f>
        <v>#N/A:explicit</v>
      </c>
      <c t="str" s="861" r="DQ69">
        <f>IF(ISNA(DM69),IF(ISNUMBER(DP69),DQ68,NA()),DM69)</f>
        <v>#N/A:explicit</v>
      </c>
      <c s="861" r="DR69">
        <f>IF(ISNUMBER(DQ69),DQ69,(DK$46+1000))</f>
        <v>1000</v>
      </c>
      <c t="str" s="588" r="DS69">
        <f>IF((DN69=TRUE),NA(),IF((DS$44=(DK$46-MAX(DL$46:DL$146))),NA(),DS$44))</f>
        <v>#N/A:explicit</v>
      </c>
      <c s="588" r="DT69">
        <f>IF((ISNA(((DQ69*DP69)*DQ68))),0,(IF((DP69&lt;DP68),-1,1)*(IF((DN68=FALSE),IF((DN69=FALSE),IF(ISNA(DQ69),0,IF((DQ68&lt;DS$44),IF((DQ69&lt;DS$44),(((DP69-DP68)^2)^0.5),(((((DS$44-DQ68)*(DP69-DP68))/(DQ69-DQ68))^2)^0.5)),IF((DQ69&lt;DS$44),(((((DS$44-DQ69)*(DP69-DP68))/(DQ68-DQ69))^2)^0.5),0))),0),0))))</f>
        <v>0</v>
      </c>
      <c s="588" r="DU69">
        <f>IF(ISNA((DQ69*DQ68)),0,IF((DN68=FALSE),IF((DN69=FALSE),IF(ISNA(DM69),0,IF((DQ68&lt;DS$44),IF((DQ69&lt;DS$44),((DS$44-((DQ68+DQ69)*0.5))*DT69),(((DS$44-DQ68)*0.5)*DT69)),IF((DQ69&lt;DS$44),(((DS$44-DQ69)*0.5)*DT69),0))),0),0))</f>
        <v>0</v>
      </c>
      <c s="588" r="DV69">
        <f>IF(ISNA((DQ69*DQ68)),0,IF((DN68=FALSE),IF((DN69=FALSE),IF(ISNA(DQ69),0,IF((DQ68&lt;DS$44),IF((DQ69&lt;DS$44),(((DT69^2)+((DQ69-DQ68)^2))^0.5),(((DT69^2)+((DS$44-DQ68)^2))^0.5)),IF((DQ69&lt;DS$44),(((DT69^2)+((DS$44-DQ69)^2))^0.5),0))),0),0))</f>
        <v>0</v>
      </c>
      <c s="588" r="DW69">
        <f>IF(ISNUMBER((DQ69*DQ68)),IF((DQ68&gt;=DC$148),IF((DQ69&lt;DC$148),1,0),IF((DQ69&gt;=DC$148),IF((DQ68&lt;DC$148),1,0),0)),0)</f>
        <v>0</v>
      </c>
      <c s="588" r="DX69">
        <f>IF(ISNA((DQ69*DQ68)),0,(IF((DP69&lt;DP68),-1,1)*(IF(ISNA(DQ69),0,IF((DQ68&lt;DC$148),IF((DQ69&lt;DC$148),(((DP69-DP68)^2)^0.5),(((((DC$148-DQ68)*(DP69-DP68))/(DQ69-DQ68))^2)^0.5)),IF((DQ69&lt;DC$148),(((((DC$148-DQ69)*(DP69-DP68))/(DQ68-DQ69))^2)^0.5),0))))))</f>
        <v>0</v>
      </c>
      <c s="441" r="DY69">
        <f>IF((DU69&gt;0),(MAX(DY$47:DY68)+1),0)</f>
        <v>0</v>
      </c>
      <c s="388" r="DZ69"/>
      <c s="406" r="EA69"/>
      <c t="s" s="699" r="EB69">
        <v>529</v>
      </c>
      <c s="566" r="EC69"/>
      <c s="566" r="ED69"/>
      <c s="566" r="EE69"/>
      <c s="418" r="EF69"/>
      <c s="550" r="EG69"/>
      <c s="550" r="EH69"/>
      <c t="str" s="620" r="EI69">
        <f>IF((COUNT(EH69:EH$146,EJ69:EJ$146)=0),NA(),IF(ISBLANK(EH69),EI68,(EI68+(EH69-EJ68))))</f>
        <v>#N/A:explicit</v>
      </c>
      <c s="550" r="EJ69"/>
      <c t="str" s="620" r="EK69">
        <f>IF(OR(ISBLANK(EJ69),ISNUMBER(EH70)),NA(),(EI69-EJ69))</f>
        <v>#N/A:explicit</v>
      </c>
      <c t="b" s="895" r="EL69">
        <v>0</v>
      </c>
      <c s="631" r="EM69"/>
      <c t="str" s="309" r="EN69">
        <f>IF((COUNT(EG69:EG$146)=0),NA(),IF(ISBLANK(EG69),IF(ISBLANK(EG68),MAX(EG$46:EG69),EG68),EG69))</f>
        <v>#N/A:explicit</v>
      </c>
      <c t="str" s="861" r="EO69">
        <f>IF(ISNA(EK69),IF(ISNUMBER(EN69),EO68,NA()),EK69)</f>
        <v>#N/A:explicit</v>
      </c>
      <c s="861" r="EP69">
        <f>IF(ISNUMBER(EO69),EO69,(EI$46+1000))</f>
        <v>1000</v>
      </c>
      <c t="str" s="588" r="EQ69">
        <f>IF((EL69=TRUE),NA(),IF((EQ$44=(EI$46-MAX(EJ$46:EJ$146))),NA(),EQ$44))</f>
        <v>#N/A:explicit</v>
      </c>
      <c s="588" r="ER69">
        <f>IF((ISNA(((EO69*EN69)*EO68))),0,(IF((EN69&lt;EN68),-1,1)*(IF((EL68=FALSE),IF((EL69=FALSE),IF(ISNA(EO69),0,IF((EO68&lt;EQ$44),IF((EO69&lt;EQ$44),(((EN69-EN68)^2)^0.5),(((((EQ$44-EO68)*(EN69-EN68))/(EO69-EO68))^2)^0.5)),IF((EO69&lt;EQ$44),(((((EQ$44-EO69)*(EN69-EN68))/(EO68-EO69))^2)^0.5),0))),0),0))))</f>
        <v>0</v>
      </c>
      <c s="588" r="ES69">
        <f>IF(ISNA((EO69*EO68)),0,IF((EL68=FALSE),IF((EL69=FALSE),IF(ISNA(EK69),0,IF((EO68&lt;EQ$44),IF((EO69&lt;EQ$44),((EQ$44-((EO68+EO69)*0.5))*ER69),(((EQ$44-EO68)*0.5)*ER69)),IF((EO69&lt;EQ$44),(((EQ$44-EO69)*0.5)*ER69),0))),0),0))</f>
        <v>0</v>
      </c>
      <c s="588" r="ET69">
        <f>IF(ISNA((EO69*EO68)),0,IF((EL68=FALSE),IF((EL69=FALSE),IF(ISNA(EO69),0,IF((EO68&lt;EQ$44),IF((EO69&lt;EQ$44),(((ER69^2)+((EO69-EO68)^2))^0.5),(((ER69^2)+((EQ$44-EO68)^2))^0.5)),IF((EO69&lt;EQ$44),(((ER69^2)+((EQ$44-EO69)^2))^0.5),0))),0),0))</f>
        <v>0</v>
      </c>
      <c s="588" r="EU69">
        <f>IF(ISNUMBER((EO69*EO68)),IF((EO68&gt;=EA$148),IF((EO69&lt;EA$148),1,0),IF((EO69&gt;=EA$148),IF((EO68&lt;EA$148),1,0),0)),0)</f>
        <v>0</v>
      </c>
      <c s="588" r="EV69">
        <f>IF(ISNA((EO69*EO68)),0,(IF((EN69&lt;EN68),-1,1)*(IF(ISNA(EO69),0,IF((EO68&lt;EA$148),IF((EO69&lt;EA$148),(((EN69-EN68)^2)^0.5),(((((EA$148-EO68)*(EN69-EN68))/(EO69-EO68))^2)^0.5)),IF((EO69&lt;EA$148),(((((EA$148-EO69)*(EN69-EN68))/(EO68-EO69))^2)^0.5),0))))))</f>
        <v>0</v>
      </c>
      <c s="441" r="EW69">
        <f>IF((ES69&gt;0),(MAX(EW$47:EW68)+1),0)</f>
        <v>0</v>
      </c>
      <c s="388" r="EX69"/>
      <c s="406" r="EY69"/>
      <c t="s" s="699" r="EZ69">
        <v>529</v>
      </c>
      <c s="566" r="FA69"/>
      <c s="566" r="FB69"/>
      <c s="566" r="FC69"/>
      <c s="418" r="FD69"/>
      <c s="550" r="FE69"/>
      <c s="550" r="FF69"/>
      <c t="str" s="620" r="FG69">
        <f>IF((COUNT(FF69:FF$146,FH69:FH$146)=0),NA(),IF(ISBLANK(FF69),FG68,(FG68+(FF69-FH68))))</f>
        <v>#N/A:explicit</v>
      </c>
      <c s="550" r="FH69"/>
      <c t="str" s="620" r="FI69">
        <f>IF(OR(ISBLANK(FH69),ISNUMBER(FF70)),NA(),(FG69-FH69))</f>
        <v>#N/A:explicit</v>
      </c>
      <c t="b" s="895" r="FJ69">
        <v>0</v>
      </c>
      <c s="631" r="FK69"/>
      <c t="str" s="309" r="FL69">
        <f>IF((COUNT(FE69:FE$146)=0),NA(),IF(ISBLANK(FE69),IF(ISBLANK(FE68),MAX(FE$46:FE69),FE68),FE69))</f>
        <v>#N/A:explicit</v>
      </c>
      <c t="str" s="861" r="FM69">
        <f>IF(ISNA(FI69),IF(ISNUMBER(FL69),FM68,NA()),FI69)</f>
        <v>#N/A:explicit</v>
      </c>
      <c s="861" r="FN69">
        <f>IF(ISNUMBER(FM69),FM69,(FG$46+1000))</f>
        <v>1000</v>
      </c>
      <c t="str" s="588" r="FO69">
        <f>IF((FJ69=TRUE),NA(),IF((FO$44=(FG$46-MAX(FH$46:FH$146))),NA(),FO$44))</f>
        <v>#N/A:explicit</v>
      </c>
      <c s="588" r="FP69">
        <f>IF((ISNA(((FM69*FL69)*FM68))),0,(IF((FL69&lt;FL68),-1,1)*(IF((FJ68=FALSE),IF((FJ69=FALSE),IF(ISNA(FM69),0,IF((FM68&lt;FO$44),IF((FM69&lt;FO$44),(((FL69-FL68)^2)^0.5),(((((FO$44-FM68)*(FL69-FL68))/(FM69-FM68))^2)^0.5)),IF((FM69&lt;FO$44),(((((FO$44-FM69)*(FL69-FL68))/(FM68-FM69))^2)^0.5),0))),0),0))))</f>
        <v>0</v>
      </c>
      <c s="588" r="FQ69">
        <f>IF(ISNA((FM69*FM68)),0,IF((FJ68=FALSE),IF((FJ69=FALSE),IF(ISNA(FI69),0,IF((FM68&lt;FO$44),IF((FM69&lt;FO$44),((FO$44-((FM68+FM69)*0.5))*FP69),(((FO$44-FM68)*0.5)*FP69)),IF((FM69&lt;FO$44),(((FO$44-FM69)*0.5)*FP69),0))),0),0))</f>
        <v>0</v>
      </c>
      <c s="588" r="FR69">
        <f>IF(ISNA((FM69*FM68)),0,IF((FJ68=FALSE),IF((FJ69=FALSE),IF(ISNA(FM69),0,IF((FM68&lt;FO$44),IF((FM69&lt;FO$44),(((FP69^2)+((FM69-FM68)^2))^0.5),(((FP69^2)+((FO$44-FM68)^2))^0.5)),IF((FM69&lt;FO$44),(((FP69^2)+((FO$44-FM69)^2))^0.5),0))),0),0))</f>
        <v>0</v>
      </c>
      <c s="588" r="FS69">
        <f>IF(ISNUMBER((FM69*FM68)),IF((FM68&gt;=EY$148),IF((FM69&lt;EY$148),1,0),IF((FM69&gt;=EY$148),IF((FM68&lt;EY$148),1,0),0)),0)</f>
        <v>0</v>
      </c>
      <c s="588" r="FT69">
        <f>IF(ISNA((FM69*FM68)),0,(IF((FL69&lt;FL68),-1,1)*(IF(ISNA(FM69),0,IF((FM68&lt;EY$148),IF((FM69&lt;EY$148),(((FL69-FL68)^2)^0.5),(((((EY$148-FM68)*(FL69-FL68))/(FM69-FM68))^2)^0.5)),IF((FM69&lt;EY$148),(((((EY$148-FM69)*(FL69-FL68))/(FM68-FM69))^2)^0.5),0))))))</f>
        <v>0</v>
      </c>
      <c s="441" r="FU69">
        <f>IF((FQ69&gt;0),(MAX(FU$47:FU68)+1),0)</f>
        <v>0</v>
      </c>
      <c s="222" r="FV69"/>
      <c s="125" r="FW69"/>
      <c s="125" r="FX69"/>
      <c s="125" r="FY69"/>
      <c s="125" r="FZ69"/>
      <c s="125" r="GA69"/>
      <c s="125" r="GB69"/>
      <c s="125" r="GC69"/>
      <c s="125" r="GD69"/>
      <c s="125" r="GE69"/>
      <c s="125" r="GF69"/>
      <c s="125" r="GG69"/>
      <c s="125" r="GH69"/>
      <c s="125" r="GI69"/>
      <c s="125" r="GJ69"/>
      <c s="125" r="GK69"/>
      <c s="125" r="GL69"/>
      <c s="125" r="GM69"/>
      <c s="125" r="GN69"/>
      <c s="125" r="GO69"/>
      <c s="125" r="GP69"/>
      <c s="125" r="GQ69"/>
      <c s="125" r="GR69"/>
      <c s="125" r="GS69"/>
      <c s="125" r="GT69"/>
      <c s="125" r="GU69"/>
      <c s="125" r="GV69"/>
      <c s="125" r="GW69"/>
      <c s="125" r="GX69"/>
      <c s="125" r="GY69"/>
      <c s="125" r="GZ69"/>
      <c s="125" r="HA69"/>
      <c s="125" r="HB69"/>
    </row>
    <row customHeight="1" r="70" ht="13.5">
      <c s="125" r="A70"/>
      <c s="442" r="B70"/>
      <c s="442" r="C70"/>
      <c s="442" r="D70"/>
      <c s="442" r="E70"/>
      <c s="442" r="F70"/>
      <c s="442" r="G70"/>
      <c s="442" r="H70"/>
      <c s="442" r="I70"/>
      <c t="s" s="822" r="J70">
        <v>2</v>
      </c>
      <c s="734" r="K70"/>
      <c s="905" r="L70"/>
      <c s="225" r="M70"/>
      <c s="225" r="N70"/>
      <c s="896" r="O70"/>
      <c s="734" r="P70"/>
      <c s="550" r="Q70"/>
      <c s="550" r="R70"/>
      <c t="str" s="620" r="S70">
        <f>IF((COUNT(R70:R$146,T70:T$146)=0),NA(),IF(ISBLANK(R70),S69,(S69+(R70-T69))))</f>
        <v>#N/A:explicit</v>
      </c>
      <c s="550" r="T70"/>
      <c t="str" s="620" r="U70">
        <f>IF(OR(ISBLANK(T70),ISNUMBER(R71)),NA(),(S70-T70))</f>
        <v>#N/A:explicit</v>
      </c>
      <c t="b" s="895" r="V70">
        <v>0</v>
      </c>
      <c s="631" r="W70"/>
      <c t="str" s="309" r="X70">
        <f>IF((COUNT(Q70:Q$146)=0),NA(),IF(ISBLANK(Q70),IF(ISBLANK(Q69),MAX(Q$46:Q70),Q69),Q70))</f>
        <v>#N/A:explicit</v>
      </c>
      <c t="str" s="861" r="Y70">
        <f>IF(ISNA(U70),IF(ISNUMBER(X70),Y69,NA()),U70)</f>
        <v>#N/A:explicit</v>
      </c>
      <c s="861" r="Z70">
        <f>IF(ISNUMBER(Y70),Y70,(S$46+1000))</f>
        <v>1000</v>
      </c>
      <c t="str" s="588" r="AA70">
        <f>IF((V70=TRUE),NA(),IF((AA$44=(S$46-MAX(T$46:T$146))),NA(),AA$44))</f>
        <v>#N/A:explicit</v>
      </c>
      <c s="588" r="AB70">
        <f>IF((ISNA(((Y70*X70)*Y69))),0,(IF((X70&lt;X69),-1,1)*(IF((V69=FALSE),IF((V70=FALSE),IF(ISNA(Y70),0,IF((Y69&lt;AA$44),IF((Y70&lt;AA$44),(((X70-X69)^2)^0.5),(((((AA$44-Y69)*(X70-X69))/(Y70-Y69))^2)^0.5)),IF((Y70&lt;AA$44),(((((AA$44-Y70)*(X70-X69))/(Y69-Y70))^2)^0.5),0))),0),0))))</f>
        <v>0</v>
      </c>
      <c s="588" r="AC70">
        <f>IF(ISNA((Y70*Y69)),0,IF((V69=FALSE),IF((V70=FALSE),IF(ISNA(U70),0,IF((Y69&lt;AA$44),IF((Y70&lt;AA$44),((AA$44-((Y69+Y70)*0.5))*AB70),(((AA$44-Y69)*0.5)*AB70)),IF((Y70&lt;AA$44),(((AA$44-Y70)*0.5)*AB70),0))),0),0))</f>
        <v>0</v>
      </c>
      <c s="588" r="AD70">
        <f>IF(ISNA((Y70*Y69)),0,IF((V69=FALSE),IF((V70=FALSE),IF(ISNA(Y70),0,IF((Y69&lt;AA$44),IF((Y70&lt;AA$44),(((AB70^2)+((Y70-Y69)^2))^0.5),(((AB70^2)+((AA$44-Y69)^2))^0.5)),IF((Y70&lt;AA$44),(((AB70^2)+((AA$44-Y70)^2))^0.5),0))),0),0))</f>
        <v>0</v>
      </c>
      <c s="588" r="AE70">
        <f>IF(ISNUMBER((Y70*Y69)),IF((Y69&gt;=K$148),IF((Y70&lt;K$148),1,0),IF((Y70&gt;=K$148),IF((Y69&lt;K$148),1,0),0)),0)</f>
        <v>0</v>
      </c>
      <c s="588" r="AF70">
        <f>IF(ISNA((Y70*Y69)),0,(IF((X70&lt;X69),-1,1)*(IF(ISNA(Y70),0,IF((Y69&lt;K$148),IF((Y70&lt;K$148),(((X70-X69)^2)^0.5),(((((K$148-Y69)*(X70-X69))/(Y70-Y69))^2)^0.5)),IF((Y70&lt;K$148),(((((K$148-Y70)*(X70-X69))/(Y69-Y70))^2)^0.5),0))))))</f>
        <v>0</v>
      </c>
      <c s="441" r="AG70">
        <f>IF((AC70&gt;0),(MAX(AG$47:AG69)+1),0)</f>
        <v>0</v>
      </c>
      <c s="388" r="AH70"/>
      <c s="734" r="AI70"/>
      <c s="905" r="AJ70"/>
      <c s="225" r="AK70"/>
      <c s="225" r="AL70"/>
      <c s="896" r="AM70"/>
      <c s="734" r="AN70"/>
      <c s="550" r="AO70"/>
      <c s="550" r="AP70"/>
      <c t="str" s="620" r="AQ70">
        <f>IF((COUNT(AP70:AP$146,AR70:AR$146)=0),NA(),IF(ISBLANK(AP70),AQ69,(AQ69+(AP70-AR69))))</f>
        <v>#N/A:explicit</v>
      </c>
      <c s="550" r="AR70"/>
      <c t="str" s="620" r="AS70">
        <f>IF(OR(ISBLANK(AR70),ISNUMBER(AP71)),NA(),(AQ70-AR70))</f>
        <v>#N/A:explicit</v>
      </c>
      <c t="b" s="895" r="AT70">
        <v>0</v>
      </c>
      <c s="631" r="AU70"/>
      <c t="str" s="309" r="AV70">
        <f>IF((COUNT(AO70:AO$146)=0),NA(),IF(ISBLANK(AO70),IF(ISBLANK(AO69),MAX(AO$46:AO70),AO69),AO70))</f>
        <v>#N/A:explicit</v>
      </c>
      <c t="str" s="861" r="AW70">
        <f>IF(ISNA(AS70),IF(ISNUMBER(AV70),AW69,NA()),AS70)</f>
        <v>#N/A:explicit</v>
      </c>
      <c s="861" r="AX70">
        <f>IF(ISNUMBER(AW70),AW70,(AQ$46+1000))</f>
        <v>1000</v>
      </c>
      <c t="str" s="588" r="AY70">
        <f>IF((AT70=TRUE),NA(),IF((AY$44=(AQ$46-MAX(AR$46:AR$146))),NA(),AY$44))</f>
        <v>#N/A:explicit</v>
      </c>
      <c s="588" r="AZ70">
        <f>IF((ISNA(((AW70*AV70)*AW69))),0,(IF((AV70&lt;AV69),-1,1)*(IF((AT69=FALSE),IF((AT70=FALSE),IF(ISNA(AW70),0,IF((AW69&lt;AY$44),IF((AW70&lt;AY$44),(((AV70-AV69)^2)^0.5),(((((AY$44-AW69)*(AV70-AV69))/(AW70-AW69))^2)^0.5)),IF((AW70&lt;AY$44),(((((AY$44-AW70)*(AV70-AV69))/(AW69-AW70))^2)^0.5),0))),0),0))))</f>
        <v>0</v>
      </c>
      <c s="588" r="BA70">
        <f>IF(ISNA((AW70*AW69)),0,IF((AT69=FALSE),IF((AT70=FALSE),IF(ISNA(AS70),0,IF((AW69&lt;AY$44),IF((AW70&lt;AY$44),((AY$44-((AW69+AW70)*0.5))*AZ70),(((AY$44-AW69)*0.5)*AZ70)),IF((AW70&lt;AY$44),(((AY$44-AW70)*0.5)*AZ70),0))),0),0))</f>
        <v>0</v>
      </c>
      <c s="588" r="BB70">
        <f>IF(ISNA((AW70*AW69)),0,IF((AT69=FALSE),IF((AT70=FALSE),IF(ISNA(AW70),0,IF((AW69&lt;AY$44),IF((AW70&lt;AY$44),(((AZ70^2)+((AW70-AW69)^2))^0.5),(((AZ70^2)+((AY$44-AW69)^2))^0.5)),IF((AW70&lt;AY$44),(((AZ70^2)+((AY$44-AW70)^2))^0.5),0))),0),0))</f>
        <v>0</v>
      </c>
      <c s="588" r="BC70">
        <f>IF(ISNUMBER((AW70*AW69)),IF((AW69&gt;=AI$148),IF((AW70&lt;AI$148),1,0),IF((AW70&gt;=AI$148),IF((AW69&lt;AI$148),1,0),0)),0)</f>
        <v>0</v>
      </c>
      <c s="588" r="BD70">
        <f>IF(ISNA((AW70*AW69)),0,(IF((AV70&lt;AV69),-1,1)*(IF(ISNA(AW70),0,IF((AW69&lt;AI$148),IF((AW70&lt;AI$148),(((AV70-AV69)^2)^0.5),(((((AI$148-AW69)*(AV70-AV69))/(AW70-AW69))^2)^0.5)),IF((AW70&lt;AI$148),(((((AI$148-AW70)*(AV70-AV69))/(AW69-AW70))^2)^0.5),0))))))</f>
        <v>0</v>
      </c>
      <c s="441" r="BE70">
        <f>IF((BA70&gt;0),(MAX(BE$47:BE69)+1),0)</f>
        <v>0</v>
      </c>
      <c s="388" r="BF70"/>
      <c s="734" r="BG70"/>
      <c s="905" r="BH70"/>
      <c s="225" r="BI70"/>
      <c s="225" r="BJ70"/>
      <c s="896" r="BK70"/>
      <c s="734" r="BL70"/>
      <c s="550" r="BM70"/>
      <c s="550" r="BN70"/>
      <c t="str" s="620" r="BO70">
        <f>IF((COUNT(BN70:BN$146,BP70:BP$146)=0),NA(),IF(ISBLANK(BN70),BO69,(BO69+(BN70-BP69))))</f>
        <v>#N/A:explicit</v>
      </c>
      <c s="550" r="BP70"/>
      <c t="str" s="620" r="BQ70">
        <f>IF(OR(ISBLANK(BP70),ISNUMBER(BN71)),NA(),(BO70-BP70))</f>
        <v>#N/A:explicit</v>
      </c>
      <c t="b" s="895" r="BR70">
        <v>0</v>
      </c>
      <c s="631" r="BS70"/>
      <c t="str" s="309" r="BT70">
        <f>IF((COUNT(BM70:BM$146)=0),NA(),IF(ISBLANK(BM70),IF(ISBLANK(BM69),MAX(BM$46:BM70),BM69),BM70))</f>
        <v>#N/A:explicit</v>
      </c>
      <c t="str" s="861" r="BU70">
        <f>IF(ISNA(BQ70),IF(ISNUMBER(BT70),BU69,NA()),BQ70)</f>
        <v>#N/A:explicit</v>
      </c>
      <c s="861" r="BV70">
        <f>IF(ISNUMBER(BU70),BU70,(BO$46+1000))</f>
        <v>1000</v>
      </c>
      <c t="str" s="588" r="BW70">
        <f>IF((BR70=TRUE),NA(),IF((BW$44=(BO$46-MAX(BP$46:BP$146))),NA(),BW$44))</f>
        <v>#N/A:explicit</v>
      </c>
      <c s="588" r="BX70">
        <f>IF((ISNA(((BU70*BT70)*BU69))),0,(IF((BT70&lt;BT69),-1,1)*(IF((BR69=FALSE),IF((BR70=FALSE),IF(ISNA(BU70),0,IF((BU69&lt;BW$44),IF((BU70&lt;BW$44),(((BT70-BT69)^2)^0.5),(((((BW$44-BU69)*(BT70-BT69))/(BU70-BU69))^2)^0.5)),IF((BU70&lt;BW$44),(((((BW$44-BU70)*(BT70-BT69))/(BU69-BU70))^2)^0.5),0))),0),0))))</f>
        <v>0</v>
      </c>
      <c s="588" r="BY70">
        <f>IF(ISNA((BU70*BU69)),0,IF((BR69=FALSE),IF((BR70=FALSE),IF(ISNA(BQ70),0,IF((BU69&lt;BW$44),IF((BU70&lt;BW$44),((BW$44-((BU69+BU70)*0.5))*BX70),(((BW$44-BU69)*0.5)*BX70)),IF((BU70&lt;BW$44),(((BW$44-BU70)*0.5)*BX70),0))),0),0))</f>
        <v>0</v>
      </c>
      <c s="588" r="BZ70">
        <f>IF(ISNA((BU70*BU69)),0,IF((BR69=FALSE),IF((BR70=FALSE),IF(ISNA(BU70),0,IF((BU69&lt;BW$44),IF((BU70&lt;BW$44),(((BX70^2)+((BU70-BU69)^2))^0.5),(((BX70^2)+((BW$44-BU69)^2))^0.5)),IF((BU70&lt;BW$44),(((BX70^2)+((BW$44-BU70)^2))^0.5),0))),0),0))</f>
        <v>0</v>
      </c>
      <c s="588" r="CA70">
        <f>IF(ISNUMBER((BU70*BU69)),IF((BU69&gt;=BG$148),IF((BU70&lt;BG$148),1,0),IF((BU70&gt;=BG$148),IF((BU69&lt;BG$148),1,0),0)),0)</f>
        <v>0</v>
      </c>
      <c s="588" r="CB70">
        <f>IF(ISNA((BU70*BU69)),0,(IF((BT70&lt;BT69),-1,1)*(IF(ISNA(BU70),0,IF((BU69&lt;BG$148),IF((BU70&lt;BG$148),(((BT70-BT69)^2)^0.5),(((((BG$148-BU69)*(BT70-BT69))/(BU70-BU69))^2)^0.5)),IF((BU70&lt;BG$148),(((((BG$148-BU70)*(BT70-BT69))/(BU69-BU70))^2)^0.5),0))))))</f>
        <v>0</v>
      </c>
      <c s="441" r="CC70">
        <f>IF((BY70&gt;0),(MAX(CC$47:CC69)+1),0)</f>
        <v>0</v>
      </c>
      <c s="388" r="CD70"/>
      <c s="734" r="CE70"/>
      <c s="905" r="CF70"/>
      <c s="225" r="CG70"/>
      <c s="225" r="CH70"/>
      <c s="896" r="CI70"/>
      <c s="734" r="CJ70"/>
      <c s="550" r="CK70"/>
      <c s="550" r="CL70"/>
      <c t="str" s="620" r="CM70">
        <f>IF((COUNT(CL70:CL$146,CN70:CN$146)=0),NA(),IF(ISBLANK(CL70),CM69,(CM69+(CL70-CN69))))</f>
        <v>#N/A:explicit</v>
      </c>
      <c s="550" r="CN70"/>
      <c t="str" s="620" r="CO70">
        <f>IF(OR(ISBLANK(CN70),ISNUMBER(CL71)),NA(),(CM70-CN70))</f>
        <v>#N/A:explicit</v>
      </c>
      <c t="b" s="895" r="CP70">
        <v>0</v>
      </c>
      <c s="631" r="CQ70"/>
      <c t="str" s="309" r="CR70">
        <f>IF((COUNT(CK70:CK$146)=0),NA(),IF(ISBLANK(CK70),IF(ISBLANK(CK69),MAX(CK$46:CK70),CK69),CK70))</f>
        <v>#N/A:explicit</v>
      </c>
      <c t="str" s="861" r="CS70">
        <f>IF(ISNA(CO70),IF(ISNUMBER(CR70),CS69,NA()),CO70)</f>
        <v>#N/A:explicit</v>
      </c>
      <c s="861" r="CT70">
        <f>IF(ISNUMBER(CS70),CS70,(CM$46+1000))</f>
        <v>1000</v>
      </c>
      <c t="str" s="588" r="CU70">
        <f>IF((CP70=TRUE),NA(),IF((CU$44=(CM$46-MAX(CN$46:CN$146))),NA(),CU$44))</f>
        <v>#N/A:explicit</v>
      </c>
      <c s="588" r="CV70">
        <f>IF((ISNA(((CS70*CR70)*CS69))),0,(IF((CR70&lt;CR69),-1,1)*(IF((CP69=FALSE),IF((CP70=FALSE),IF(ISNA(CS70),0,IF((CS69&lt;CU$44),IF((CS70&lt;CU$44),(((CR70-CR69)^2)^0.5),(((((CU$44-CS69)*(CR70-CR69))/(CS70-CS69))^2)^0.5)),IF((CS70&lt;CU$44),(((((CU$44-CS70)*(CR70-CR69))/(CS69-CS70))^2)^0.5),0))),0),0))))</f>
        <v>0</v>
      </c>
      <c s="588" r="CW70">
        <f>IF(ISNA((CS70*CS69)),0,IF((CP69=FALSE),IF((CP70=FALSE),IF(ISNA(CO70),0,IF((CS69&lt;CU$44),IF((CS70&lt;CU$44),((CU$44-((CS69+CS70)*0.5))*CV70),(((CU$44-CS69)*0.5)*CV70)),IF((CS70&lt;CU$44),(((CU$44-CS70)*0.5)*CV70),0))),0),0))</f>
        <v>0</v>
      </c>
      <c s="588" r="CX70">
        <f>IF(ISNA((CS70*CS69)),0,IF((CP69=FALSE),IF((CP70=FALSE),IF(ISNA(CS70),0,IF((CS69&lt;CU$44),IF((CS70&lt;CU$44),(((CV70^2)+((CS70-CS69)^2))^0.5),(((CV70^2)+((CU$44-CS69)^2))^0.5)),IF((CS70&lt;CU$44),(((CV70^2)+((CU$44-CS70)^2))^0.5),0))),0),0))</f>
        <v>0</v>
      </c>
      <c s="588" r="CY70">
        <f>IF(ISNUMBER((CS70*CS69)),IF((CS69&gt;=CE$148),IF((CS70&lt;CE$148),1,0),IF((CS70&gt;=CE$148),IF((CS69&lt;CE$148),1,0),0)),0)</f>
        <v>0</v>
      </c>
      <c s="588" r="CZ70">
        <f>IF(ISNA((CS70*CS69)),0,(IF((CR70&lt;CR69),-1,1)*(IF(ISNA(CS70),0,IF((CS69&lt;CE$148),IF((CS70&lt;CE$148),(((CR70-CR69)^2)^0.5),(((((CE$148-CS69)*(CR70-CR69))/(CS70-CS69))^2)^0.5)),IF((CS70&lt;CE$148),(((((CE$148-CS70)*(CR70-CR69))/(CS69-CS70))^2)^0.5),0))))))</f>
        <v>0</v>
      </c>
      <c s="441" r="DA70">
        <f>IF((CW70&gt;0),(MAX(DA$47:DA69)+1),0)</f>
        <v>0</v>
      </c>
      <c s="388" r="DB70"/>
      <c s="734" r="DC70"/>
      <c s="905" r="DD70"/>
      <c s="225" r="DE70"/>
      <c s="225" r="DF70"/>
      <c s="896" r="DG70"/>
      <c s="734" r="DH70"/>
      <c s="550" r="DI70"/>
      <c s="550" r="DJ70"/>
      <c t="str" s="620" r="DK70">
        <f>IF((COUNT(DJ70:DJ$146,DL70:DL$146)=0),NA(),IF(ISBLANK(DJ70),DK69,(DK69+(DJ70-DL69))))</f>
        <v>#N/A:explicit</v>
      </c>
      <c s="550" r="DL70"/>
      <c t="str" s="620" r="DM70">
        <f>IF(OR(ISBLANK(DL70),ISNUMBER(DJ71)),NA(),(DK70-DL70))</f>
        <v>#N/A:explicit</v>
      </c>
      <c t="b" s="895" r="DN70">
        <v>0</v>
      </c>
      <c s="631" r="DO70"/>
      <c t="str" s="309" r="DP70">
        <f>IF((COUNT(DI70:DI$146)=0),NA(),IF(ISBLANK(DI70),IF(ISBLANK(DI69),MAX(DI$46:DI70),DI69),DI70))</f>
        <v>#N/A:explicit</v>
      </c>
      <c t="str" s="861" r="DQ70">
        <f>IF(ISNA(DM70),IF(ISNUMBER(DP70),DQ69,NA()),DM70)</f>
        <v>#N/A:explicit</v>
      </c>
      <c s="861" r="DR70">
        <f>IF(ISNUMBER(DQ70),DQ70,(DK$46+1000))</f>
        <v>1000</v>
      </c>
      <c t="str" s="588" r="DS70">
        <f>IF((DN70=TRUE),NA(),IF((DS$44=(DK$46-MAX(DL$46:DL$146))),NA(),DS$44))</f>
        <v>#N/A:explicit</v>
      </c>
      <c s="588" r="DT70">
        <f>IF((ISNA(((DQ70*DP70)*DQ69))),0,(IF((DP70&lt;DP69),-1,1)*(IF((DN69=FALSE),IF((DN70=FALSE),IF(ISNA(DQ70),0,IF((DQ69&lt;DS$44),IF((DQ70&lt;DS$44),(((DP70-DP69)^2)^0.5),(((((DS$44-DQ69)*(DP70-DP69))/(DQ70-DQ69))^2)^0.5)),IF((DQ70&lt;DS$44),(((((DS$44-DQ70)*(DP70-DP69))/(DQ69-DQ70))^2)^0.5),0))),0),0))))</f>
        <v>0</v>
      </c>
      <c s="588" r="DU70">
        <f>IF(ISNA((DQ70*DQ69)),0,IF((DN69=FALSE),IF((DN70=FALSE),IF(ISNA(DM70),0,IF((DQ69&lt;DS$44),IF((DQ70&lt;DS$44),((DS$44-((DQ69+DQ70)*0.5))*DT70),(((DS$44-DQ69)*0.5)*DT70)),IF((DQ70&lt;DS$44),(((DS$44-DQ70)*0.5)*DT70),0))),0),0))</f>
        <v>0</v>
      </c>
      <c s="588" r="DV70">
        <f>IF(ISNA((DQ70*DQ69)),0,IF((DN69=FALSE),IF((DN70=FALSE),IF(ISNA(DQ70),0,IF((DQ69&lt;DS$44),IF((DQ70&lt;DS$44),(((DT70^2)+((DQ70-DQ69)^2))^0.5),(((DT70^2)+((DS$44-DQ69)^2))^0.5)),IF((DQ70&lt;DS$44),(((DT70^2)+((DS$44-DQ70)^2))^0.5),0))),0),0))</f>
        <v>0</v>
      </c>
      <c s="588" r="DW70">
        <f>IF(ISNUMBER((DQ70*DQ69)),IF((DQ69&gt;=DC$148),IF((DQ70&lt;DC$148),1,0),IF((DQ70&gt;=DC$148),IF((DQ69&lt;DC$148),1,0),0)),0)</f>
        <v>0</v>
      </c>
      <c s="588" r="DX70">
        <f>IF(ISNA((DQ70*DQ69)),0,(IF((DP70&lt;DP69),-1,1)*(IF(ISNA(DQ70),0,IF((DQ69&lt;DC$148),IF((DQ70&lt;DC$148),(((DP70-DP69)^2)^0.5),(((((DC$148-DQ69)*(DP70-DP69))/(DQ70-DQ69))^2)^0.5)),IF((DQ70&lt;DC$148),(((((DC$148-DQ70)*(DP70-DP69))/(DQ69-DQ70))^2)^0.5),0))))))</f>
        <v>0</v>
      </c>
      <c s="441" r="DY70">
        <f>IF((DU70&gt;0),(MAX(DY$47:DY69)+1),0)</f>
        <v>0</v>
      </c>
      <c s="388" r="DZ70"/>
      <c s="734" r="EA70"/>
      <c s="905" r="EB70"/>
      <c s="225" r="EC70"/>
      <c s="225" r="ED70"/>
      <c s="896" r="EE70"/>
      <c s="734" r="EF70"/>
      <c s="550" r="EG70"/>
      <c s="550" r="EH70"/>
      <c t="str" s="620" r="EI70">
        <f>IF((COUNT(EH70:EH$146,EJ70:EJ$146)=0),NA(),IF(ISBLANK(EH70),EI69,(EI69+(EH70-EJ69))))</f>
        <v>#N/A:explicit</v>
      </c>
      <c s="550" r="EJ70"/>
      <c t="str" s="620" r="EK70">
        <f>IF(OR(ISBLANK(EJ70),ISNUMBER(EH71)),NA(),(EI70-EJ70))</f>
        <v>#N/A:explicit</v>
      </c>
      <c t="b" s="895" r="EL70">
        <v>0</v>
      </c>
      <c s="631" r="EM70"/>
      <c t="str" s="309" r="EN70">
        <f>IF((COUNT(EG70:EG$146)=0),NA(),IF(ISBLANK(EG70),IF(ISBLANK(EG69),MAX(EG$46:EG70),EG69),EG70))</f>
        <v>#N/A:explicit</v>
      </c>
      <c t="str" s="861" r="EO70">
        <f>IF(ISNA(EK70),IF(ISNUMBER(EN70),EO69,NA()),EK70)</f>
        <v>#N/A:explicit</v>
      </c>
      <c s="861" r="EP70">
        <f>IF(ISNUMBER(EO70),EO70,(EI$46+1000))</f>
        <v>1000</v>
      </c>
      <c t="str" s="588" r="EQ70">
        <f>IF((EL70=TRUE),NA(),IF((EQ$44=(EI$46-MAX(EJ$46:EJ$146))),NA(),EQ$44))</f>
        <v>#N/A:explicit</v>
      </c>
      <c s="588" r="ER70">
        <f>IF((ISNA(((EO70*EN70)*EO69))),0,(IF((EN70&lt;EN69),-1,1)*(IF((EL69=FALSE),IF((EL70=FALSE),IF(ISNA(EO70),0,IF((EO69&lt;EQ$44),IF((EO70&lt;EQ$44),(((EN70-EN69)^2)^0.5),(((((EQ$44-EO69)*(EN70-EN69))/(EO70-EO69))^2)^0.5)),IF((EO70&lt;EQ$44),(((((EQ$44-EO70)*(EN70-EN69))/(EO69-EO70))^2)^0.5),0))),0),0))))</f>
        <v>0</v>
      </c>
      <c s="588" r="ES70">
        <f>IF(ISNA((EO70*EO69)),0,IF((EL69=FALSE),IF((EL70=FALSE),IF(ISNA(EK70),0,IF((EO69&lt;EQ$44),IF((EO70&lt;EQ$44),((EQ$44-((EO69+EO70)*0.5))*ER70),(((EQ$44-EO69)*0.5)*ER70)),IF((EO70&lt;EQ$44),(((EQ$44-EO70)*0.5)*ER70),0))),0),0))</f>
        <v>0</v>
      </c>
      <c s="588" r="ET70">
        <f>IF(ISNA((EO70*EO69)),0,IF((EL69=FALSE),IF((EL70=FALSE),IF(ISNA(EO70),0,IF((EO69&lt;EQ$44),IF((EO70&lt;EQ$44),(((ER70^2)+((EO70-EO69)^2))^0.5),(((ER70^2)+((EQ$44-EO69)^2))^0.5)),IF((EO70&lt;EQ$44),(((ER70^2)+((EQ$44-EO70)^2))^0.5),0))),0),0))</f>
        <v>0</v>
      </c>
      <c s="588" r="EU70">
        <f>IF(ISNUMBER((EO70*EO69)),IF((EO69&gt;=EA$148),IF((EO70&lt;EA$148),1,0),IF((EO70&gt;=EA$148),IF((EO69&lt;EA$148),1,0),0)),0)</f>
        <v>0</v>
      </c>
      <c s="588" r="EV70">
        <f>IF(ISNA((EO70*EO69)),0,(IF((EN70&lt;EN69),-1,1)*(IF(ISNA(EO70),0,IF((EO69&lt;EA$148),IF((EO70&lt;EA$148),(((EN70-EN69)^2)^0.5),(((((EA$148-EO69)*(EN70-EN69))/(EO70-EO69))^2)^0.5)),IF((EO70&lt;EA$148),(((((EA$148-EO70)*(EN70-EN69))/(EO69-EO70))^2)^0.5),0))))))</f>
        <v>0</v>
      </c>
      <c s="441" r="EW70">
        <f>IF((ES70&gt;0),(MAX(EW$47:EW69)+1),0)</f>
        <v>0</v>
      </c>
      <c s="388" r="EX70"/>
      <c s="734" r="EY70"/>
      <c s="905" r="EZ70"/>
      <c s="225" r="FA70"/>
      <c s="225" r="FB70"/>
      <c s="896" r="FC70"/>
      <c s="734" r="FD70"/>
      <c s="550" r="FE70"/>
      <c s="550" r="FF70"/>
      <c t="str" s="620" r="FG70">
        <f>IF((COUNT(FF70:FF$146,FH70:FH$146)=0),NA(),IF(ISBLANK(FF70),FG69,(FG69+(FF70-FH69))))</f>
        <v>#N/A:explicit</v>
      </c>
      <c s="550" r="FH70"/>
      <c t="str" s="620" r="FI70">
        <f>IF(OR(ISBLANK(FH70),ISNUMBER(FF71)),NA(),(FG70-FH70))</f>
        <v>#N/A:explicit</v>
      </c>
      <c t="b" s="895" r="FJ70">
        <v>0</v>
      </c>
      <c s="631" r="FK70"/>
      <c t="str" s="309" r="FL70">
        <f>IF((COUNT(FE70:FE$146)=0),NA(),IF(ISBLANK(FE70),IF(ISBLANK(FE69),MAX(FE$46:FE70),FE69),FE70))</f>
        <v>#N/A:explicit</v>
      </c>
      <c t="str" s="861" r="FM70">
        <f>IF(ISNA(FI70),IF(ISNUMBER(FL70),FM69,NA()),FI70)</f>
        <v>#N/A:explicit</v>
      </c>
      <c s="861" r="FN70">
        <f>IF(ISNUMBER(FM70),FM70,(FG$46+1000))</f>
        <v>1000</v>
      </c>
      <c t="str" s="588" r="FO70">
        <f>IF((FJ70=TRUE),NA(),IF((FO$44=(FG$46-MAX(FH$46:FH$146))),NA(),FO$44))</f>
        <v>#N/A:explicit</v>
      </c>
      <c s="588" r="FP70">
        <f>IF((ISNA(((FM70*FL70)*FM69))),0,(IF((FL70&lt;FL69),-1,1)*(IF((FJ69=FALSE),IF((FJ70=FALSE),IF(ISNA(FM70),0,IF((FM69&lt;FO$44),IF((FM70&lt;FO$44),(((FL70-FL69)^2)^0.5),(((((FO$44-FM69)*(FL70-FL69))/(FM70-FM69))^2)^0.5)),IF((FM70&lt;FO$44),(((((FO$44-FM70)*(FL70-FL69))/(FM69-FM70))^2)^0.5),0))),0),0))))</f>
        <v>0</v>
      </c>
      <c s="588" r="FQ70">
        <f>IF(ISNA((FM70*FM69)),0,IF((FJ69=FALSE),IF((FJ70=FALSE),IF(ISNA(FI70),0,IF((FM69&lt;FO$44),IF((FM70&lt;FO$44),((FO$44-((FM69+FM70)*0.5))*FP70),(((FO$44-FM69)*0.5)*FP70)),IF((FM70&lt;FO$44),(((FO$44-FM70)*0.5)*FP70),0))),0),0))</f>
        <v>0</v>
      </c>
      <c s="588" r="FR70">
        <f>IF(ISNA((FM70*FM69)),0,IF((FJ69=FALSE),IF((FJ70=FALSE),IF(ISNA(FM70),0,IF((FM69&lt;FO$44),IF((FM70&lt;FO$44),(((FP70^2)+((FM70-FM69)^2))^0.5),(((FP70^2)+((FO$44-FM69)^2))^0.5)),IF((FM70&lt;FO$44),(((FP70^2)+((FO$44-FM70)^2))^0.5),0))),0),0))</f>
        <v>0</v>
      </c>
      <c s="588" r="FS70">
        <f>IF(ISNUMBER((FM70*FM69)),IF((FM69&gt;=EY$148),IF((FM70&lt;EY$148),1,0),IF((FM70&gt;=EY$148),IF((FM69&lt;EY$148),1,0),0)),0)</f>
        <v>0</v>
      </c>
      <c s="588" r="FT70">
        <f>IF(ISNA((FM70*FM69)),0,(IF((FL70&lt;FL69),-1,1)*(IF(ISNA(FM70),0,IF((FM69&lt;EY$148),IF((FM70&lt;EY$148),(((FL70-FL69)^2)^0.5),(((((EY$148-FM69)*(FL70-FL69))/(FM70-FM69))^2)^0.5)),IF((FM70&lt;EY$148),(((((EY$148-FM70)*(FL70-FL69))/(FM69-FM70))^2)^0.5),0))))))</f>
        <v>0</v>
      </c>
      <c s="441" r="FU70">
        <f>IF((FQ70&gt;0),(MAX(FU$47:FU69)+1),0)</f>
        <v>0</v>
      </c>
      <c s="222" r="FV70"/>
      <c s="125" r="FW70"/>
      <c s="125" r="FX70"/>
      <c s="125" r="FY70"/>
      <c s="125" r="FZ70"/>
      <c s="125" r="GA70"/>
      <c s="125" r="GB70"/>
      <c s="125" r="GC70"/>
      <c s="125" r="GD70"/>
      <c s="125" r="GE70"/>
      <c s="125" r="GF70"/>
      <c s="125" r="GG70"/>
      <c s="125" r="GH70"/>
      <c s="125" r="GI70"/>
      <c s="125" r="GJ70"/>
      <c s="125" r="GK70"/>
      <c s="125" r="GL70"/>
      <c s="125" r="GM70"/>
      <c s="125" r="GN70"/>
      <c s="125" r="GO70"/>
      <c s="125" r="GP70"/>
      <c s="125" r="GQ70"/>
      <c s="125" r="GR70"/>
      <c s="125" r="GS70"/>
      <c s="125" r="GT70"/>
      <c s="125" r="GU70"/>
      <c s="125" r="GV70"/>
      <c s="125" r="GW70"/>
      <c s="125" r="GX70"/>
      <c s="125" r="GY70"/>
      <c s="125" r="GZ70"/>
      <c s="125" r="HA70"/>
      <c s="125" r="HB70"/>
    </row>
    <row customHeight="1" r="71" ht="13.5">
      <c s="125" r="A71"/>
      <c s="361" r="B71"/>
      <c s="361" r="C71"/>
      <c s="361" r="D71"/>
      <c s="361" r="E71"/>
      <c s="361" r="F71"/>
      <c s="361" r="G71"/>
      <c s="361" r="H71"/>
      <c t="s" s="125" r="I71">
        <v>2</v>
      </c>
      <c s="822" r="J71"/>
      <c s="406" r="K71"/>
      <c s="905" r="L71"/>
      <c s="225" r="M71"/>
      <c s="225" r="N71"/>
      <c s="896" r="O71"/>
      <c s="734" r="P71"/>
      <c s="550" r="Q71"/>
      <c s="550" r="R71"/>
      <c t="str" s="620" r="S71">
        <f>IF((COUNT(R71:R$146,T71:T$146)=0),NA(),IF(ISBLANK(R71),S70,(S70+(R71-T70))))</f>
        <v>#N/A:explicit</v>
      </c>
      <c s="550" r="T71"/>
      <c t="str" s="620" r="U71">
        <f>IF(OR(ISBLANK(T71),ISNUMBER(R72)),NA(),(S71-T71))</f>
        <v>#N/A:explicit</v>
      </c>
      <c t="b" s="895" r="V71">
        <v>0</v>
      </c>
      <c s="631" r="W71"/>
      <c t="str" s="309" r="X71">
        <f>IF((COUNT(Q71:Q$146)=0),NA(),IF(ISBLANK(Q71),IF(ISBLANK(Q70),MAX(Q$46:Q71),Q70),Q71))</f>
        <v>#N/A:explicit</v>
      </c>
      <c t="str" s="861" r="Y71">
        <f>IF(ISNA(U71),IF(ISNUMBER(X71),Y70,NA()),U71)</f>
        <v>#N/A:explicit</v>
      </c>
      <c s="861" r="Z71">
        <f>IF(ISNUMBER(Y71),Y71,(S$46+1000))</f>
        <v>1000</v>
      </c>
      <c t="str" s="588" r="AA71">
        <f>IF((V71=TRUE),NA(),IF((AA$44=(S$46-MAX(T$46:T$146))),NA(),AA$44))</f>
        <v>#N/A:explicit</v>
      </c>
      <c s="588" r="AB71">
        <f>IF((ISNA(((Y71*X71)*Y70))),0,(IF((X71&lt;X70),-1,1)*(IF((V70=FALSE),IF((V71=FALSE),IF(ISNA(Y71),0,IF((Y70&lt;AA$44),IF((Y71&lt;AA$44),(((X71-X70)^2)^0.5),(((((AA$44-Y70)*(X71-X70))/(Y71-Y70))^2)^0.5)),IF((Y71&lt;AA$44),(((((AA$44-Y71)*(X71-X70))/(Y70-Y71))^2)^0.5),0))),0),0))))</f>
        <v>0</v>
      </c>
      <c s="588" r="AC71">
        <f>IF(ISNA((Y71*Y70)),0,IF((V70=FALSE),IF((V71=FALSE),IF(ISNA(U71),0,IF((Y70&lt;AA$44),IF((Y71&lt;AA$44),((AA$44-((Y70+Y71)*0.5))*AB71),(((AA$44-Y70)*0.5)*AB71)),IF((Y71&lt;AA$44),(((AA$44-Y71)*0.5)*AB71),0))),0),0))</f>
        <v>0</v>
      </c>
      <c s="588" r="AD71">
        <f>IF(ISNA((Y71*Y70)),0,IF((V70=FALSE),IF((V71=FALSE),IF(ISNA(Y71),0,IF((Y70&lt;AA$44),IF((Y71&lt;AA$44),(((AB71^2)+((Y71-Y70)^2))^0.5),(((AB71^2)+((AA$44-Y70)^2))^0.5)),IF((Y71&lt;AA$44),(((AB71^2)+((AA$44-Y71)^2))^0.5),0))),0),0))</f>
        <v>0</v>
      </c>
      <c s="588" r="AE71">
        <f>IF(ISNUMBER((Y71*Y70)),IF((Y70&gt;=K$148),IF((Y71&lt;K$148),1,0),IF((Y71&gt;=K$148),IF((Y70&lt;K$148),1,0),0)),0)</f>
        <v>0</v>
      </c>
      <c s="588" r="AF71">
        <f>IF(ISNA((Y71*Y70)),0,(IF((X71&lt;X70),-1,1)*(IF(ISNA(Y71),0,IF((Y70&lt;K$148),IF((Y71&lt;K$148),(((X71-X70)^2)^0.5),(((((K$148-Y70)*(X71-X70))/(Y71-Y70))^2)^0.5)),IF((Y71&lt;K$148),(((((K$148-Y71)*(X71-X70))/(Y70-Y71))^2)^0.5),0))))))</f>
        <v>0</v>
      </c>
      <c s="441" r="AG71">
        <f>IF((AC71&gt;0),(MAX(AG$47:AG70)+1),0)</f>
        <v>0</v>
      </c>
      <c s="388" r="AH71"/>
      <c s="406" r="AI71"/>
      <c s="905" r="AJ71"/>
      <c s="225" r="AK71"/>
      <c s="225" r="AL71"/>
      <c s="896" r="AM71"/>
      <c s="734" r="AN71"/>
      <c s="550" r="AO71"/>
      <c s="550" r="AP71"/>
      <c t="str" s="620" r="AQ71">
        <f>IF((COUNT(AP71:AP$146,AR71:AR$146)=0),NA(),IF(ISBLANK(AP71),AQ70,(AQ70+(AP71-AR70))))</f>
        <v>#N/A:explicit</v>
      </c>
      <c s="550" r="AR71"/>
      <c t="str" s="620" r="AS71">
        <f>IF(OR(ISBLANK(AR71),ISNUMBER(AP72)),NA(),(AQ71-AR71))</f>
        <v>#N/A:explicit</v>
      </c>
      <c t="b" s="895" r="AT71">
        <v>0</v>
      </c>
      <c s="631" r="AU71"/>
      <c t="str" s="309" r="AV71">
        <f>IF((COUNT(AO71:AO$146)=0),NA(),IF(ISBLANK(AO71),IF(ISBLANK(AO70),MAX(AO$46:AO71),AO70),AO71))</f>
        <v>#N/A:explicit</v>
      </c>
      <c t="str" s="861" r="AW71">
        <f>IF(ISNA(AS71),IF(ISNUMBER(AV71),AW70,NA()),AS71)</f>
        <v>#N/A:explicit</v>
      </c>
      <c s="861" r="AX71">
        <f>IF(ISNUMBER(AW71),AW71,(AQ$46+1000))</f>
        <v>1000</v>
      </c>
      <c t="str" s="588" r="AY71">
        <f>IF((AT71=TRUE),NA(),IF((AY$44=(AQ$46-MAX(AR$46:AR$146))),NA(),AY$44))</f>
        <v>#N/A:explicit</v>
      </c>
      <c s="588" r="AZ71">
        <f>IF((ISNA(((AW71*AV71)*AW70))),0,(IF((AV71&lt;AV70),-1,1)*(IF((AT70=FALSE),IF((AT71=FALSE),IF(ISNA(AW71),0,IF((AW70&lt;AY$44),IF((AW71&lt;AY$44),(((AV71-AV70)^2)^0.5),(((((AY$44-AW70)*(AV71-AV70))/(AW71-AW70))^2)^0.5)),IF((AW71&lt;AY$44),(((((AY$44-AW71)*(AV71-AV70))/(AW70-AW71))^2)^0.5),0))),0),0))))</f>
        <v>0</v>
      </c>
      <c s="588" r="BA71">
        <f>IF(ISNA((AW71*AW70)),0,IF((AT70=FALSE),IF((AT71=FALSE),IF(ISNA(AS71),0,IF((AW70&lt;AY$44),IF((AW71&lt;AY$44),((AY$44-((AW70+AW71)*0.5))*AZ71),(((AY$44-AW70)*0.5)*AZ71)),IF((AW71&lt;AY$44),(((AY$44-AW71)*0.5)*AZ71),0))),0),0))</f>
        <v>0</v>
      </c>
      <c s="588" r="BB71">
        <f>IF(ISNA((AW71*AW70)),0,IF((AT70=FALSE),IF((AT71=FALSE),IF(ISNA(AW71),0,IF((AW70&lt;AY$44),IF((AW71&lt;AY$44),(((AZ71^2)+((AW71-AW70)^2))^0.5),(((AZ71^2)+((AY$44-AW70)^2))^0.5)),IF((AW71&lt;AY$44),(((AZ71^2)+((AY$44-AW71)^2))^0.5),0))),0),0))</f>
        <v>0</v>
      </c>
      <c s="588" r="BC71">
        <f>IF(ISNUMBER((AW71*AW70)),IF((AW70&gt;=AI$148),IF((AW71&lt;AI$148),1,0),IF((AW71&gt;=AI$148),IF((AW70&lt;AI$148),1,0),0)),0)</f>
        <v>0</v>
      </c>
      <c s="588" r="BD71">
        <f>IF(ISNA((AW71*AW70)),0,(IF((AV71&lt;AV70),-1,1)*(IF(ISNA(AW71),0,IF((AW70&lt;AI$148),IF((AW71&lt;AI$148),(((AV71-AV70)^2)^0.5),(((((AI$148-AW70)*(AV71-AV70))/(AW71-AW70))^2)^0.5)),IF((AW71&lt;AI$148),(((((AI$148-AW71)*(AV71-AV70))/(AW70-AW71))^2)^0.5),0))))))</f>
        <v>0</v>
      </c>
      <c s="441" r="BE71">
        <f>IF((BA71&gt;0),(MAX(BE$47:BE70)+1),0)</f>
        <v>0</v>
      </c>
      <c s="388" r="BF71"/>
      <c s="406" r="BG71"/>
      <c s="905" r="BH71"/>
      <c s="225" r="BI71"/>
      <c s="225" r="BJ71"/>
      <c s="896" r="BK71"/>
      <c s="734" r="BL71"/>
      <c s="550" r="BM71"/>
      <c s="550" r="BN71"/>
      <c t="str" s="620" r="BO71">
        <f>IF((COUNT(BN71:BN$146,BP71:BP$146)=0),NA(),IF(ISBLANK(BN71),BO70,(BO70+(BN71-BP70))))</f>
        <v>#N/A:explicit</v>
      </c>
      <c s="550" r="BP71"/>
      <c t="str" s="620" r="BQ71">
        <f>IF(OR(ISBLANK(BP71),ISNUMBER(BN72)),NA(),(BO71-BP71))</f>
        <v>#N/A:explicit</v>
      </c>
      <c t="b" s="895" r="BR71">
        <v>0</v>
      </c>
      <c s="631" r="BS71"/>
      <c t="str" s="309" r="BT71">
        <f>IF((COUNT(BM71:BM$146)=0),NA(),IF(ISBLANK(BM71),IF(ISBLANK(BM70),MAX(BM$46:BM71),BM70),BM71))</f>
        <v>#N/A:explicit</v>
      </c>
      <c t="str" s="861" r="BU71">
        <f>IF(ISNA(BQ71),IF(ISNUMBER(BT71),BU70,NA()),BQ71)</f>
        <v>#N/A:explicit</v>
      </c>
      <c s="861" r="BV71">
        <f>IF(ISNUMBER(BU71),BU71,(BO$46+1000))</f>
        <v>1000</v>
      </c>
      <c t="str" s="588" r="BW71">
        <f>IF((BR71=TRUE),NA(),IF((BW$44=(BO$46-MAX(BP$46:BP$146))),NA(),BW$44))</f>
        <v>#N/A:explicit</v>
      </c>
      <c s="588" r="BX71">
        <f>IF((ISNA(((BU71*BT71)*BU70))),0,(IF((BT71&lt;BT70),-1,1)*(IF((BR70=FALSE),IF((BR71=FALSE),IF(ISNA(BU71),0,IF((BU70&lt;BW$44),IF((BU71&lt;BW$44),(((BT71-BT70)^2)^0.5),(((((BW$44-BU70)*(BT71-BT70))/(BU71-BU70))^2)^0.5)),IF((BU71&lt;BW$44),(((((BW$44-BU71)*(BT71-BT70))/(BU70-BU71))^2)^0.5),0))),0),0))))</f>
        <v>0</v>
      </c>
      <c s="588" r="BY71">
        <f>IF(ISNA((BU71*BU70)),0,IF((BR70=FALSE),IF((BR71=FALSE),IF(ISNA(BQ71),0,IF((BU70&lt;BW$44),IF((BU71&lt;BW$44),((BW$44-((BU70+BU71)*0.5))*BX71),(((BW$44-BU70)*0.5)*BX71)),IF((BU71&lt;BW$44),(((BW$44-BU71)*0.5)*BX71),0))),0),0))</f>
        <v>0</v>
      </c>
      <c s="588" r="BZ71">
        <f>IF(ISNA((BU71*BU70)),0,IF((BR70=FALSE),IF((BR71=FALSE),IF(ISNA(BU71),0,IF((BU70&lt;BW$44),IF((BU71&lt;BW$44),(((BX71^2)+((BU71-BU70)^2))^0.5),(((BX71^2)+((BW$44-BU70)^2))^0.5)),IF((BU71&lt;BW$44),(((BX71^2)+((BW$44-BU71)^2))^0.5),0))),0),0))</f>
        <v>0</v>
      </c>
      <c s="588" r="CA71">
        <f>IF(ISNUMBER((BU71*BU70)),IF((BU70&gt;=BG$148),IF((BU71&lt;BG$148),1,0),IF((BU71&gt;=BG$148),IF((BU70&lt;BG$148),1,0),0)),0)</f>
        <v>0</v>
      </c>
      <c s="588" r="CB71">
        <f>IF(ISNA((BU71*BU70)),0,(IF((BT71&lt;BT70),-1,1)*(IF(ISNA(BU71),0,IF((BU70&lt;BG$148),IF((BU71&lt;BG$148),(((BT71-BT70)^2)^0.5),(((((BG$148-BU70)*(BT71-BT70))/(BU71-BU70))^2)^0.5)),IF((BU71&lt;BG$148),(((((BG$148-BU71)*(BT71-BT70))/(BU70-BU71))^2)^0.5),0))))))</f>
        <v>0</v>
      </c>
      <c s="441" r="CC71">
        <f>IF((BY71&gt;0),(MAX(CC$47:CC70)+1),0)</f>
        <v>0</v>
      </c>
      <c s="388" r="CD71"/>
      <c s="406" r="CE71"/>
      <c s="905" r="CF71"/>
      <c s="225" r="CG71"/>
      <c s="225" r="CH71"/>
      <c s="896" r="CI71"/>
      <c s="734" r="CJ71"/>
      <c s="550" r="CK71"/>
      <c s="550" r="CL71"/>
      <c t="str" s="620" r="CM71">
        <f>IF((COUNT(CL71:CL$146,CN71:CN$146)=0),NA(),IF(ISBLANK(CL71),CM70,(CM70+(CL71-CN70))))</f>
        <v>#N/A:explicit</v>
      </c>
      <c s="550" r="CN71"/>
      <c t="str" s="620" r="CO71">
        <f>IF(OR(ISBLANK(CN71),ISNUMBER(CL72)),NA(),(CM71-CN71))</f>
        <v>#N/A:explicit</v>
      </c>
      <c t="b" s="895" r="CP71">
        <v>0</v>
      </c>
      <c s="631" r="CQ71"/>
      <c t="str" s="309" r="CR71">
        <f>IF((COUNT(CK71:CK$146)=0),NA(),IF(ISBLANK(CK71),IF(ISBLANK(CK70),MAX(CK$46:CK71),CK70),CK71))</f>
        <v>#N/A:explicit</v>
      </c>
      <c t="str" s="861" r="CS71">
        <f>IF(ISNA(CO71),IF(ISNUMBER(CR71),CS70,NA()),CO71)</f>
        <v>#N/A:explicit</v>
      </c>
      <c s="861" r="CT71">
        <f>IF(ISNUMBER(CS71),CS71,(CM$46+1000))</f>
        <v>1000</v>
      </c>
      <c t="str" s="588" r="CU71">
        <f>IF((CP71=TRUE),NA(),IF((CU$44=(CM$46-MAX(CN$46:CN$146))),NA(),CU$44))</f>
        <v>#N/A:explicit</v>
      </c>
      <c s="588" r="CV71">
        <f>IF((ISNA(((CS71*CR71)*CS70))),0,(IF((CR71&lt;CR70),-1,1)*(IF((CP70=FALSE),IF((CP71=FALSE),IF(ISNA(CS71),0,IF((CS70&lt;CU$44),IF((CS71&lt;CU$44),(((CR71-CR70)^2)^0.5),(((((CU$44-CS70)*(CR71-CR70))/(CS71-CS70))^2)^0.5)),IF((CS71&lt;CU$44),(((((CU$44-CS71)*(CR71-CR70))/(CS70-CS71))^2)^0.5),0))),0),0))))</f>
        <v>0</v>
      </c>
      <c s="588" r="CW71">
        <f>IF(ISNA((CS71*CS70)),0,IF((CP70=FALSE),IF((CP71=FALSE),IF(ISNA(CO71),0,IF((CS70&lt;CU$44),IF((CS71&lt;CU$44),((CU$44-((CS70+CS71)*0.5))*CV71),(((CU$44-CS70)*0.5)*CV71)),IF((CS71&lt;CU$44),(((CU$44-CS71)*0.5)*CV71),0))),0),0))</f>
        <v>0</v>
      </c>
      <c s="588" r="CX71">
        <f>IF(ISNA((CS71*CS70)),0,IF((CP70=FALSE),IF((CP71=FALSE),IF(ISNA(CS71),0,IF((CS70&lt;CU$44),IF((CS71&lt;CU$44),(((CV71^2)+((CS71-CS70)^2))^0.5),(((CV71^2)+((CU$44-CS70)^2))^0.5)),IF((CS71&lt;CU$44),(((CV71^2)+((CU$44-CS71)^2))^0.5),0))),0),0))</f>
        <v>0</v>
      </c>
      <c s="588" r="CY71">
        <f>IF(ISNUMBER((CS71*CS70)),IF((CS70&gt;=CE$148),IF((CS71&lt;CE$148),1,0),IF((CS71&gt;=CE$148),IF((CS70&lt;CE$148),1,0),0)),0)</f>
        <v>0</v>
      </c>
      <c s="588" r="CZ71">
        <f>IF(ISNA((CS71*CS70)),0,(IF((CR71&lt;CR70),-1,1)*(IF(ISNA(CS71),0,IF((CS70&lt;CE$148),IF((CS71&lt;CE$148),(((CR71-CR70)^2)^0.5),(((((CE$148-CS70)*(CR71-CR70))/(CS71-CS70))^2)^0.5)),IF((CS71&lt;CE$148),(((((CE$148-CS71)*(CR71-CR70))/(CS70-CS71))^2)^0.5),0))))))</f>
        <v>0</v>
      </c>
      <c s="441" r="DA71">
        <f>IF((CW71&gt;0),(MAX(DA$47:DA70)+1),0)</f>
        <v>0</v>
      </c>
      <c s="388" r="DB71"/>
      <c s="406" r="DC71"/>
      <c s="905" r="DD71"/>
      <c s="225" r="DE71"/>
      <c s="225" r="DF71"/>
      <c s="896" r="DG71"/>
      <c s="734" r="DH71"/>
      <c s="550" r="DI71"/>
      <c s="550" r="DJ71"/>
      <c t="str" s="620" r="DK71">
        <f>IF((COUNT(DJ71:DJ$146,DL71:DL$146)=0),NA(),IF(ISBLANK(DJ71),DK70,(DK70+(DJ71-DL70))))</f>
        <v>#N/A:explicit</v>
      </c>
      <c s="550" r="DL71"/>
      <c t="str" s="620" r="DM71">
        <f>IF(OR(ISBLANK(DL71),ISNUMBER(DJ72)),NA(),(DK71-DL71))</f>
        <v>#N/A:explicit</v>
      </c>
      <c t="b" s="895" r="DN71">
        <v>0</v>
      </c>
      <c s="631" r="DO71"/>
      <c t="str" s="309" r="DP71">
        <f>IF((COUNT(DI71:DI$146)=0),NA(),IF(ISBLANK(DI71),IF(ISBLANK(DI70),MAX(DI$46:DI71),DI70),DI71))</f>
        <v>#N/A:explicit</v>
      </c>
      <c t="str" s="861" r="DQ71">
        <f>IF(ISNA(DM71),IF(ISNUMBER(DP71),DQ70,NA()),DM71)</f>
        <v>#N/A:explicit</v>
      </c>
      <c s="861" r="DR71">
        <f>IF(ISNUMBER(DQ71),DQ71,(DK$46+1000))</f>
        <v>1000</v>
      </c>
      <c t="str" s="588" r="DS71">
        <f>IF((DN71=TRUE),NA(),IF((DS$44=(DK$46-MAX(DL$46:DL$146))),NA(),DS$44))</f>
        <v>#N/A:explicit</v>
      </c>
      <c s="588" r="DT71">
        <f>IF((ISNA(((DQ71*DP71)*DQ70))),0,(IF((DP71&lt;DP70),-1,1)*(IF((DN70=FALSE),IF((DN71=FALSE),IF(ISNA(DQ71),0,IF((DQ70&lt;DS$44),IF((DQ71&lt;DS$44),(((DP71-DP70)^2)^0.5),(((((DS$44-DQ70)*(DP71-DP70))/(DQ71-DQ70))^2)^0.5)),IF((DQ71&lt;DS$44),(((((DS$44-DQ71)*(DP71-DP70))/(DQ70-DQ71))^2)^0.5),0))),0),0))))</f>
        <v>0</v>
      </c>
      <c s="588" r="DU71">
        <f>IF(ISNA((DQ71*DQ70)),0,IF((DN70=FALSE),IF((DN71=FALSE),IF(ISNA(DM71),0,IF((DQ70&lt;DS$44),IF((DQ71&lt;DS$44),((DS$44-((DQ70+DQ71)*0.5))*DT71),(((DS$44-DQ70)*0.5)*DT71)),IF((DQ71&lt;DS$44),(((DS$44-DQ71)*0.5)*DT71),0))),0),0))</f>
        <v>0</v>
      </c>
      <c s="588" r="DV71">
        <f>IF(ISNA((DQ71*DQ70)),0,IF((DN70=FALSE),IF((DN71=FALSE),IF(ISNA(DQ71),0,IF((DQ70&lt;DS$44),IF((DQ71&lt;DS$44),(((DT71^2)+((DQ71-DQ70)^2))^0.5),(((DT71^2)+((DS$44-DQ70)^2))^0.5)),IF((DQ71&lt;DS$44),(((DT71^2)+((DS$44-DQ71)^2))^0.5),0))),0),0))</f>
        <v>0</v>
      </c>
      <c s="588" r="DW71">
        <f>IF(ISNUMBER((DQ71*DQ70)),IF((DQ70&gt;=DC$148),IF((DQ71&lt;DC$148),1,0),IF((DQ71&gt;=DC$148),IF((DQ70&lt;DC$148),1,0),0)),0)</f>
        <v>0</v>
      </c>
      <c s="588" r="DX71">
        <f>IF(ISNA((DQ71*DQ70)),0,(IF((DP71&lt;DP70),-1,1)*(IF(ISNA(DQ71),0,IF((DQ70&lt;DC$148),IF((DQ71&lt;DC$148),(((DP71-DP70)^2)^0.5),(((((DC$148-DQ70)*(DP71-DP70))/(DQ71-DQ70))^2)^0.5)),IF((DQ71&lt;DC$148),(((((DC$148-DQ71)*(DP71-DP70))/(DQ70-DQ71))^2)^0.5),0))))))</f>
        <v>0</v>
      </c>
      <c s="441" r="DY71">
        <f>IF((DU71&gt;0),(MAX(DY$47:DY70)+1),0)</f>
        <v>0</v>
      </c>
      <c s="388" r="DZ71"/>
      <c s="406" r="EA71"/>
      <c s="905" r="EB71"/>
      <c s="225" r="EC71"/>
      <c s="225" r="ED71"/>
      <c s="896" r="EE71"/>
      <c s="734" r="EF71"/>
      <c s="550" r="EG71"/>
      <c s="550" r="EH71"/>
      <c t="str" s="620" r="EI71">
        <f>IF((COUNT(EH71:EH$146,EJ71:EJ$146)=0),NA(),IF(ISBLANK(EH71),EI70,(EI70+(EH71-EJ70))))</f>
        <v>#N/A:explicit</v>
      </c>
      <c s="550" r="EJ71"/>
      <c t="str" s="620" r="EK71">
        <f>IF(OR(ISBLANK(EJ71),ISNUMBER(EH72)),NA(),(EI71-EJ71))</f>
        <v>#N/A:explicit</v>
      </c>
      <c t="b" s="895" r="EL71">
        <v>0</v>
      </c>
      <c s="631" r="EM71"/>
      <c t="str" s="309" r="EN71">
        <f>IF((COUNT(EG71:EG$146)=0),NA(),IF(ISBLANK(EG71),IF(ISBLANK(EG70),MAX(EG$46:EG71),EG70),EG71))</f>
        <v>#N/A:explicit</v>
      </c>
      <c t="str" s="861" r="EO71">
        <f>IF(ISNA(EK71),IF(ISNUMBER(EN71),EO70,NA()),EK71)</f>
        <v>#N/A:explicit</v>
      </c>
      <c s="861" r="EP71">
        <f>IF(ISNUMBER(EO71),EO71,(EI$46+1000))</f>
        <v>1000</v>
      </c>
      <c t="str" s="588" r="EQ71">
        <f>IF((EL71=TRUE),NA(),IF((EQ$44=(EI$46-MAX(EJ$46:EJ$146))),NA(),EQ$44))</f>
        <v>#N/A:explicit</v>
      </c>
      <c s="588" r="ER71">
        <f>IF((ISNA(((EO71*EN71)*EO70))),0,(IF((EN71&lt;EN70),-1,1)*(IF((EL70=FALSE),IF((EL71=FALSE),IF(ISNA(EO71),0,IF((EO70&lt;EQ$44),IF((EO71&lt;EQ$44),(((EN71-EN70)^2)^0.5),(((((EQ$44-EO70)*(EN71-EN70))/(EO71-EO70))^2)^0.5)),IF((EO71&lt;EQ$44),(((((EQ$44-EO71)*(EN71-EN70))/(EO70-EO71))^2)^0.5),0))),0),0))))</f>
        <v>0</v>
      </c>
      <c s="588" r="ES71">
        <f>IF(ISNA((EO71*EO70)),0,IF((EL70=FALSE),IF((EL71=FALSE),IF(ISNA(EK71),0,IF((EO70&lt;EQ$44),IF((EO71&lt;EQ$44),((EQ$44-((EO70+EO71)*0.5))*ER71),(((EQ$44-EO70)*0.5)*ER71)),IF((EO71&lt;EQ$44),(((EQ$44-EO71)*0.5)*ER71),0))),0),0))</f>
        <v>0</v>
      </c>
      <c s="588" r="ET71">
        <f>IF(ISNA((EO71*EO70)),0,IF((EL70=FALSE),IF((EL71=FALSE),IF(ISNA(EO71),0,IF((EO70&lt;EQ$44),IF((EO71&lt;EQ$44),(((ER71^2)+((EO71-EO70)^2))^0.5),(((ER71^2)+((EQ$44-EO70)^2))^0.5)),IF((EO71&lt;EQ$44),(((ER71^2)+((EQ$44-EO71)^2))^0.5),0))),0),0))</f>
        <v>0</v>
      </c>
      <c s="588" r="EU71">
        <f>IF(ISNUMBER((EO71*EO70)),IF((EO70&gt;=EA$148),IF((EO71&lt;EA$148),1,0),IF((EO71&gt;=EA$148),IF((EO70&lt;EA$148),1,0),0)),0)</f>
        <v>0</v>
      </c>
      <c s="588" r="EV71">
        <f>IF(ISNA((EO71*EO70)),0,(IF((EN71&lt;EN70),-1,1)*(IF(ISNA(EO71),0,IF((EO70&lt;EA$148),IF((EO71&lt;EA$148),(((EN71-EN70)^2)^0.5),(((((EA$148-EO70)*(EN71-EN70))/(EO71-EO70))^2)^0.5)),IF((EO71&lt;EA$148),(((((EA$148-EO71)*(EN71-EN70))/(EO70-EO71))^2)^0.5),0))))))</f>
        <v>0</v>
      </c>
      <c s="441" r="EW71">
        <f>IF((ES71&gt;0),(MAX(EW$47:EW70)+1),0)</f>
        <v>0</v>
      </c>
      <c s="388" r="EX71"/>
      <c s="406" r="EY71"/>
      <c s="905" r="EZ71"/>
      <c s="225" r="FA71"/>
      <c s="225" r="FB71"/>
      <c s="896" r="FC71"/>
      <c s="734" r="FD71"/>
      <c s="550" r="FE71"/>
      <c s="550" r="FF71"/>
      <c t="str" s="620" r="FG71">
        <f>IF((COUNT(FF71:FF$146,FH71:FH$146)=0),NA(),IF(ISBLANK(FF71),FG70,(FG70+(FF71-FH70))))</f>
        <v>#N/A:explicit</v>
      </c>
      <c s="550" r="FH71"/>
      <c t="str" s="620" r="FI71">
        <f>IF(OR(ISBLANK(FH71),ISNUMBER(FF72)),NA(),(FG71-FH71))</f>
        <v>#N/A:explicit</v>
      </c>
      <c t="b" s="895" r="FJ71">
        <v>0</v>
      </c>
      <c s="631" r="FK71"/>
      <c t="str" s="309" r="FL71">
        <f>IF((COUNT(FE71:FE$146)=0),NA(),IF(ISBLANK(FE71),IF(ISBLANK(FE70),MAX(FE$46:FE71),FE70),FE71))</f>
        <v>#N/A:explicit</v>
      </c>
      <c t="str" s="861" r="FM71">
        <f>IF(ISNA(FI71),IF(ISNUMBER(FL71),FM70,NA()),FI71)</f>
        <v>#N/A:explicit</v>
      </c>
      <c s="861" r="FN71">
        <f>IF(ISNUMBER(FM71),FM71,(FG$46+1000))</f>
        <v>1000</v>
      </c>
      <c t="str" s="588" r="FO71">
        <f>IF((FJ71=TRUE),NA(),IF((FO$44=(FG$46-MAX(FH$46:FH$146))),NA(),FO$44))</f>
        <v>#N/A:explicit</v>
      </c>
      <c s="588" r="FP71">
        <f>IF((ISNA(((FM71*FL71)*FM70))),0,(IF((FL71&lt;FL70),-1,1)*(IF((FJ70=FALSE),IF((FJ71=FALSE),IF(ISNA(FM71),0,IF((FM70&lt;FO$44),IF((FM71&lt;FO$44),(((FL71-FL70)^2)^0.5),(((((FO$44-FM70)*(FL71-FL70))/(FM71-FM70))^2)^0.5)),IF((FM71&lt;FO$44),(((((FO$44-FM71)*(FL71-FL70))/(FM70-FM71))^2)^0.5),0))),0),0))))</f>
        <v>0</v>
      </c>
      <c s="588" r="FQ71">
        <f>IF(ISNA((FM71*FM70)),0,IF((FJ70=FALSE),IF((FJ71=FALSE),IF(ISNA(FI71),0,IF((FM70&lt;FO$44),IF((FM71&lt;FO$44),((FO$44-((FM70+FM71)*0.5))*FP71),(((FO$44-FM70)*0.5)*FP71)),IF((FM71&lt;FO$44),(((FO$44-FM71)*0.5)*FP71),0))),0),0))</f>
        <v>0</v>
      </c>
      <c s="588" r="FR71">
        <f>IF(ISNA((FM71*FM70)),0,IF((FJ70=FALSE),IF((FJ71=FALSE),IF(ISNA(FM71),0,IF((FM70&lt;FO$44),IF((FM71&lt;FO$44),(((FP71^2)+((FM71-FM70)^2))^0.5),(((FP71^2)+((FO$44-FM70)^2))^0.5)),IF((FM71&lt;FO$44),(((FP71^2)+((FO$44-FM71)^2))^0.5),0))),0),0))</f>
        <v>0</v>
      </c>
      <c s="588" r="FS71">
        <f>IF(ISNUMBER((FM71*FM70)),IF((FM70&gt;=EY$148),IF((FM71&lt;EY$148),1,0),IF((FM71&gt;=EY$148),IF((FM70&lt;EY$148),1,0),0)),0)</f>
        <v>0</v>
      </c>
      <c s="588" r="FT71">
        <f>IF(ISNA((FM71*FM70)),0,(IF((FL71&lt;FL70),-1,1)*(IF(ISNA(FM71),0,IF((FM70&lt;EY$148),IF((FM71&lt;EY$148),(((FL71-FL70)^2)^0.5),(((((EY$148-FM70)*(FL71-FL70))/(FM71-FM70))^2)^0.5)),IF((FM71&lt;EY$148),(((((EY$148-FM71)*(FL71-FL70))/(FM70-FM71))^2)^0.5),0))))))</f>
        <v>0</v>
      </c>
      <c s="441" r="FU71">
        <f>IF((FQ71&gt;0),(MAX(FU$47:FU70)+1),0)</f>
        <v>0</v>
      </c>
      <c s="222" r="FV71"/>
      <c s="125" r="FW71"/>
      <c s="125" r="FX71"/>
      <c s="125" r="FY71"/>
      <c s="125" r="FZ71"/>
      <c s="125" r="GA71"/>
      <c s="125" r="GB71"/>
      <c s="125" r="GC71"/>
      <c s="125" r="GD71"/>
      <c s="125" r="GE71"/>
      <c s="125" r="GF71"/>
      <c s="125" r="GG71"/>
      <c s="125" r="GH71"/>
      <c s="125" r="GI71"/>
      <c s="125" r="GJ71"/>
      <c s="125" r="GK71"/>
      <c s="125" r="GL71"/>
      <c s="125" r="GM71"/>
      <c s="125" r="GN71"/>
      <c s="125" r="GO71"/>
      <c s="125" r="GP71"/>
      <c s="125" r="GQ71"/>
      <c s="125" r="GR71"/>
      <c s="125" r="GS71"/>
      <c s="125" r="GT71"/>
      <c s="125" r="GU71"/>
      <c s="125" r="GV71"/>
      <c s="125" r="GW71"/>
      <c s="125" r="GX71"/>
      <c s="125" r="GY71"/>
      <c s="125" r="GZ71"/>
      <c s="125" r="HA71"/>
      <c s="125" r="HB71"/>
    </row>
    <row customHeight="1" r="72" ht="13.5">
      <c s="822" r="A72"/>
      <c t="s" s="659" r="B72">
        <v>402</v>
      </c>
      <c s="516" r="C72"/>
      <c s="516" r="D72"/>
      <c s="507" r="E72"/>
      <c s="507" r="F72"/>
      <c s="138" r="G72"/>
      <c t="s" s="162" r="H72">
        <v>599</v>
      </c>
      <c s="51" r="I72"/>
      <c t="s" s="822" r="J72">
        <v>2</v>
      </c>
      <c s="406" r="K72"/>
      <c s="905" r="L72"/>
      <c s="225" r="M72"/>
      <c s="225" r="N72"/>
      <c s="896" r="O72"/>
      <c s="734" r="P72"/>
      <c s="550" r="Q72"/>
      <c s="550" r="R72"/>
      <c t="str" s="620" r="S72">
        <f>IF((COUNT(R72:R$146,T72:T$146)=0),NA(),IF(ISBLANK(R72),S71,(S71+(R72-T71))))</f>
        <v>#N/A:explicit</v>
      </c>
      <c s="550" r="T72"/>
      <c t="str" s="620" r="U72">
        <f>IF(OR(ISBLANK(T72),ISNUMBER(R73)),NA(),(S72-T72))</f>
        <v>#N/A:explicit</v>
      </c>
      <c t="b" s="895" r="V72">
        <v>0</v>
      </c>
      <c s="631" r="W72"/>
      <c t="str" s="309" r="X72">
        <f>IF((COUNT(Q72:Q$146)=0),NA(),IF(ISBLANK(Q72),IF(ISBLANK(Q71),MAX(Q$46:Q72),Q71),Q72))</f>
        <v>#N/A:explicit</v>
      </c>
      <c t="str" s="861" r="Y72">
        <f>IF(ISNA(U72),IF(ISNUMBER(X72),Y71,NA()),U72)</f>
        <v>#N/A:explicit</v>
      </c>
      <c s="861" r="Z72">
        <f>IF(ISNUMBER(Y72),Y72,(S$46+1000))</f>
        <v>1000</v>
      </c>
      <c t="str" s="588" r="AA72">
        <f>IF((V72=TRUE),NA(),IF((AA$44=(S$46-MAX(T$46:T$146))),NA(),AA$44))</f>
        <v>#N/A:explicit</v>
      </c>
      <c s="588" r="AB72">
        <f>IF((ISNA(((Y72*X72)*Y71))),0,(IF((X72&lt;X71),-1,1)*(IF((V71=FALSE),IF((V72=FALSE),IF(ISNA(Y72),0,IF((Y71&lt;AA$44),IF((Y72&lt;AA$44),(((X72-X71)^2)^0.5),(((((AA$44-Y71)*(X72-X71))/(Y72-Y71))^2)^0.5)),IF((Y72&lt;AA$44),(((((AA$44-Y72)*(X72-X71))/(Y71-Y72))^2)^0.5),0))),0),0))))</f>
        <v>0</v>
      </c>
      <c s="588" r="AC72">
        <f>IF(ISNA((Y72*Y71)),0,IF((V71=FALSE),IF((V72=FALSE),IF(ISNA(U72),0,IF((Y71&lt;AA$44),IF((Y72&lt;AA$44),((AA$44-((Y71+Y72)*0.5))*AB72),(((AA$44-Y71)*0.5)*AB72)),IF((Y72&lt;AA$44),(((AA$44-Y72)*0.5)*AB72),0))),0),0))</f>
        <v>0</v>
      </c>
      <c s="588" r="AD72">
        <f>IF(ISNA((Y72*Y71)),0,IF((V71=FALSE),IF((V72=FALSE),IF(ISNA(Y72),0,IF((Y71&lt;AA$44),IF((Y72&lt;AA$44),(((AB72^2)+((Y72-Y71)^2))^0.5),(((AB72^2)+((AA$44-Y71)^2))^0.5)),IF((Y72&lt;AA$44),(((AB72^2)+((AA$44-Y72)^2))^0.5),0))),0),0))</f>
        <v>0</v>
      </c>
      <c s="588" r="AE72">
        <f>IF(ISNUMBER((Y72*Y71)),IF((Y71&gt;=K$148),IF((Y72&lt;K$148),1,0),IF((Y72&gt;=K$148),IF((Y71&lt;K$148),1,0),0)),0)</f>
        <v>0</v>
      </c>
      <c s="588" r="AF72">
        <f>IF(ISNA((Y72*Y71)),0,(IF((X72&lt;X71),-1,1)*(IF(ISNA(Y72),0,IF((Y71&lt;K$148),IF((Y72&lt;K$148),(((X72-X71)^2)^0.5),(((((K$148-Y71)*(X72-X71))/(Y72-Y71))^2)^0.5)),IF((Y72&lt;K$148),(((((K$148-Y72)*(X72-X71))/(Y71-Y72))^2)^0.5),0))))))</f>
        <v>0</v>
      </c>
      <c s="441" r="AG72">
        <f>IF((AC72&gt;0),(MAX(AG$47:AG71)+1),0)</f>
        <v>0</v>
      </c>
      <c s="388" r="AH72"/>
      <c s="406" r="AI72"/>
      <c s="905" r="AJ72"/>
      <c s="225" r="AK72"/>
      <c s="225" r="AL72"/>
      <c s="896" r="AM72"/>
      <c s="734" r="AN72"/>
      <c s="550" r="AO72"/>
      <c s="550" r="AP72"/>
      <c t="str" s="620" r="AQ72">
        <f>IF((COUNT(AP72:AP$146,AR72:AR$146)=0),NA(),IF(ISBLANK(AP72),AQ71,(AQ71+(AP72-AR71))))</f>
        <v>#N/A:explicit</v>
      </c>
      <c s="550" r="AR72"/>
      <c t="str" s="620" r="AS72">
        <f>IF(OR(ISBLANK(AR72),ISNUMBER(AP73)),NA(),(AQ72-AR72))</f>
        <v>#N/A:explicit</v>
      </c>
      <c t="b" s="895" r="AT72">
        <v>0</v>
      </c>
      <c s="631" r="AU72"/>
      <c t="str" s="309" r="AV72">
        <f>IF((COUNT(AO72:AO$146)=0),NA(),IF(ISBLANK(AO72),IF(ISBLANK(AO71),MAX(AO$46:AO72),AO71),AO72))</f>
        <v>#N/A:explicit</v>
      </c>
      <c t="str" s="861" r="AW72">
        <f>IF(ISNA(AS72),IF(ISNUMBER(AV72),AW71,NA()),AS72)</f>
        <v>#N/A:explicit</v>
      </c>
      <c s="861" r="AX72">
        <f>IF(ISNUMBER(AW72),AW72,(AQ$46+1000))</f>
        <v>1000</v>
      </c>
      <c t="str" s="588" r="AY72">
        <f>IF((AT72=TRUE),NA(),IF((AY$44=(AQ$46-MAX(AR$46:AR$146))),NA(),AY$44))</f>
        <v>#N/A:explicit</v>
      </c>
      <c s="588" r="AZ72">
        <f>IF((ISNA(((AW72*AV72)*AW71))),0,(IF((AV72&lt;AV71),-1,1)*(IF((AT71=FALSE),IF((AT72=FALSE),IF(ISNA(AW72),0,IF((AW71&lt;AY$44),IF((AW72&lt;AY$44),(((AV72-AV71)^2)^0.5),(((((AY$44-AW71)*(AV72-AV71))/(AW72-AW71))^2)^0.5)),IF((AW72&lt;AY$44),(((((AY$44-AW72)*(AV72-AV71))/(AW71-AW72))^2)^0.5),0))),0),0))))</f>
        <v>0</v>
      </c>
      <c s="588" r="BA72">
        <f>IF(ISNA((AW72*AW71)),0,IF((AT71=FALSE),IF((AT72=FALSE),IF(ISNA(AS72),0,IF((AW71&lt;AY$44),IF((AW72&lt;AY$44),((AY$44-((AW71+AW72)*0.5))*AZ72),(((AY$44-AW71)*0.5)*AZ72)),IF((AW72&lt;AY$44),(((AY$44-AW72)*0.5)*AZ72),0))),0),0))</f>
        <v>0</v>
      </c>
      <c s="588" r="BB72">
        <f>IF(ISNA((AW72*AW71)),0,IF((AT71=FALSE),IF((AT72=FALSE),IF(ISNA(AW72),0,IF((AW71&lt;AY$44),IF((AW72&lt;AY$44),(((AZ72^2)+((AW72-AW71)^2))^0.5),(((AZ72^2)+((AY$44-AW71)^2))^0.5)),IF((AW72&lt;AY$44),(((AZ72^2)+((AY$44-AW72)^2))^0.5),0))),0),0))</f>
        <v>0</v>
      </c>
      <c s="588" r="BC72">
        <f>IF(ISNUMBER((AW72*AW71)),IF((AW71&gt;=AI$148),IF((AW72&lt;AI$148),1,0),IF((AW72&gt;=AI$148),IF((AW71&lt;AI$148),1,0),0)),0)</f>
        <v>0</v>
      </c>
      <c s="588" r="BD72">
        <f>IF(ISNA((AW72*AW71)),0,(IF((AV72&lt;AV71),-1,1)*(IF(ISNA(AW72),0,IF((AW71&lt;AI$148),IF((AW72&lt;AI$148),(((AV72-AV71)^2)^0.5),(((((AI$148-AW71)*(AV72-AV71))/(AW72-AW71))^2)^0.5)),IF((AW72&lt;AI$148),(((((AI$148-AW72)*(AV72-AV71))/(AW71-AW72))^2)^0.5),0))))))</f>
        <v>0</v>
      </c>
      <c s="441" r="BE72">
        <f>IF((BA72&gt;0),(MAX(BE$47:BE71)+1),0)</f>
        <v>0</v>
      </c>
      <c s="388" r="BF72"/>
      <c s="406" r="BG72"/>
      <c s="905" r="BH72"/>
      <c s="225" r="BI72"/>
      <c s="225" r="BJ72"/>
      <c s="896" r="BK72"/>
      <c s="734" r="BL72"/>
      <c s="550" r="BM72"/>
      <c s="550" r="BN72"/>
      <c t="str" s="620" r="BO72">
        <f>IF((COUNT(BN72:BN$146,BP72:BP$146)=0),NA(),IF(ISBLANK(BN72),BO71,(BO71+(BN72-BP71))))</f>
        <v>#N/A:explicit</v>
      </c>
      <c s="550" r="BP72"/>
      <c t="str" s="620" r="BQ72">
        <f>IF(OR(ISBLANK(BP72),ISNUMBER(BN73)),NA(),(BO72-BP72))</f>
        <v>#N/A:explicit</v>
      </c>
      <c t="b" s="895" r="BR72">
        <v>0</v>
      </c>
      <c s="631" r="BS72"/>
      <c t="str" s="309" r="BT72">
        <f>IF((COUNT(BM72:BM$146)=0),NA(),IF(ISBLANK(BM72),IF(ISBLANK(BM71),MAX(BM$46:BM72),BM71),BM72))</f>
        <v>#N/A:explicit</v>
      </c>
      <c t="str" s="861" r="BU72">
        <f>IF(ISNA(BQ72),IF(ISNUMBER(BT72),BU71,NA()),BQ72)</f>
        <v>#N/A:explicit</v>
      </c>
      <c s="861" r="BV72">
        <f>IF(ISNUMBER(BU72),BU72,(BO$46+1000))</f>
        <v>1000</v>
      </c>
      <c t="str" s="588" r="BW72">
        <f>IF((BR72=TRUE),NA(),IF((BW$44=(BO$46-MAX(BP$46:BP$146))),NA(),BW$44))</f>
        <v>#N/A:explicit</v>
      </c>
      <c s="588" r="BX72">
        <f>IF((ISNA(((BU72*BT72)*BU71))),0,(IF((BT72&lt;BT71),-1,1)*(IF((BR71=FALSE),IF((BR72=FALSE),IF(ISNA(BU72),0,IF((BU71&lt;BW$44),IF((BU72&lt;BW$44),(((BT72-BT71)^2)^0.5),(((((BW$44-BU71)*(BT72-BT71))/(BU72-BU71))^2)^0.5)),IF((BU72&lt;BW$44),(((((BW$44-BU72)*(BT72-BT71))/(BU71-BU72))^2)^0.5),0))),0),0))))</f>
        <v>0</v>
      </c>
      <c s="588" r="BY72">
        <f>IF(ISNA((BU72*BU71)),0,IF((BR71=FALSE),IF((BR72=FALSE),IF(ISNA(BQ72),0,IF((BU71&lt;BW$44),IF((BU72&lt;BW$44),((BW$44-((BU71+BU72)*0.5))*BX72),(((BW$44-BU71)*0.5)*BX72)),IF((BU72&lt;BW$44),(((BW$44-BU72)*0.5)*BX72),0))),0),0))</f>
        <v>0</v>
      </c>
      <c s="588" r="BZ72">
        <f>IF(ISNA((BU72*BU71)),0,IF((BR71=FALSE),IF((BR72=FALSE),IF(ISNA(BU72),0,IF((BU71&lt;BW$44),IF((BU72&lt;BW$44),(((BX72^2)+((BU72-BU71)^2))^0.5),(((BX72^2)+((BW$44-BU71)^2))^0.5)),IF((BU72&lt;BW$44),(((BX72^2)+((BW$44-BU72)^2))^0.5),0))),0),0))</f>
        <v>0</v>
      </c>
      <c s="588" r="CA72">
        <f>IF(ISNUMBER((BU72*BU71)),IF((BU71&gt;=BG$148),IF((BU72&lt;BG$148),1,0),IF((BU72&gt;=BG$148),IF((BU71&lt;BG$148),1,0),0)),0)</f>
        <v>0</v>
      </c>
      <c s="588" r="CB72">
        <f>IF(ISNA((BU72*BU71)),0,(IF((BT72&lt;BT71),-1,1)*(IF(ISNA(BU72),0,IF((BU71&lt;BG$148),IF((BU72&lt;BG$148),(((BT72-BT71)^2)^0.5),(((((BG$148-BU71)*(BT72-BT71))/(BU72-BU71))^2)^0.5)),IF((BU72&lt;BG$148),(((((BG$148-BU72)*(BT72-BT71))/(BU71-BU72))^2)^0.5),0))))))</f>
        <v>0</v>
      </c>
      <c s="441" r="CC72">
        <f>IF((BY72&gt;0),(MAX(CC$47:CC71)+1),0)</f>
        <v>0</v>
      </c>
      <c s="388" r="CD72"/>
      <c s="406" r="CE72"/>
      <c s="905" r="CF72"/>
      <c s="225" r="CG72"/>
      <c s="225" r="CH72"/>
      <c s="896" r="CI72"/>
      <c s="734" r="CJ72"/>
      <c s="550" r="CK72"/>
      <c s="550" r="CL72"/>
      <c t="str" s="620" r="CM72">
        <f>IF((COUNT(CL72:CL$146,CN72:CN$146)=0),NA(),IF(ISBLANK(CL72),CM71,(CM71+(CL72-CN71))))</f>
        <v>#N/A:explicit</v>
      </c>
      <c s="550" r="CN72"/>
      <c t="str" s="620" r="CO72">
        <f>IF(OR(ISBLANK(CN72),ISNUMBER(CL73)),NA(),(CM72-CN72))</f>
        <v>#N/A:explicit</v>
      </c>
      <c t="b" s="895" r="CP72">
        <v>0</v>
      </c>
      <c s="631" r="CQ72"/>
      <c t="str" s="309" r="CR72">
        <f>IF((COUNT(CK72:CK$146)=0),NA(),IF(ISBLANK(CK72),IF(ISBLANK(CK71),MAX(CK$46:CK72),CK71),CK72))</f>
        <v>#N/A:explicit</v>
      </c>
      <c t="str" s="861" r="CS72">
        <f>IF(ISNA(CO72),IF(ISNUMBER(CR72),CS71,NA()),CO72)</f>
        <v>#N/A:explicit</v>
      </c>
      <c s="861" r="CT72">
        <f>IF(ISNUMBER(CS72),CS72,(CM$46+1000))</f>
        <v>1000</v>
      </c>
      <c t="str" s="588" r="CU72">
        <f>IF((CP72=TRUE),NA(),IF((CU$44=(CM$46-MAX(CN$46:CN$146))),NA(),CU$44))</f>
        <v>#N/A:explicit</v>
      </c>
      <c s="588" r="CV72">
        <f>IF((ISNA(((CS72*CR72)*CS71))),0,(IF((CR72&lt;CR71),-1,1)*(IF((CP71=FALSE),IF((CP72=FALSE),IF(ISNA(CS72),0,IF((CS71&lt;CU$44),IF((CS72&lt;CU$44),(((CR72-CR71)^2)^0.5),(((((CU$44-CS71)*(CR72-CR71))/(CS72-CS71))^2)^0.5)),IF((CS72&lt;CU$44),(((((CU$44-CS72)*(CR72-CR71))/(CS71-CS72))^2)^0.5),0))),0),0))))</f>
        <v>0</v>
      </c>
      <c s="588" r="CW72">
        <f>IF(ISNA((CS72*CS71)),0,IF((CP71=FALSE),IF((CP72=FALSE),IF(ISNA(CO72),0,IF((CS71&lt;CU$44),IF((CS72&lt;CU$44),((CU$44-((CS71+CS72)*0.5))*CV72),(((CU$44-CS71)*0.5)*CV72)),IF((CS72&lt;CU$44),(((CU$44-CS72)*0.5)*CV72),0))),0),0))</f>
        <v>0</v>
      </c>
      <c s="588" r="CX72">
        <f>IF(ISNA((CS72*CS71)),0,IF((CP71=FALSE),IF((CP72=FALSE),IF(ISNA(CS72),0,IF((CS71&lt;CU$44),IF((CS72&lt;CU$44),(((CV72^2)+((CS72-CS71)^2))^0.5),(((CV72^2)+((CU$44-CS71)^2))^0.5)),IF((CS72&lt;CU$44),(((CV72^2)+((CU$44-CS72)^2))^0.5),0))),0),0))</f>
        <v>0</v>
      </c>
      <c s="588" r="CY72">
        <f>IF(ISNUMBER((CS72*CS71)),IF((CS71&gt;=CE$148),IF((CS72&lt;CE$148),1,0),IF((CS72&gt;=CE$148),IF((CS71&lt;CE$148),1,0),0)),0)</f>
        <v>0</v>
      </c>
      <c s="588" r="CZ72">
        <f>IF(ISNA((CS72*CS71)),0,(IF((CR72&lt;CR71),-1,1)*(IF(ISNA(CS72),0,IF((CS71&lt;CE$148),IF((CS72&lt;CE$148),(((CR72-CR71)^2)^0.5),(((((CE$148-CS71)*(CR72-CR71))/(CS72-CS71))^2)^0.5)),IF((CS72&lt;CE$148),(((((CE$148-CS72)*(CR72-CR71))/(CS71-CS72))^2)^0.5),0))))))</f>
        <v>0</v>
      </c>
      <c s="441" r="DA72">
        <f>IF((CW72&gt;0),(MAX(DA$47:DA71)+1),0)</f>
        <v>0</v>
      </c>
      <c s="388" r="DB72"/>
      <c s="406" r="DC72"/>
      <c s="905" r="DD72"/>
      <c s="225" r="DE72"/>
      <c s="225" r="DF72"/>
      <c s="896" r="DG72"/>
      <c s="734" r="DH72"/>
      <c s="550" r="DI72"/>
      <c s="550" r="DJ72"/>
      <c t="str" s="620" r="DK72">
        <f>IF((COUNT(DJ72:DJ$146,DL72:DL$146)=0),NA(),IF(ISBLANK(DJ72),DK71,(DK71+(DJ72-DL71))))</f>
        <v>#N/A:explicit</v>
      </c>
      <c s="550" r="DL72"/>
      <c t="str" s="620" r="DM72">
        <f>IF(OR(ISBLANK(DL72),ISNUMBER(DJ73)),NA(),(DK72-DL72))</f>
        <v>#N/A:explicit</v>
      </c>
      <c t="b" s="895" r="DN72">
        <v>0</v>
      </c>
      <c s="631" r="DO72"/>
      <c t="str" s="309" r="DP72">
        <f>IF((COUNT(DI72:DI$146)=0),NA(),IF(ISBLANK(DI72),IF(ISBLANK(DI71),MAX(DI$46:DI72),DI71),DI72))</f>
        <v>#N/A:explicit</v>
      </c>
      <c t="str" s="861" r="DQ72">
        <f>IF(ISNA(DM72),IF(ISNUMBER(DP72),DQ71,NA()),DM72)</f>
        <v>#N/A:explicit</v>
      </c>
      <c s="861" r="DR72">
        <f>IF(ISNUMBER(DQ72),DQ72,(DK$46+1000))</f>
        <v>1000</v>
      </c>
      <c t="str" s="588" r="DS72">
        <f>IF((DN72=TRUE),NA(),IF((DS$44=(DK$46-MAX(DL$46:DL$146))),NA(),DS$44))</f>
        <v>#N/A:explicit</v>
      </c>
      <c s="588" r="DT72">
        <f>IF((ISNA(((DQ72*DP72)*DQ71))),0,(IF((DP72&lt;DP71),-1,1)*(IF((DN71=FALSE),IF((DN72=FALSE),IF(ISNA(DQ72),0,IF((DQ71&lt;DS$44),IF((DQ72&lt;DS$44),(((DP72-DP71)^2)^0.5),(((((DS$44-DQ71)*(DP72-DP71))/(DQ72-DQ71))^2)^0.5)),IF((DQ72&lt;DS$44),(((((DS$44-DQ72)*(DP72-DP71))/(DQ71-DQ72))^2)^0.5),0))),0),0))))</f>
        <v>0</v>
      </c>
      <c s="588" r="DU72">
        <f>IF(ISNA((DQ72*DQ71)),0,IF((DN71=FALSE),IF((DN72=FALSE),IF(ISNA(DM72),0,IF((DQ71&lt;DS$44),IF((DQ72&lt;DS$44),((DS$44-((DQ71+DQ72)*0.5))*DT72),(((DS$44-DQ71)*0.5)*DT72)),IF((DQ72&lt;DS$44),(((DS$44-DQ72)*0.5)*DT72),0))),0),0))</f>
        <v>0</v>
      </c>
      <c s="588" r="DV72">
        <f>IF(ISNA((DQ72*DQ71)),0,IF((DN71=FALSE),IF((DN72=FALSE),IF(ISNA(DQ72),0,IF((DQ71&lt;DS$44),IF((DQ72&lt;DS$44),(((DT72^2)+((DQ72-DQ71)^2))^0.5),(((DT72^2)+((DS$44-DQ71)^2))^0.5)),IF((DQ72&lt;DS$44),(((DT72^2)+((DS$44-DQ72)^2))^0.5),0))),0),0))</f>
        <v>0</v>
      </c>
      <c s="588" r="DW72">
        <f>IF(ISNUMBER((DQ72*DQ71)),IF((DQ71&gt;=DC$148),IF((DQ72&lt;DC$148),1,0),IF((DQ72&gt;=DC$148),IF((DQ71&lt;DC$148),1,0),0)),0)</f>
        <v>0</v>
      </c>
      <c s="588" r="DX72">
        <f>IF(ISNA((DQ72*DQ71)),0,(IF((DP72&lt;DP71),-1,1)*(IF(ISNA(DQ72),0,IF((DQ71&lt;DC$148),IF((DQ72&lt;DC$148),(((DP72-DP71)^2)^0.5),(((((DC$148-DQ71)*(DP72-DP71))/(DQ72-DQ71))^2)^0.5)),IF((DQ72&lt;DC$148),(((((DC$148-DQ72)*(DP72-DP71))/(DQ71-DQ72))^2)^0.5),0))))))</f>
        <v>0</v>
      </c>
      <c s="441" r="DY72">
        <f>IF((DU72&gt;0),(MAX(DY$47:DY71)+1),0)</f>
        <v>0</v>
      </c>
      <c s="388" r="DZ72"/>
      <c s="406" r="EA72"/>
      <c s="905" r="EB72"/>
      <c s="225" r="EC72"/>
      <c s="225" r="ED72"/>
      <c s="896" r="EE72"/>
      <c s="734" r="EF72"/>
      <c s="550" r="EG72"/>
      <c s="550" r="EH72"/>
      <c t="str" s="620" r="EI72">
        <f>IF((COUNT(EH72:EH$146,EJ72:EJ$146)=0),NA(),IF(ISBLANK(EH72),EI71,(EI71+(EH72-EJ71))))</f>
        <v>#N/A:explicit</v>
      </c>
      <c s="550" r="EJ72"/>
      <c t="str" s="620" r="EK72">
        <f>IF(OR(ISBLANK(EJ72),ISNUMBER(EH73)),NA(),(EI72-EJ72))</f>
        <v>#N/A:explicit</v>
      </c>
      <c t="b" s="895" r="EL72">
        <v>0</v>
      </c>
      <c s="631" r="EM72"/>
      <c t="str" s="309" r="EN72">
        <f>IF((COUNT(EG72:EG$146)=0),NA(),IF(ISBLANK(EG72),IF(ISBLANK(EG71),MAX(EG$46:EG72),EG71),EG72))</f>
        <v>#N/A:explicit</v>
      </c>
      <c t="str" s="861" r="EO72">
        <f>IF(ISNA(EK72),IF(ISNUMBER(EN72),EO71,NA()),EK72)</f>
        <v>#N/A:explicit</v>
      </c>
      <c s="861" r="EP72">
        <f>IF(ISNUMBER(EO72),EO72,(EI$46+1000))</f>
        <v>1000</v>
      </c>
      <c t="str" s="588" r="EQ72">
        <f>IF((EL72=TRUE),NA(),IF((EQ$44=(EI$46-MAX(EJ$46:EJ$146))),NA(),EQ$44))</f>
        <v>#N/A:explicit</v>
      </c>
      <c s="588" r="ER72">
        <f>IF((ISNA(((EO72*EN72)*EO71))),0,(IF((EN72&lt;EN71),-1,1)*(IF((EL71=FALSE),IF((EL72=FALSE),IF(ISNA(EO72),0,IF((EO71&lt;EQ$44),IF((EO72&lt;EQ$44),(((EN72-EN71)^2)^0.5),(((((EQ$44-EO71)*(EN72-EN71))/(EO72-EO71))^2)^0.5)),IF((EO72&lt;EQ$44),(((((EQ$44-EO72)*(EN72-EN71))/(EO71-EO72))^2)^0.5),0))),0),0))))</f>
        <v>0</v>
      </c>
      <c s="588" r="ES72">
        <f>IF(ISNA((EO72*EO71)),0,IF((EL71=FALSE),IF((EL72=FALSE),IF(ISNA(EK72),0,IF((EO71&lt;EQ$44),IF((EO72&lt;EQ$44),((EQ$44-((EO71+EO72)*0.5))*ER72),(((EQ$44-EO71)*0.5)*ER72)),IF((EO72&lt;EQ$44),(((EQ$44-EO72)*0.5)*ER72),0))),0),0))</f>
        <v>0</v>
      </c>
      <c s="588" r="ET72">
        <f>IF(ISNA((EO72*EO71)),0,IF((EL71=FALSE),IF((EL72=FALSE),IF(ISNA(EO72),0,IF((EO71&lt;EQ$44),IF((EO72&lt;EQ$44),(((ER72^2)+((EO72-EO71)^2))^0.5),(((ER72^2)+((EQ$44-EO71)^2))^0.5)),IF((EO72&lt;EQ$44),(((ER72^2)+((EQ$44-EO72)^2))^0.5),0))),0),0))</f>
        <v>0</v>
      </c>
      <c s="588" r="EU72">
        <f>IF(ISNUMBER((EO72*EO71)),IF((EO71&gt;=EA$148),IF((EO72&lt;EA$148),1,0),IF((EO72&gt;=EA$148),IF((EO71&lt;EA$148),1,0),0)),0)</f>
        <v>0</v>
      </c>
      <c s="588" r="EV72">
        <f>IF(ISNA((EO72*EO71)),0,(IF((EN72&lt;EN71),-1,1)*(IF(ISNA(EO72),0,IF((EO71&lt;EA$148),IF((EO72&lt;EA$148),(((EN72-EN71)^2)^0.5),(((((EA$148-EO71)*(EN72-EN71))/(EO72-EO71))^2)^0.5)),IF((EO72&lt;EA$148),(((((EA$148-EO72)*(EN72-EN71))/(EO71-EO72))^2)^0.5),0))))))</f>
        <v>0</v>
      </c>
      <c s="441" r="EW72">
        <f>IF((ES72&gt;0),(MAX(EW$47:EW71)+1),0)</f>
        <v>0</v>
      </c>
      <c s="388" r="EX72"/>
      <c s="406" r="EY72"/>
      <c s="905" r="EZ72"/>
      <c s="225" r="FA72"/>
      <c s="225" r="FB72"/>
      <c s="896" r="FC72"/>
      <c s="734" r="FD72"/>
      <c s="550" r="FE72"/>
      <c s="550" r="FF72"/>
      <c t="str" s="620" r="FG72">
        <f>IF((COUNT(FF72:FF$146,FH72:FH$146)=0),NA(),IF(ISBLANK(FF72),FG71,(FG71+(FF72-FH71))))</f>
        <v>#N/A:explicit</v>
      </c>
      <c s="550" r="FH72"/>
      <c t="str" s="620" r="FI72">
        <f>IF(OR(ISBLANK(FH72),ISNUMBER(FF73)),NA(),(FG72-FH72))</f>
        <v>#N/A:explicit</v>
      </c>
      <c t="b" s="895" r="FJ72">
        <v>0</v>
      </c>
      <c s="631" r="FK72"/>
      <c t="str" s="309" r="FL72">
        <f>IF((COUNT(FE72:FE$146)=0),NA(),IF(ISBLANK(FE72),IF(ISBLANK(FE71),MAX(FE$46:FE72),FE71),FE72))</f>
        <v>#N/A:explicit</v>
      </c>
      <c t="str" s="861" r="FM72">
        <f>IF(ISNA(FI72),IF(ISNUMBER(FL72),FM71,NA()),FI72)</f>
        <v>#N/A:explicit</v>
      </c>
      <c s="861" r="FN72">
        <f>IF(ISNUMBER(FM72),FM72,(FG$46+1000))</f>
        <v>1000</v>
      </c>
      <c t="str" s="588" r="FO72">
        <f>IF((FJ72=TRUE),NA(),IF((FO$44=(FG$46-MAX(FH$46:FH$146))),NA(),FO$44))</f>
        <v>#N/A:explicit</v>
      </c>
      <c s="588" r="FP72">
        <f>IF((ISNA(((FM72*FL72)*FM71))),0,(IF((FL72&lt;FL71),-1,1)*(IF((FJ71=FALSE),IF((FJ72=FALSE),IF(ISNA(FM72),0,IF((FM71&lt;FO$44),IF((FM72&lt;FO$44),(((FL72-FL71)^2)^0.5),(((((FO$44-FM71)*(FL72-FL71))/(FM72-FM71))^2)^0.5)),IF((FM72&lt;FO$44),(((((FO$44-FM72)*(FL72-FL71))/(FM71-FM72))^2)^0.5),0))),0),0))))</f>
        <v>0</v>
      </c>
      <c s="588" r="FQ72">
        <f>IF(ISNA((FM72*FM71)),0,IF((FJ71=FALSE),IF((FJ72=FALSE),IF(ISNA(FI72),0,IF((FM71&lt;FO$44),IF((FM72&lt;FO$44),((FO$44-((FM71+FM72)*0.5))*FP72),(((FO$44-FM71)*0.5)*FP72)),IF((FM72&lt;FO$44),(((FO$44-FM72)*0.5)*FP72),0))),0),0))</f>
        <v>0</v>
      </c>
      <c s="588" r="FR72">
        <f>IF(ISNA((FM72*FM71)),0,IF((FJ71=FALSE),IF((FJ72=FALSE),IF(ISNA(FM72),0,IF((FM71&lt;FO$44),IF((FM72&lt;FO$44),(((FP72^2)+((FM72-FM71)^2))^0.5),(((FP72^2)+((FO$44-FM71)^2))^0.5)),IF((FM72&lt;FO$44),(((FP72^2)+((FO$44-FM72)^2))^0.5),0))),0),0))</f>
        <v>0</v>
      </c>
      <c s="588" r="FS72">
        <f>IF(ISNUMBER((FM72*FM71)),IF((FM71&gt;=EY$148),IF((FM72&lt;EY$148),1,0),IF((FM72&gt;=EY$148),IF((FM71&lt;EY$148),1,0),0)),0)</f>
        <v>0</v>
      </c>
      <c s="588" r="FT72">
        <f>IF(ISNA((FM72*FM71)),0,(IF((FL72&lt;FL71),-1,1)*(IF(ISNA(FM72),0,IF((FM71&lt;EY$148),IF((FM72&lt;EY$148),(((FL72-FL71)^2)^0.5),(((((EY$148-FM71)*(FL72-FL71))/(FM72-FM71))^2)^0.5)),IF((FM72&lt;EY$148),(((((EY$148-FM72)*(FL72-FL71))/(FM71-FM72))^2)^0.5),0))))))</f>
        <v>0</v>
      </c>
      <c s="441" r="FU72">
        <f>IF((FQ72&gt;0),(MAX(FU$47:FU71)+1),0)</f>
        <v>0</v>
      </c>
      <c s="222" r="FV72"/>
      <c s="125" r="FW72"/>
      <c s="125" r="FX72"/>
      <c s="125" r="FY72"/>
      <c s="125" r="FZ72"/>
      <c s="125" r="GA72"/>
      <c s="125" r="GB72"/>
      <c s="125" r="GC72"/>
      <c s="125" r="GD72"/>
      <c s="125" r="GE72"/>
      <c s="125" r="GF72"/>
      <c s="125" r="GG72"/>
      <c s="125" r="GH72"/>
      <c s="125" r="GI72"/>
      <c s="125" r="GJ72"/>
      <c s="125" r="GK72"/>
      <c s="125" r="GL72"/>
      <c s="125" r="GM72"/>
      <c s="125" r="GN72"/>
      <c s="125" r="GO72"/>
      <c s="125" r="GP72"/>
      <c s="125" r="GQ72"/>
      <c s="125" r="GR72"/>
      <c s="125" r="GS72"/>
      <c s="125" r="GT72"/>
      <c s="125" r="GU72"/>
      <c s="125" r="GV72"/>
      <c s="125" r="GW72"/>
      <c s="125" r="GX72"/>
      <c s="125" r="GY72"/>
      <c s="125" r="GZ72"/>
      <c s="125" r="HA72"/>
      <c s="125" r="HB72"/>
    </row>
    <row customHeight="1" r="73" ht="13.5">
      <c s="822" r="A73"/>
      <c s="738" r="B73"/>
      <c t="s" s="94" r="C73">
        <v>13</v>
      </c>
      <c t="str" s="10" r="D73">
        <f>Summary!$N$6</f>
        <v>---</v>
      </c>
      <c s="664" r="E73"/>
      <c s="664" r="F73"/>
      <c s="664" r="G73"/>
      <c s="726" r="H73"/>
      <c t="s" s="51" r="I73">
        <v>2</v>
      </c>
      <c s="822" r="J73"/>
      <c s="406" r="K73"/>
      <c s="756" r="L73"/>
      <c s="756" r="M73"/>
      <c s="756" r="N73"/>
      <c s="756" r="O73"/>
      <c t="s" s="418" r="P73">
        <v>2</v>
      </c>
      <c s="550" r="Q73"/>
      <c s="550" r="R73"/>
      <c t="str" s="620" r="S73">
        <f>IF((COUNT(R73:R$146,T73:T$146)=0),NA(),IF(ISBLANK(R73),S72,(S72+(R73-T72))))</f>
        <v>#N/A:explicit</v>
      </c>
      <c s="550" r="T73"/>
      <c t="str" s="620" r="U73">
        <f>IF(OR(ISBLANK(T73),ISNUMBER(R74)),NA(),(S73-T73))</f>
        <v>#N/A:explicit</v>
      </c>
      <c t="b" s="895" r="V73">
        <v>0</v>
      </c>
      <c s="631" r="W73"/>
      <c t="str" s="309" r="X73">
        <f>IF((COUNT(Q73:Q$146)=0),NA(),IF(ISBLANK(Q73),IF(ISBLANK(Q72),MAX(Q$46:Q73),Q72),Q73))</f>
        <v>#N/A:explicit</v>
      </c>
      <c t="str" s="861" r="Y73">
        <f>IF(ISNA(U73),IF(ISNUMBER(X73),Y72,NA()),U73)</f>
        <v>#N/A:explicit</v>
      </c>
      <c s="861" r="Z73">
        <f>IF(ISNUMBER(Y73),Y73,(S$46+1000))</f>
        <v>1000</v>
      </c>
      <c t="str" s="588" r="AA73">
        <f>IF((V73=TRUE),NA(),IF((AA$44=(S$46-MAX(T$46:T$146))),NA(),AA$44))</f>
        <v>#N/A:explicit</v>
      </c>
      <c s="588" r="AB73">
        <f>IF((ISNA(((Y73*X73)*Y72))),0,(IF((X73&lt;X72),-1,1)*(IF((V72=FALSE),IF((V73=FALSE),IF(ISNA(Y73),0,IF((Y72&lt;AA$44),IF((Y73&lt;AA$44),(((X73-X72)^2)^0.5),(((((AA$44-Y72)*(X73-X72))/(Y73-Y72))^2)^0.5)),IF((Y73&lt;AA$44),(((((AA$44-Y73)*(X73-X72))/(Y72-Y73))^2)^0.5),0))),0),0))))</f>
        <v>0</v>
      </c>
      <c s="588" r="AC73">
        <f>IF(ISNA((Y73*Y72)),0,IF((V72=FALSE),IF((V73=FALSE),IF(ISNA(U73),0,IF((Y72&lt;AA$44),IF((Y73&lt;AA$44),((AA$44-((Y72+Y73)*0.5))*AB73),(((AA$44-Y72)*0.5)*AB73)),IF((Y73&lt;AA$44),(((AA$44-Y73)*0.5)*AB73),0))),0),0))</f>
        <v>0</v>
      </c>
      <c s="588" r="AD73">
        <f>IF(ISNA((Y73*Y72)),0,IF((V72=FALSE),IF((V73=FALSE),IF(ISNA(Y73),0,IF((Y72&lt;AA$44),IF((Y73&lt;AA$44),(((AB73^2)+((Y73-Y72)^2))^0.5),(((AB73^2)+((AA$44-Y72)^2))^0.5)),IF((Y73&lt;AA$44),(((AB73^2)+((AA$44-Y73)^2))^0.5),0))),0),0))</f>
        <v>0</v>
      </c>
      <c s="588" r="AE73">
        <f>IF(ISNUMBER((Y73*Y72)),IF((Y72&gt;=K$148),IF((Y73&lt;K$148),1,0),IF((Y73&gt;=K$148),IF((Y72&lt;K$148),1,0),0)),0)</f>
        <v>0</v>
      </c>
      <c s="588" r="AF73">
        <f>IF(ISNA((Y73*Y72)),0,(IF((X73&lt;X72),-1,1)*(IF(ISNA(Y73),0,IF((Y72&lt;K$148),IF((Y73&lt;K$148),(((X73-X72)^2)^0.5),(((((K$148-Y72)*(X73-X72))/(Y73-Y72))^2)^0.5)),IF((Y73&lt;K$148),(((((K$148-Y73)*(X73-X72))/(Y72-Y73))^2)^0.5),0))))))</f>
        <v>0</v>
      </c>
      <c s="441" r="AG73">
        <f>IF((AC73&gt;0),(MAX(AG$47:AG72)+1),0)</f>
        <v>0</v>
      </c>
      <c s="388" r="AH73"/>
      <c s="406" r="AI73"/>
      <c s="756" r="AJ73"/>
      <c s="756" r="AK73"/>
      <c s="756" r="AL73"/>
      <c s="756" r="AM73"/>
      <c s="418" r="AN73"/>
      <c s="550" r="AO73"/>
      <c s="550" r="AP73"/>
      <c t="str" s="620" r="AQ73">
        <f>IF((COUNT(AP73:AP$146,AR73:AR$146)=0),NA(),IF(ISBLANK(AP73),AQ72,(AQ72+(AP73-AR72))))</f>
        <v>#N/A:explicit</v>
      </c>
      <c s="550" r="AR73"/>
      <c t="str" s="620" r="AS73">
        <f>IF(OR(ISBLANK(AR73),ISNUMBER(AP74)),NA(),(AQ73-AR73))</f>
        <v>#N/A:explicit</v>
      </c>
      <c t="b" s="895" r="AT73">
        <v>0</v>
      </c>
      <c s="631" r="AU73"/>
      <c t="str" s="309" r="AV73">
        <f>IF((COUNT(AO73:AO$146)=0),NA(),IF(ISBLANK(AO73),IF(ISBLANK(AO72),MAX(AO$46:AO73),AO72),AO73))</f>
        <v>#N/A:explicit</v>
      </c>
      <c t="str" s="861" r="AW73">
        <f>IF(ISNA(AS73),IF(ISNUMBER(AV73),AW72,NA()),AS73)</f>
        <v>#N/A:explicit</v>
      </c>
      <c s="861" r="AX73">
        <f>IF(ISNUMBER(AW73),AW73,(AQ$46+1000))</f>
        <v>1000</v>
      </c>
      <c t="str" s="588" r="AY73">
        <f>IF((AT73=TRUE),NA(),IF((AY$44=(AQ$46-MAX(AR$46:AR$146))),NA(),AY$44))</f>
        <v>#N/A:explicit</v>
      </c>
      <c s="588" r="AZ73">
        <f>IF((ISNA(((AW73*AV73)*AW72))),0,(IF((AV73&lt;AV72),-1,1)*(IF((AT72=FALSE),IF((AT73=FALSE),IF(ISNA(AW73),0,IF((AW72&lt;AY$44),IF((AW73&lt;AY$44),(((AV73-AV72)^2)^0.5),(((((AY$44-AW72)*(AV73-AV72))/(AW73-AW72))^2)^0.5)),IF((AW73&lt;AY$44),(((((AY$44-AW73)*(AV73-AV72))/(AW72-AW73))^2)^0.5),0))),0),0))))</f>
        <v>0</v>
      </c>
      <c s="588" r="BA73">
        <f>IF(ISNA((AW73*AW72)),0,IF((AT72=FALSE),IF((AT73=FALSE),IF(ISNA(AS73),0,IF((AW72&lt;AY$44),IF((AW73&lt;AY$44),((AY$44-((AW72+AW73)*0.5))*AZ73),(((AY$44-AW72)*0.5)*AZ73)),IF((AW73&lt;AY$44),(((AY$44-AW73)*0.5)*AZ73),0))),0),0))</f>
        <v>0</v>
      </c>
      <c s="588" r="BB73">
        <f>IF(ISNA((AW73*AW72)),0,IF((AT72=FALSE),IF((AT73=FALSE),IF(ISNA(AW73),0,IF((AW72&lt;AY$44),IF((AW73&lt;AY$44),(((AZ73^2)+((AW73-AW72)^2))^0.5),(((AZ73^2)+((AY$44-AW72)^2))^0.5)),IF((AW73&lt;AY$44),(((AZ73^2)+((AY$44-AW73)^2))^0.5),0))),0),0))</f>
        <v>0</v>
      </c>
      <c s="588" r="BC73">
        <f>IF(ISNUMBER((AW73*AW72)),IF((AW72&gt;=AI$148),IF((AW73&lt;AI$148),1,0),IF((AW73&gt;=AI$148),IF((AW72&lt;AI$148),1,0),0)),0)</f>
        <v>0</v>
      </c>
      <c s="588" r="BD73">
        <f>IF(ISNA((AW73*AW72)),0,(IF((AV73&lt;AV72),-1,1)*(IF(ISNA(AW73),0,IF((AW72&lt;AI$148),IF((AW73&lt;AI$148),(((AV73-AV72)^2)^0.5),(((((AI$148-AW72)*(AV73-AV72))/(AW73-AW72))^2)^0.5)),IF((AW73&lt;AI$148),(((((AI$148-AW73)*(AV73-AV72))/(AW72-AW73))^2)^0.5),0))))))</f>
        <v>0</v>
      </c>
      <c s="441" r="BE73">
        <f>IF((BA73&gt;0),(MAX(BE$47:BE72)+1),0)</f>
        <v>0</v>
      </c>
      <c s="388" r="BF73"/>
      <c s="406" r="BG73"/>
      <c s="756" r="BH73"/>
      <c s="756" r="BI73"/>
      <c s="756" r="BJ73"/>
      <c s="756" r="BK73"/>
      <c s="418" r="BL73"/>
      <c s="550" r="BM73"/>
      <c s="550" r="BN73"/>
      <c t="str" s="620" r="BO73">
        <f>IF((COUNT(BN73:BN$146,BP73:BP$146)=0),NA(),IF(ISBLANK(BN73),BO72,(BO72+(BN73-BP72))))</f>
        <v>#N/A:explicit</v>
      </c>
      <c s="550" r="BP73"/>
      <c t="str" s="620" r="BQ73">
        <f>IF(OR(ISBLANK(BP73),ISNUMBER(BN74)),NA(),(BO73-BP73))</f>
        <v>#N/A:explicit</v>
      </c>
      <c t="b" s="895" r="BR73">
        <v>0</v>
      </c>
      <c s="631" r="BS73"/>
      <c t="str" s="309" r="BT73">
        <f>IF((COUNT(BM73:BM$146)=0),NA(),IF(ISBLANK(BM73),IF(ISBLANK(BM72),MAX(BM$46:BM73),BM72),BM73))</f>
        <v>#N/A:explicit</v>
      </c>
      <c t="str" s="861" r="BU73">
        <f>IF(ISNA(BQ73),IF(ISNUMBER(BT73),BU72,NA()),BQ73)</f>
        <v>#N/A:explicit</v>
      </c>
      <c s="861" r="BV73">
        <f>IF(ISNUMBER(BU73),BU73,(BO$46+1000))</f>
        <v>1000</v>
      </c>
      <c t="str" s="588" r="BW73">
        <f>IF((BR73=TRUE),NA(),IF((BW$44=(BO$46-MAX(BP$46:BP$146))),NA(),BW$44))</f>
        <v>#N/A:explicit</v>
      </c>
      <c s="588" r="BX73">
        <f>IF((ISNA(((BU73*BT73)*BU72))),0,(IF((BT73&lt;BT72),-1,1)*(IF((BR72=FALSE),IF((BR73=FALSE),IF(ISNA(BU73),0,IF((BU72&lt;BW$44),IF((BU73&lt;BW$44),(((BT73-BT72)^2)^0.5),(((((BW$44-BU72)*(BT73-BT72))/(BU73-BU72))^2)^0.5)),IF((BU73&lt;BW$44),(((((BW$44-BU73)*(BT73-BT72))/(BU72-BU73))^2)^0.5),0))),0),0))))</f>
        <v>0</v>
      </c>
      <c s="588" r="BY73">
        <f>IF(ISNA((BU73*BU72)),0,IF((BR72=FALSE),IF((BR73=FALSE),IF(ISNA(BQ73),0,IF((BU72&lt;BW$44),IF((BU73&lt;BW$44),((BW$44-((BU72+BU73)*0.5))*BX73),(((BW$44-BU72)*0.5)*BX73)),IF((BU73&lt;BW$44),(((BW$44-BU73)*0.5)*BX73),0))),0),0))</f>
        <v>0</v>
      </c>
      <c s="588" r="BZ73">
        <f>IF(ISNA((BU73*BU72)),0,IF((BR72=FALSE),IF((BR73=FALSE),IF(ISNA(BU73),0,IF((BU72&lt;BW$44),IF((BU73&lt;BW$44),(((BX73^2)+((BU73-BU72)^2))^0.5),(((BX73^2)+((BW$44-BU72)^2))^0.5)),IF((BU73&lt;BW$44),(((BX73^2)+((BW$44-BU73)^2))^0.5),0))),0),0))</f>
        <v>0</v>
      </c>
      <c s="588" r="CA73">
        <f>IF(ISNUMBER((BU73*BU72)),IF((BU72&gt;=BG$148),IF((BU73&lt;BG$148),1,0),IF((BU73&gt;=BG$148),IF((BU72&lt;BG$148),1,0),0)),0)</f>
        <v>0</v>
      </c>
      <c s="588" r="CB73">
        <f>IF(ISNA((BU73*BU72)),0,(IF((BT73&lt;BT72),-1,1)*(IF(ISNA(BU73),0,IF((BU72&lt;BG$148),IF((BU73&lt;BG$148),(((BT73-BT72)^2)^0.5),(((((BG$148-BU72)*(BT73-BT72))/(BU73-BU72))^2)^0.5)),IF((BU73&lt;BG$148),(((((BG$148-BU73)*(BT73-BT72))/(BU72-BU73))^2)^0.5),0))))))</f>
        <v>0</v>
      </c>
      <c s="441" r="CC73">
        <f>IF((BY73&gt;0),(MAX(CC$47:CC72)+1),0)</f>
        <v>0</v>
      </c>
      <c s="388" r="CD73"/>
      <c s="406" r="CE73"/>
      <c s="756" r="CF73"/>
      <c s="756" r="CG73"/>
      <c s="756" r="CH73"/>
      <c s="756" r="CI73"/>
      <c s="418" r="CJ73"/>
      <c s="550" r="CK73"/>
      <c s="550" r="CL73"/>
      <c t="str" s="620" r="CM73">
        <f>IF((COUNT(CL73:CL$146,CN73:CN$146)=0),NA(),IF(ISBLANK(CL73),CM72,(CM72+(CL73-CN72))))</f>
        <v>#N/A:explicit</v>
      </c>
      <c s="550" r="CN73"/>
      <c t="str" s="620" r="CO73">
        <f>IF(OR(ISBLANK(CN73),ISNUMBER(CL74)),NA(),(CM73-CN73))</f>
        <v>#N/A:explicit</v>
      </c>
      <c t="b" s="895" r="CP73">
        <v>0</v>
      </c>
      <c s="631" r="CQ73"/>
      <c t="str" s="309" r="CR73">
        <f>IF((COUNT(CK73:CK$146)=0),NA(),IF(ISBLANK(CK73),IF(ISBLANK(CK72),MAX(CK$46:CK73),CK72),CK73))</f>
        <v>#N/A:explicit</v>
      </c>
      <c t="str" s="861" r="CS73">
        <f>IF(ISNA(CO73),IF(ISNUMBER(CR73),CS72,NA()),CO73)</f>
        <v>#N/A:explicit</v>
      </c>
      <c s="861" r="CT73">
        <f>IF(ISNUMBER(CS73),CS73,(CM$46+1000))</f>
        <v>1000</v>
      </c>
      <c t="str" s="588" r="CU73">
        <f>IF((CP73=TRUE),NA(),IF((CU$44=(CM$46-MAX(CN$46:CN$146))),NA(),CU$44))</f>
        <v>#N/A:explicit</v>
      </c>
      <c s="588" r="CV73">
        <f>IF((ISNA(((CS73*CR73)*CS72))),0,(IF((CR73&lt;CR72),-1,1)*(IF((CP72=FALSE),IF((CP73=FALSE),IF(ISNA(CS73),0,IF((CS72&lt;CU$44),IF((CS73&lt;CU$44),(((CR73-CR72)^2)^0.5),(((((CU$44-CS72)*(CR73-CR72))/(CS73-CS72))^2)^0.5)),IF((CS73&lt;CU$44),(((((CU$44-CS73)*(CR73-CR72))/(CS72-CS73))^2)^0.5),0))),0),0))))</f>
        <v>0</v>
      </c>
      <c s="588" r="CW73">
        <f>IF(ISNA((CS73*CS72)),0,IF((CP72=FALSE),IF((CP73=FALSE),IF(ISNA(CO73),0,IF((CS72&lt;CU$44),IF((CS73&lt;CU$44),((CU$44-((CS72+CS73)*0.5))*CV73),(((CU$44-CS72)*0.5)*CV73)),IF((CS73&lt;CU$44),(((CU$44-CS73)*0.5)*CV73),0))),0),0))</f>
        <v>0</v>
      </c>
      <c s="588" r="CX73">
        <f>IF(ISNA((CS73*CS72)),0,IF((CP72=FALSE),IF((CP73=FALSE),IF(ISNA(CS73),0,IF((CS72&lt;CU$44),IF((CS73&lt;CU$44),(((CV73^2)+((CS73-CS72)^2))^0.5),(((CV73^2)+((CU$44-CS72)^2))^0.5)),IF((CS73&lt;CU$44),(((CV73^2)+((CU$44-CS73)^2))^0.5),0))),0),0))</f>
        <v>0</v>
      </c>
      <c s="588" r="CY73">
        <f>IF(ISNUMBER((CS73*CS72)),IF((CS72&gt;=CE$148),IF((CS73&lt;CE$148),1,0),IF((CS73&gt;=CE$148),IF((CS72&lt;CE$148),1,0),0)),0)</f>
        <v>0</v>
      </c>
      <c s="588" r="CZ73">
        <f>IF(ISNA((CS73*CS72)),0,(IF((CR73&lt;CR72),-1,1)*(IF(ISNA(CS73),0,IF((CS72&lt;CE$148),IF((CS73&lt;CE$148),(((CR73-CR72)^2)^0.5),(((((CE$148-CS72)*(CR73-CR72))/(CS73-CS72))^2)^0.5)),IF((CS73&lt;CE$148),(((((CE$148-CS73)*(CR73-CR72))/(CS72-CS73))^2)^0.5),0))))))</f>
        <v>0</v>
      </c>
      <c s="441" r="DA73">
        <f>IF((CW73&gt;0),(MAX(DA$47:DA72)+1),0)</f>
        <v>0</v>
      </c>
      <c s="388" r="DB73"/>
      <c s="406" r="DC73"/>
      <c s="756" r="DD73"/>
      <c s="756" r="DE73"/>
      <c s="756" r="DF73"/>
      <c s="756" r="DG73"/>
      <c s="418" r="DH73"/>
      <c s="550" r="DI73"/>
      <c s="550" r="DJ73"/>
      <c t="str" s="620" r="DK73">
        <f>IF((COUNT(DJ73:DJ$146,DL73:DL$146)=0),NA(),IF(ISBLANK(DJ73),DK72,(DK72+(DJ73-DL72))))</f>
        <v>#N/A:explicit</v>
      </c>
      <c s="550" r="DL73"/>
      <c t="str" s="620" r="DM73">
        <f>IF(OR(ISBLANK(DL73),ISNUMBER(DJ74)),NA(),(DK73-DL73))</f>
        <v>#N/A:explicit</v>
      </c>
      <c t="b" s="895" r="DN73">
        <v>0</v>
      </c>
      <c s="631" r="DO73"/>
      <c t="str" s="309" r="DP73">
        <f>IF((COUNT(DI73:DI$146)=0),NA(),IF(ISBLANK(DI73),IF(ISBLANK(DI72),MAX(DI$46:DI73),DI72),DI73))</f>
        <v>#N/A:explicit</v>
      </c>
      <c t="str" s="861" r="DQ73">
        <f>IF(ISNA(DM73),IF(ISNUMBER(DP73),DQ72,NA()),DM73)</f>
        <v>#N/A:explicit</v>
      </c>
      <c s="861" r="DR73">
        <f>IF(ISNUMBER(DQ73),DQ73,(DK$46+1000))</f>
        <v>1000</v>
      </c>
      <c t="str" s="588" r="DS73">
        <f>IF((DN73=TRUE),NA(),IF((DS$44=(DK$46-MAX(DL$46:DL$146))),NA(),DS$44))</f>
        <v>#N/A:explicit</v>
      </c>
      <c s="588" r="DT73">
        <f>IF((ISNA(((DQ73*DP73)*DQ72))),0,(IF((DP73&lt;DP72),-1,1)*(IF((DN72=FALSE),IF((DN73=FALSE),IF(ISNA(DQ73),0,IF((DQ72&lt;DS$44),IF((DQ73&lt;DS$44),(((DP73-DP72)^2)^0.5),(((((DS$44-DQ72)*(DP73-DP72))/(DQ73-DQ72))^2)^0.5)),IF((DQ73&lt;DS$44),(((((DS$44-DQ73)*(DP73-DP72))/(DQ72-DQ73))^2)^0.5),0))),0),0))))</f>
        <v>0</v>
      </c>
      <c s="588" r="DU73">
        <f>IF(ISNA((DQ73*DQ72)),0,IF((DN72=FALSE),IF((DN73=FALSE),IF(ISNA(DM73),0,IF((DQ72&lt;DS$44),IF((DQ73&lt;DS$44),((DS$44-((DQ72+DQ73)*0.5))*DT73),(((DS$44-DQ72)*0.5)*DT73)),IF((DQ73&lt;DS$44),(((DS$44-DQ73)*0.5)*DT73),0))),0),0))</f>
        <v>0</v>
      </c>
      <c s="588" r="DV73">
        <f>IF(ISNA((DQ73*DQ72)),0,IF((DN72=FALSE),IF((DN73=FALSE),IF(ISNA(DQ73),0,IF((DQ72&lt;DS$44),IF((DQ73&lt;DS$44),(((DT73^2)+((DQ73-DQ72)^2))^0.5),(((DT73^2)+((DS$44-DQ72)^2))^0.5)),IF((DQ73&lt;DS$44),(((DT73^2)+((DS$44-DQ73)^2))^0.5),0))),0),0))</f>
        <v>0</v>
      </c>
      <c s="588" r="DW73">
        <f>IF(ISNUMBER((DQ73*DQ72)),IF((DQ72&gt;=DC$148),IF((DQ73&lt;DC$148),1,0),IF((DQ73&gt;=DC$148),IF((DQ72&lt;DC$148),1,0),0)),0)</f>
        <v>0</v>
      </c>
      <c s="588" r="DX73">
        <f>IF(ISNA((DQ73*DQ72)),0,(IF((DP73&lt;DP72),-1,1)*(IF(ISNA(DQ73),0,IF((DQ72&lt;DC$148),IF((DQ73&lt;DC$148),(((DP73-DP72)^2)^0.5),(((((DC$148-DQ72)*(DP73-DP72))/(DQ73-DQ72))^2)^0.5)),IF((DQ73&lt;DC$148),(((((DC$148-DQ73)*(DP73-DP72))/(DQ72-DQ73))^2)^0.5),0))))))</f>
        <v>0</v>
      </c>
      <c s="441" r="DY73">
        <f>IF((DU73&gt;0),(MAX(DY$47:DY72)+1),0)</f>
        <v>0</v>
      </c>
      <c s="388" r="DZ73"/>
      <c s="406" r="EA73"/>
      <c s="756" r="EB73"/>
      <c s="756" r="EC73"/>
      <c s="756" r="ED73"/>
      <c s="756" r="EE73"/>
      <c s="418" r="EF73"/>
      <c s="550" r="EG73"/>
      <c s="550" r="EH73"/>
      <c t="str" s="620" r="EI73">
        <f>IF((COUNT(EH73:EH$146,EJ73:EJ$146)=0),NA(),IF(ISBLANK(EH73),EI72,(EI72+(EH73-EJ72))))</f>
        <v>#N/A:explicit</v>
      </c>
      <c s="550" r="EJ73"/>
      <c t="str" s="620" r="EK73">
        <f>IF(OR(ISBLANK(EJ73),ISNUMBER(EH74)),NA(),(EI73-EJ73))</f>
        <v>#N/A:explicit</v>
      </c>
      <c t="b" s="895" r="EL73">
        <v>0</v>
      </c>
      <c s="631" r="EM73"/>
      <c t="str" s="309" r="EN73">
        <f>IF((COUNT(EG73:EG$146)=0),NA(),IF(ISBLANK(EG73),IF(ISBLANK(EG72),MAX(EG$46:EG73),EG72),EG73))</f>
        <v>#N/A:explicit</v>
      </c>
      <c t="str" s="861" r="EO73">
        <f>IF(ISNA(EK73),IF(ISNUMBER(EN73),EO72,NA()),EK73)</f>
        <v>#N/A:explicit</v>
      </c>
      <c s="861" r="EP73">
        <f>IF(ISNUMBER(EO73),EO73,(EI$46+1000))</f>
        <v>1000</v>
      </c>
      <c t="str" s="588" r="EQ73">
        <f>IF((EL73=TRUE),NA(),IF((EQ$44=(EI$46-MAX(EJ$46:EJ$146))),NA(),EQ$44))</f>
        <v>#N/A:explicit</v>
      </c>
      <c s="588" r="ER73">
        <f>IF((ISNA(((EO73*EN73)*EO72))),0,(IF((EN73&lt;EN72),-1,1)*(IF((EL72=FALSE),IF((EL73=FALSE),IF(ISNA(EO73),0,IF((EO72&lt;EQ$44),IF((EO73&lt;EQ$44),(((EN73-EN72)^2)^0.5),(((((EQ$44-EO72)*(EN73-EN72))/(EO73-EO72))^2)^0.5)),IF((EO73&lt;EQ$44),(((((EQ$44-EO73)*(EN73-EN72))/(EO72-EO73))^2)^0.5),0))),0),0))))</f>
        <v>0</v>
      </c>
      <c s="588" r="ES73">
        <f>IF(ISNA((EO73*EO72)),0,IF((EL72=FALSE),IF((EL73=FALSE),IF(ISNA(EK73),0,IF((EO72&lt;EQ$44),IF((EO73&lt;EQ$44),((EQ$44-((EO72+EO73)*0.5))*ER73),(((EQ$44-EO72)*0.5)*ER73)),IF((EO73&lt;EQ$44),(((EQ$44-EO73)*0.5)*ER73),0))),0),0))</f>
        <v>0</v>
      </c>
      <c s="588" r="ET73">
        <f>IF(ISNA((EO73*EO72)),0,IF((EL72=FALSE),IF((EL73=FALSE),IF(ISNA(EO73),0,IF((EO72&lt;EQ$44),IF((EO73&lt;EQ$44),(((ER73^2)+((EO73-EO72)^2))^0.5),(((ER73^2)+((EQ$44-EO72)^2))^0.5)),IF((EO73&lt;EQ$44),(((ER73^2)+((EQ$44-EO73)^2))^0.5),0))),0),0))</f>
        <v>0</v>
      </c>
      <c s="588" r="EU73">
        <f>IF(ISNUMBER((EO73*EO72)),IF((EO72&gt;=EA$148),IF((EO73&lt;EA$148),1,0),IF((EO73&gt;=EA$148),IF((EO72&lt;EA$148),1,0),0)),0)</f>
        <v>0</v>
      </c>
      <c s="588" r="EV73">
        <f>IF(ISNA((EO73*EO72)),0,(IF((EN73&lt;EN72),-1,1)*(IF(ISNA(EO73),0,IF((EO72&lt;EA$148),IF((EO73&lt;EA$148),(((EN73-EN72)^2)^0.5),(((((EA$148-EO72)*(EN73-EN72))/(EO73-EO72))^2)^0.5)),IF((EO73&lt;EA$148),(((((EA$148-EO73)*(EN73-EN72))/(EO72-EO73))^2)^0.5),0))))))</f>
        <v>0</v>
      </c>
      <c s="441" r="EW73">
        <f>IF((ES73&gt;0),(MAX(EW$47:EW72)+1),0)</f>
        <v>0</v>
      </c>
      <c s="388" r="EX73"/>
      <c s="406" r="EY73"/>
      <c s="756" r="EZ73"/>
      <c s="756" r="FA73"/>
      <c s="756" r="FB73"/>
      <c s="756" r="FC73"/>
      <c s="418" r="FD73"/>
      <c s="550" r="FE73"/>
      <c s="550" r="FF73"/>
      <c t="str" s="620" r="FG73">
        <f>IF((COUNT(FF73:FF$146,FH73:FH$146)=0),NA(),IF(ISBLANK(FF73),FG72,(FG72+(FF73-FH72))))</f>
        <v>#N/A:explicit</v>
      </c>
      <c s="550" r="FH73"/>
      <c t="str" s="620" r="FI73">
        <f>IF(OR(ISBLANK(FH73),ISNUMBER(FF74)),NA(),(FG73-FH73))</f>
        <v>#N/A:explicit</v>
      </c>
      <c t="b" s="895" r="FJ73">
        <v>0</v>
      </c>
      <c s="631" r="FK73"/>
      <c t="str" s="309" r="FL73">
        <f>IF((COUNT(FE73:FE$146)=0),NA(),IF(ISBLANK(FE73),IF(ISBLANK(FE72),MAX(FE$46:FE73),FE72),FE73))</f>
        <v>#N/A:explicit</v>
      </c>
      <c t="str" s="861" r="FM73">
        <f>IF(ISNA(FI73),IF(ISNUMBER(FL73),FM72,NA()),FI73)</f>
        <v>#N/A:explicit</v>
      </c>
      <c s="861" r="FN73">
        <f>IF(ISNUMBER(FM73),FM73,(FG$46+1000))</f>
        <v>1000</v>
      </c>
      <c t="str" s="588" r="FO73">
        <f>IF((FJ73=TRUE),NA(),IF((FO$44=(FG$46-MAX(FH$46:FH$146))),NA(),FO$44))</f>
        <v>#N/A:explicit</v>
      </c>
      <c s="588" r="FP73">
        <f>IF((ISNA(((FM73*FL73)*FM72))),0,(IF((FL73&lt;FL72),-1,1)*(IF((FJ72=FALSE),IF((FJ73=FALSE),IF(ISNA(FM73),0,IF((FM72&lt;FO$44),IF((FM73&lt;FO$44),(((FL73-FL72)^2)^0.5),(((((FO$44-FM72)*(FL73-FL72))/(FM73-FM72))^2)^0.5)),IF((FM73&lt;FO$44),(((((FO$44-FM73)*(FL73-FL72))/(FM72-FM73))^2)^0.5),0))),0),0))))</f>
        <v>0</v>
      </c>
      <c s="588" r="FQ73">
        <f>IF(ISNA((FM73*FM72)),0,IF((FJ72=FALSE),IF((FJ73=FALSE),IF(ISNA(FI73),0,IF((FM72&lt;FO$44),IF((FM73&lt;FO$44),((FO$44-((FM72+FM73)*0.5))*FP73),(((FO$44-FM72)*0.5)*FP73)),IF((FM73&lt;FO$44),(((FO$44-FM73)*0.5)*FP73),0))),0),0))</f>
        <v>0</v>
      </c>
      <c s="588" r="FR73">
        <f>IF(ISNA((FM73*FM72)),0,IF((FJ72=FALSE),IF((FJ73=FALSE),IF(ISNA(FM73),0,IF((FM72&lt;FO$44),IF((FM73&lt;FO$44),(((FP73^2)+((FM73-FM72)^2))^0.5),(((FP73^2)+((FO$44-FM72)^2))^0.5)),IF((FM73&lt;FO$44),(((FP73^2)+((FO$44-FM73)^2))^0.5),0))),0),0))</f>
        <v>0</v>
      </c>
      <c s="588" r="FS73">
        <f>IF(ISNUMBER((FM73*FM72)),IF((FM72&gt;=EY$148),IF((FM73&lt;EY$148),1,0),IF((FM73&gt;=EY$148),IF((FM72&lt;EY$148),1,0),0)),0)</f>
        <v>0</v>
      </c>
      <c s="588" r="FT73">
        <f>IF(ISNA((FM73*FM72)),0,(IF((FL73&lt;FL72),-1,1)*(IF(ISNA(FM73),0,IF((FM72&lt;EY$148),IF((FM73&lt;EY$148),(((FL73-FL72)^2)^0.5),(((((EY$148-FM72)*(FL73-FL72))/(FM73-FM72))^2)^0.5)),IF((FM73&lt;EY$148),(((((EY$148-FM73)*(FL73-FL72))/(FM72-FM73))^2)^0.5),0))))))</f>
        <v>0</v>
      </c>
      <c s="441" r="FU73">
        <f>IF((FQ73&gt;0),(MAX(FU$47:FU72)+1),0)</f>
        <v>0</v>
      </c>
      <c s="222" r="FV73"/>
      <c s="125" r="FW73"/>
      <c s="125" r="FX73"/>
      <c s="125" r="FY73"/>
      <c s="125" r="FZ73"/>
      <c s="125" r="GA73"/>
      <c s="125" r="GB73"/>
      <c s="125" r="GC73"/>
      <c s="125" r="GD73"/>
      <c s="125" r="GE73"/>
      <c s="125" r="GF73"/>
      <c s="125" r="GG73"/>
      <c s="125" r="GH73"/>
      <c s="125" r="GI73"/>
      <c s="125" r="GJ73"/>
      <c s="125" r="GK73"/>
      <c s="125" r="GL73"/>
      <c s="125" r="GM73"/>
      <c s="125" r="GN73"/>
      <c s="125" r="GO73"/>
      <c s="125" r="GP73"/>
      <c s="125" r="GQ73"/>
      <c s="125" r="GR73"/>
      <c s="125" r="GS73"/>
      <c s="125" r="GT73"/>
      <c s="125" r="GU73"/>
      <c s="125" r="GV73"/>
      <c s="125" r="GW73"/>
      <c s="125" r="GX73"/>
      <c s="125" r="GY73"/>
      <c s="125" r="GZ73"/>
      <c s="125" r="HA73"/>
      <c s="125" r="HB73"/>
    </row>
    <row customHeight="1" r="74" ht="13.5">
      <c s="822" r="A74"/>
      <c s="908" r="B74"/>
      <c t="s" s="812" r="C74">
        <v>15</v>
      </c>
      <c t="str" s="582" r="D74">
        <f>Summary!$N$7</f>
        <v>---</v>
      </c>
      <c s="551" r="E74"/>
      <c s="551" r="F74"/>
      <c s="551" r="G74"/>
      <c s="671" r="H74"/>
      <c s="51" r="I74"/>
      <c s="822" r="J74"/>
      <c s="406" r="K74"/>
      <c s="886" r="L74"/>
      <c s="886" r="M74"/>
      <c s="886" r="N74"/>
      <c s="886" r="O74"/>
      <c s="418" r="P74"/>
      <c s="550" r="Q74"/>
      <c s="550" r="R74"/>
      <c t="str" s="620" r="S74">
        <f>IF((COUNT(R74:R$146,T74:T$146)=0),NA(),IF(ISBLANK(R74),S73,(S73+(R74-T73))))</f>
        <v>#N/A:explicit</v>
      </c>
      <c s="550" r="T74"/>
      <c t="str" s="620" r="U74">
        <f>IF(OR(ISBLANK(T74),ISNUMBER(R75)),NA(),(S74-T74))</f>
        <v>#N/A:explicit</v>
      </c>
      <c t="b" s="895" r="V74">
        <v>0</v>
      </c>
      <c s="631" r="W74"/>
      <c t="str" s="309" r="X74">
        <f>IF((COUNT(Q74:Q$146)=0),NA(),IF(ISBLANK(Q74),IF(ISBLANK(Q73),MAX(Q$46:Q74),Q73),Q74))</f>
        <v>#N/A:explicit</v>
      </c>
      <c t="str" s="861" r="Y74">
        <f>IF(ISNA(U74),IF(ISNUMBER(X74),Y73,NA()),U74)</f>
        <v>#N/A:explicit</v>
      </c>
      <c s="861" r="Z74">
        <f>IF(ISNUMBER(Y74),Y74,(S$46+1000))</f>
        <v>1000</v>
      </c>
      <c t="str" s="588" r="AA74">
        <f>IF((V74=TRUE),NA(),IF((AA$44=(S$46-MAX(T$46:T$146))),NA(),AA$44))</f>
        <v>#N/A:explicit</v>
      </c>
      <c s="588" r="AB74">
        <f>IF((ISNA(((Y74*X74)*Y73))),0,(IF((X74&lt;X73),-1,1)*(IF((V73=FALSE),IF((V74=FALSE),IF(ISNA(Y74),0,IF((Y73&lt;AA$44),IF((Y74&lt;AA$44),(((X74-X73)^2)^0.5),(((((AA$44-Y73)*(X74-X73))/(Y74-Y73))^2)^0.5)),IF((Y74&lt;AA$44),(((((AA$44-Y74)*(X74-X73))/(Y73-Y74))^2)^0.5),0))),0),0))))</f>
        <v>0</v>
      </c>
      <c s="588" r="AC74">
        <f>IF(ISNA((Y74*Y73)),0,IF((V73=FALSE),IF((V74=FALSE),IF(ISNA(U74),0,IF((Y73&lt;AA$44),IF((Y74&lt;AA$44),((AA$44-((Y73+Y74)*0.5))*AB74),(((AA$44-Y73)*0.5)*AB74)),IF((Y74&lt;AA$44),(((AA$44-Y74)*0.5)*AB74),0))),0),0))</f>
        <v>0</v>
      </c>
      <c s="588" r="AD74">
        <f>IF(ISNA((Y74*Y73)),0,IF((V73=FALSE),IF((V74=FALSE),IF(ISNA(Y74),0,IF((Y73&lt;AA$44),IF((Y74&lt;AA$44),(((AB74^2)+((Y74-Y73)^2))^0.5),(((AB74^2)+((AA$44-Y73)^2))^0.5)),IF((Y74&lt;AA$44),(((AB74^2)+((AA$44-Y74)^2))^0.5),0))),0),0))</f>
        <v>0</v>
      </c>
      <c s="588" r="AE74">
        <f>IF(ISNUMBER((Y74*Y73)),IF((Y73&gt;=K$148),IF((Y74&lt;K$148),1,0),IF((Y74&gt;=K$148),IF((Y73&lt;K$148),1,0),0)),0)</f>
        <v>0</v>
      </c>
      <c s="588" r="AF74">
        <f>IF(ISNA((Y74*Y73)),0,(IF((X74&lt;X73),-1,1)*(IF(ISNA(Y74),0,IF((Y73&lt;K$148),IF((Y74&lt;K$148),(((X74-X73)^2)^0.5),(((((K$148-Y73)*(X74-X73))/(Y74-Y73))^2)^0.5)),IF((Y74&lt;K$148),(((((K$148-Y74)*(X74-X73))/(Y73-Y74))^2)^0.5),0))))))</f>
        <v>0</v>
      </c>
      <c s="441" r="AG74">
        <f>IF((AC74&gt;0),(MAX(AG$47:AG73)+1),0)</f>
        <v>0</v>
      </c>
      <c s="388" r="AH74"/>
      <c s="406" r="AI74"/>
      <c s="886" r="AJ74"/>
      <c s="886" r="AK74"/>
      <c s="886" r="AL74"/>
      <c s="886" r="AM74"/>
      <c s="418" r="AN74"/>
      <c s="550" r="AO74"/>
      <c s="550" r="AP74"/>
      <c t="str" s="620" r="AQ74">
        <f>IF((COUNT(AP74:AP$146,AR74:AR$146)=0),NA(),IF(ISBLANK(AP74),AQ73,(AQ73+(AP74-AR73))))</f>
        <v>#N/A:explicit</v>
      </c>
      <c s="550" r="AR74"/>
      <c t="str" s="620" r="AS74">
        <f>IF(OR(ISBLANK(AR74),ISNUMBER(AP75)),NA(),(AQ74-AR74))</f>
        <v>#N/A:explicit</v>
      </c>
      <c t="b" s="895" r="AT74">
        <v>0</v>
      </c>
      <c s="631" r="AU74"/>
      <c t="str" s="309" r="AV74">
        <f>IF((COUNT(AO74:AO$146)=0),NA(),IF(ISBLANK(AO74),IF(ISBLANK(AO73),MAX(AO$46:AO74),AO73),AO74))</f>
        <v>#N/A:explicit</v>
      </c>
      <c t="str" s="861" r="AW74">
        <f>IF(ISNA(AS74),IF(ISNUMBER(AV74),AW73,NA()),AS74)</f>
        <v>#N/A:explicit</v>
      </c>
      <c s="861" r="AX74">
        <f>IF(ISNUMBER(AW74),AW74,(AQ$46+1000))</f>
        <v>1000</v>
      </c>
      <c t="str" s="588" r="AY74">
        <f>IF((AT74=TRUE),NA(),IF((AY$44=(AQ$46-MAX(AR$46:AR$146))),NA(),AY$44))</f>
        <v>#N/A:explicit</v>
      </c>
      <c s="588" r="AZ74">
        <f>IF((ISNA(((AW74*AV74)*AW73))),0,(IF((AV74&lt;AV73),-1,1)*(IF((AT73=FALSE),IF((AT74=FALSE),IF(ISNA(AW74),0,IF((AW73&lt;AY$44),IF((AW74&lt;AY$44),(((AV74-AV73)^2)^0.5),(((((AY$44-AW73)*(AV74-AV73))/(AW74-AW73))^2)^0.5)),IF((AW74&lt;AY$44),(((((AY$44-AW74)*(AV74-AV73))/(AW73-AW74))^2)^0.5),0))),0),0))))</f>
        <v>0</v>
      </c>
      <c s="588" r="BA74">
        <f>IF(ISNA((AW74*AW73)),0,IF((AT73=FALSE),IF((AT74=FALSE),IF(ISNA(AS74),0,IF((AW73&lt;AY$44),IF((AW74&lt;AY$44),((AY$44-((AW73+AW74)*0.5))*AZ74),(((AY$44-AW73)*0.5)*AZ74)),IF((AW74&lt;AY$44),(((AY$44-AW74)*0.5)*AZ74),0))),0),0))</f>
        <v>0</v>
      </c>
      <c s="588" r="BB74">
        <f>IF(ISNA((AW74*AW73)),0,IF((AT73=FALSE),IF((AT74=FALSE),IF(ISNA(AW74),0,IF((AW73&lt;AY$44),IF((AW74&lt;AY$44),(((AZ74^2)+((AW74-AW73)^2))^0.5),(((AZ74^2)+((AY$44-AW73)^2))^0.5)),IF((AW74&lt;AY$44),(((AZ74^2)+((AY$44-AW74)^2))^0.5),0))),0),0))</f>
        <v>0</v>
      </c>
      <c s="588" r="BC74">
        <f>IF(ISNUMBER((AW74*AW73)),IF((AW73&gt;=AI$148),IF((AW74&lt;AI$148),1,0),IF((AW74&gt;=AI$148),IF((AW73&lt;AI$148),1,0),0)),0)</f>
        <v>0</v>
      </c>
      <c s="588" r="BD74">
        <f>IF(ISNA((AW74*AW73)),0,(IF((AV74&lt;AV73),-1,1)*(IF(ISNA(AW74),0,IF((AW73&lt;AI$148),IF((AW74&lt;AI$148),(((AV74-AV73)^2)^0.5),(((((AI$148-AW73)*(AV74-AV73))/(AW74-AW73))^2)^0.5)),IF((AW74&lt;AI$148),(((((AI$148-AW74)*(AV74-AV73))/(AW73-AW74))^2)^0.5),0))))))</f>
        <v>0</v>
      </c>
      <c s="441" r="BE74">
        <f>IF((BA74&gt;0),(MAX(BE$47:BE73)+1),0)</f>
        <v>0</v>
      </c>
      <c s="388" r="BF74"/>
      <c s="406" r="BG74"/>
      <c s="886" r="BH74"/>
      <c s="886" r="BI74"/>
      <c s="886" r="BJ74"/>
      <c s="886" r="BK74"/>
      <c s="418" r="BL74"/>
      <c s="550" r="BM74"/>
      <c s="550" r="BN74"/>
      <c t="str" s="620" r="BO74">
        <f>IF((COUNT(BN74:BN$146,BP74:BP$146)=0),NA(),IF(ISBLANK(BN74),BO73,(BO73+(BN74-BP73))))</f>
        <v>#N/A:explicit</v>
      </c>
      <c s="550" r="BP74"/>
      <c t="str" s="620" r="BQ74">
        <f>IF(OR(ISBLANK(BP74),ISNUMBER(BN75)),NA(),(BO74-BP74))</f>
        <v>#N/A:explicit</v>
      </c>
      <c t="b" s="895" r="BR74">
        <v>0</v>
      </c>
      <c s="631" r="BS74"/>
      <c t="str" s="309" r="BT74">
        <f>IF((COUNT(BM74:BM$146)=0),NA(),IF(ISBLANK(BM74),IF(ISBLANK(BM73),MAX(BM$46:BM74),BM73),BM74))</f>
        <v>#N/A:explicit</v>
      </c>
      <c t="str" s="861" r="BU74">
        <f>IF(ISNA(BQ74),IF(ISNUMBER(BT74),BU73,NA()),BQ74)</f>
        <v>#N/A:explicit</v>
      </c>
      <c s="861" r="BV74">
        <f>IF(ISNUMBER(BU74),BU74,(BO$46+1000))</f>
        <v>1000</v>
      </c>
      <c t="str" s="588" r="BW74">
        <f>IF((BR74=TRUE),NA(),IF((BW$44=(BO$46-MAX(BP$46:BP$146))),NA(),BW$44))</f>
        <v>#N/A:explicit</v>
      </c>
      <c s="588" r="BX74">
        <f>IF((ISNA(((BU74*BT74)*BU73))),0,(IF((BT74&lt;BT73),-1,1)*(IF((BR73=FALSE),IF((BR74=FALSE),IF(ISNA(BU74),0,IF((BU73&lt;BW$44),IF((BU74&lt;BW$44),(((BT74-BT73)^2)^0.5),(((((BW$44-BU73)*(BT74-BT73))/(BU74-BU73))^2)^0.5)),IF((BU74&lt;BW$44),(((((BW$44-BU74)*(BT74-BT73))/(BU73-BU74))^2)^0.5),0))),0),0))))</f>
        <v>0</v>
      </c>
      <c s="588" r="BY74">
        <f>IF(ISNA((BU74*BU73)),0,IF((BR73=FALSE),IF((BR74=FALSE),IF(ISNA(BQ74),0,IF((BU73&lt;BW$44),IF((BU74&lt;BW$44),((BW$44-((BU73+BU74)*0.5))*BX74),(((BW$44-BU73)*0.5)*BX74)),IF((BU74&lt;BW$44),(((BW$44-BU74)*0.5)*BX74),0))),0),0))</f>
        <v>0</v>
      </c>
      <c s="588" r="BZ74">
        <f>IF(ISNA((BU74*BU73)),0,IF((BR73=FALSE),IF((BR74=FALSE),IF(ISNA(BU74),0,IF((BU73&lt;BW$44),IF((BU74&lt;BW$44),(((BX74^2)+((BU74-BU73)^2))^0.5),(((BX74^2)+((BW$44-BU73)^2))^0.5)),IF((BU74&lt;BW$44),(((BX74^2)+((BW$44-BU74)^2))^0.5),0))),0),0))</f>
        <v>0</v>
      </c>
      <c s="588" r="CA74">
        <f>IF(ISNUMBER((BU74*BU73)),IF((BU73&gt;=BG$148),IF((BU74&lt;BG$148),1,0),IF((BU74&gt;=BG$148),IF((BU73&lt;BG$148),1,0),0)),0)</f>
        <v>0</v>
      </c>
      <c s="588" r="CB74">
        <f>IF(ISNA((BU74*BU73)),0,(IF((BT74&lt;BT73),-1,1)*(IF(ISNA(BU74),0,IF((BU73&lt;BG$148),IF((BU74&lt;BG$148),(((BT74-BT73)^2)^0.5),(((((BG$148-BU73)*(BT74-BT73))/(BU74-BU73))^2)^0.5)),IF((BU74&lt;BG$148),(((((BG$148-BU74)*(BT74-BT73))/(BU73-BU74))^2)^0.5),0))))))</f>
        <v>0</v>
      </c>
      <c s="441" r="CC74">
        <f>IF((BY74&gt;0),(MAX(CC$47:CC73)+1),0)</f>
        <v>0</v>
      </c>
      <c s="388" r="CD74"/>
      <c s="406" r="CE74"/>
      <c s="886" r="CF74"/>
      <c s="886" r="CG74"/>
      <c s="886" r="CH74"/>
      <c s="886" r="CI74"/>
      <c s="418" r="CJ74"/>
      <c s="550" r="CK74"/>
      <c s="550" r="CL74"/>
      <c t="str" s="620" r="CM74">
        <f>IF((COUNT(CL74:CL$146,CN74:CN$146)=0),NA(),IF(ISBLANK(CL74),CM73,(CM73+(CL74-CN73))))</f>
        <v>#N/A:explicit</v>
      </c>
      <c s="550" r="CN74"/>
      <c t="str" s="620" r="CO74">
        <f>IF(OR(ISBLANK(CN74),ISNUMBER(CL75)),NA(),(CM74-CN74))</f>
        <v>#N/A:explicit</v>
      </c>
      <c t="b" s="895" r="CP74">
        <v>0</v>
      </c>
      <c s="631" r="CQ74"/>
      <c t="str" s="309" r="CR74">
        <f>IF((COUNT(CK74:CK$146)=0),NA(),IF(ISBLANK(CK74),IF(ISBLANK(CK73),MAX(CK$46:CK74),CK73),CK74))</f>
        <v>#N/A:explicit</v>
      </c>
      <c t="str" s="861" r="CS74">
        <f>IF(ISNA(CO74),IF(ISNUMBER(CR74),CS73,NA()),CO74)</f>
        <v>#N/A:explicit</v>
      </c>
      <c s="861" r="CT74">
        <f>IF(ISNUMBER(CS74),CS74,(CM$46+1000))</f>
        <v>1000</v>
      </c>
      <c t="str" s="588" r="CU74">
        <f>IF((CP74=TRUE),NA(),IF((CU$44=(CM$46-MAX(CN$46:CN$146))),NA(),CU$44))</f>
        <v>#N/A:explicit</v>
      </c>
      <c s="588" r="CV74">
        <f>IF((ISNA(((CS74*CR74)*CS73))),0,(IF((CR74&lt;CR73),-1,1)*(IF((CP73=FALSE),IF((CP74=FALSE),IF(ISNA(CS74),0,IF((CS73&lt;CU$44),IF((CS74&lt;CU$44),(((CR74-CR73)^2)^0.5),(((((CU$44-CS73)*(CR74-CR73))/(CS74-CS73))^2)^0.5)),IF((CS74&lt;CU$44),(((((CU$44-CS74)*(CR74-CR73))/(CS73-CS74))^2)^0.5),0))),0),0))))</f>
        <v>0</v>
      </c>
      <c s="588" r="CW74">
        <f>IF(ISNA((CS74*CS73)),0,IF((CP73=FALSE),IF((CP74=FALSE),IF(ISNA(CO74),0,IF((CS73&lt;CU$44),IF((CS74&lt;CU$44),((CU$44-((CS73+CS74)*0.5))*CV74),(((CU$44-CS73)*0.5)*CV74)),IF((CS74&lt;CU$44),(((CU$44-CS74)*0.5)*CV74),0))),0),0))</f>
        <v>0</v>
      </c>
      <c s="588" r="CX74">
        <f>IF(ISNA((CS74*CS73)),0,IF((CP73=FALSE),IF((CP74=FALSE),IF(ISNA(CS74),0,IF((CS73&lt;CU$44),IF((CS74&lt;CU$44),(((CV74^2)+((CS74-CS73)^2))^0.5),(((CV74^2)+((CU$44-CS73)^2))^0.5)),IF((CS74&lt;CU$44),(((CV74^2)+((CU$44-CS74)^2))^0.5),0))),0),0))</f>
        <v>0</v>
      </c>
      <c s="588" r="CY74">
        <f>IF(ISNUMBER((CS74*CS73)),IF((CS73&gt;=CE$148),IF((CS74&lt;CE$148),1,0),IF((CS74&gt;=CE$148),IF((CS73&lt;CE$148),1,0),0)),0)</f>
        <v>0</v>
      </c>
      <c s="588" r="CZ74">
        <f>IF(ISNA((CS74*CS73)),0,(IF((CR74&lt;CR73),-1,1)*(IF(ISNA(CS74),0,IF((CS73&lt;CE$148),IF((CS74&lt;CE$148),(((CR74-CR73)^2)^0.5),(((((CE$148-CS73)*(CR74-CR73))/(CS74-CS73))^2)^0.5)),IF((CS74&lt;CE$148),(((((CE$148-CS74)*(CR74-CR73))/(CS73-CS74))^2)^0.5),0))))))</f>
        <v>0</v>
      </c>
      <c s="441" r="DA74">
        <f>IF((CW74&gt;0),(MAX(DA$47:DA73)+1),0)</f>
        <v>0</v>
      </c>
      <c s="388" r="DB74"/>
      <c s="406" r="DC74"/>
      <c s="886" r="DD74"/>
      <c s="886" r="DE74"/>
      <c s="886" r="DF74"/>
      <c s="886" r="DG74"/>
      <c s="418" r="DH74"/>
      <c s="550" r="DI74"/>
      <c s="550" r="DJ74"/>
      <c t="str" s="620" r="DK74">
        <f>IF((COUNT(DJ74:DJ$146,DL74:DL$146)=0),NA(),IF(ISBLANK(DJ74),DK73,(DK73+(DJ74-DL73))))</f>
        <v>#N/A:explicit</v>
      </c>
      <c s="550" r="DL74"/>
      <c t="str" s="620" r="DM74">
        <f>IF(OR(ISBLANK(DL74),ISNUMBER(DJ75)),NA(),(DK74-DL74))</f>
        <v>#N/A:explicit</v>
      </c>
      <c t="b" s="895" r="DN74">
        <v>0</v>
      </c>
      <c s="631" r="DO74"/>
      <c t="str" s="309" r="DP74">
        <f>IF((COUNT(DI74:DI$146)=0),NA(),IF(ISBLANK(DI74),IF(ISBLANK(DI73),MAX(DI$46:DI74),DI73),DI74))</f>
        <v>#N/A:explicit</v>
      </c>
      <c t="str" s="861" r="DQ74">
        <f>IF(ISNA(DM74),IF(ISNUMBER(DP74),DQ73,NA()),DM74)</f>
        <v>#N/A:explicit</v>
      </c>
      <c s="861" r="DR74">
        <f>IF(ISNUMBER(DQ74),DQ74,(DK$46+1000))</f>
        <v>1000</v>
      </c>
      <c t="str" s="588" r="DS74">
        <f>IF((DN74=TRUE),NA(),IF((DS$44=(DK$46-MAX(DL$46:DL$146))),NA(),DS$44))</f>
        <v>#N/A:explicit</v>
      </c>
      <c s="588" r="DT74">
        <f>IF((ISNA(((DQ74*DP74)*DQ73))),0,(IF((DP74&lt;DP73),-1,1)*(IF((DN73=FALSE),IF((DN74=FALSE),IF(ISNA(DQ74),0,IF((DQ73&lt;DS$44),IF((DQ74&lt;DS$44),(((DP74-DP73)^2)^0.5),(((((DS$44-DQ73)*(DP74-DP73))/(DQ74-DQ73))^2)^0.5)),IF((DQ74&lt;DS$44),(((((DS$44-DQ74)*(DP74-DP73))/(DQ73-DQ74))^2)^0.5),0))),0),0))))</f>
        <v>0</v>
      </c>
      <c s="588" r="DU74">
        <f>IF(ISNA((DQ74*DQ73)),0,IF((DN73=FALSE),IF((DN74=FALSE),IF(ISNA(DM74),0,IF((DQ73&lt;DS$44),IF((DQ74&lt;DS$44),((DS$44-((DQ73+DQ74)*0.5))*DT74),(((DS$44-DQ73)*0.5)*DT74)),IF((DQ74&lt;DS$44),(((DS$44-DQ74)*0.5)*DT74),0))),0),0))</f>
        <v>0</v>
      </c>
      <c s="588" r="DV74">
        <f>IF(ISNA((DQ74*DQ73)),0,IF((DN73=FALSE),IF((DN74=FALSE),IF(ISNA(DQ74),0,IF((DQ73&lt;DS$44),IF((DQ74&lt;DS$44),(((DT74^2)+((DQ74-DQ73)^2))^0.5),(((DT74^2)+((DS$44-DQ73)^2))^0.5)),IF((DQ74&lt;DS$44),(((DT74^2)+((DS$44-DQ74)^2))^0.5),0))),0),0))</f>
        <v>0</v>
      </c>
      <c s="588" r="DW74">
        <f>IF(ISNUMBER((DQ74*DQ73)),IF((DQ73&gt;=DC$148),IF((DQ74&lt;DC$148),1,0),IF((DQ74&gt;=DC$148),IF((DQ73&lt;DC$148),1,0),0)),0)</f>
        <v>0</v>
      </c>
      <c s="588" r="DX74">
        <f>IF(ISNA((DQ74*DQ73)),0,(IF((DP74&lt;DP73),-1,1)*(IF(ISNA(DQ74),0,IF((DQ73&lt;DC$148),IF((DQ74&lt;DC$148),(((DP74-DP73)^2)^0.5),(((((DC$148-DQ73)*(DP74-DP73))/(DQ74-DQ73))^2)^0.5)),IF((DQ74&lt;DC$148),(((((DC$148-DQ74)*(DP74-DP73))/(DQ73-DQ74))^2)^0.5),0))))))</f>
        <v>0</v>
      </c>
      <c s="441" r="DY74">
        <f>IF((DU74&gt;0),(MAX(DY$47:DY73)+1),0)</f>
        <v>0</v>
      </c>
      <c s="388" r="DZ74"/>
      <c s="406" r="EA74"/>
      <c s="886" r="EB74"/>
      <c s="886" r="EC74"/>
      <c s="886" r="ED74"/>
      <c s="886" r="EE74"/>
      <c s="418" r="EF74"/>
      <c s="550" r="EG74"/>
      <c s="550" r="EH74"/>
      <c t="str" s="620" r="EI74">
        <f>IF((COUNT(EH74:EH$146,EJ74:EJ$146)=0),NA(),IF(ISBLANK(EH74),EI73,(EI73+(EH74-EJ73))))</f>
        <v>#N/A:explicit</v>
      </c>
      <c s="550" r="EJ74"/>
      <c t="str" s="620" r="EK74">
        <f>IF(OR(ISBLANK(EJ74),ISNUMBER(EH75)),NA(),(EI74-EJ74))</f>
        <v>#N/A:explicit</v>
      </c>
      <c t="b" s="895" r="EL74">
        <v>0</v>
      </c>
      <c s="631" r="EM74"/>
      <c t="str" s="309" r="EN74">
        <f>IF((COUNT(EG74:EG$146)=0),NA(),IF(ISBLANK(EG74),IF(ISBLANK(EG73),MAX(EG$46:EG74),EG73),EG74))</f>
        <v>#N/A:explicit</v>
      </c>
      <c t="str" s="861" r="EO74">
        <f>IF(ISNA(EK74),IF(ISNUMBER(EN74),EO73,NA()),EK74)</f>
        <v>#N/A:explicit</v>
      </c>
      <c s="861" r="EP74">
        <f>IF(ISNUMBER(EO74),EO74,(EI$46+1000))</f>
        <v>1000</v>
      </c>
      <c t="str" s="588" r="EQ74">
        <f>IF((EL74=TRUE),NA(),IF((EQ$44=(EI$46-MAX(EJ$46:EJ$146))),NA(),EQ$44))</f>
        <v>#N/A:explicit</v>
      </c>
      <c s="588" r="ER74">
        <f>IF((ISNA(((EO74*EN74)*EO73))),0,(IF((EN74&lt;EN73),-1,1)*(IF((EL73=FALSE),IF((EL74=FALSE),IF(ISNA(EO74),0,IF((EO73&lt;EQ$44),IF((EO74&lt;EQ$44),(((EN74-EN73)^2)^0.5),(((((EQ$44-EO73)*(EN74-EN73))/(EO74-EO73))^2)^0.5)),IF((EO74&lt;EQ$44),(((((EQ$44-EO74)*(EN74-EN73))/(EO73-EO74))^2)^0.5),0))),0),0))))</f>
        <v>0</v>
      </c>
      <c s="588" r="ES74">
        <f>IF(ISNA((EO74*EO73)),0,IF((EL73=FALSE),IF((EL74=FALSE),IF(ISNA(EK74),0,IF((EO73&lt;EQ$44),IF((EO74&lt;EQ$44),((EQ$44-((EO73+EO74)*0.5))*ER74),(((EQ$44-EO73)*0.5)*ER74)),IF((EO74&lt;EQ$44),(((EQ$44-EO74)*0.5)*ER74),0))),0),0))</f>
        <v>0</v>
      </c>
      <c s="588" r="ET74">
        <f>IF(ISNA((EO74*EO73)),0,IF((EL73=FALSE),IF((EL74=FALSE),IF(ISNA(EO74),0,IF((EO73&lt;EQ$44),IF((EO74&lt;EQ$44),(((ER74^2)+((EO74-EO73)^2))^0.5),(((ER74^2)+((EQ$44-EO73)^2))^0.5)),IF((EO74&lt;EQ$44),(((ER74^2)+((EQ$44-EO74)^2))^0.5),0))),0),0))</f>
        <v>0</v>
      </c>
      <c s="588" r="EU74">
        <f>IF(ISNUMBER((EO74*EO73)),IF((EO73&gt;=EA$148),IF((EO74&lt;EA$148),1,0),IF((EO74&gt;=EA$148),IF((EO73&lt;EA$148),1,0),0)),0)</f>
        <v>0</v>
      </c>
      <c s="588" r="EV74">
        <f>IF(ISNA((EO74*EO73)),0,(IF((EN74&lt;EN73),-1,1)*(IF(ISNA(EO74),0,IF((EO73&lt;EA$148),IF((EO74&lt;EA$148),(((EN74-EN73)^2)^0.5),(((((EA$148-EO73)*(EN74-EN73))/(EO74-EO73))^2)^0.5)),IF((EO74&lt;EA$148),(((((EA$148-EO74)*(EN74-EN73))/(EO73-EO74))^2)^0.5),0))))))</f>
        <v>0</v>
      </c>
      <c s="441" r="EW74">
        <f>IF((ES74&gt;0),(MAX(EW$47:EW73)+1),0)</f>
        <v>0</v>
      </c>
      <c s="388" r="EX74"/>
      <c s="406" r="EY74"/>
      <c s="886" r="EZ74"/>
      <c s="886" r="FA74"/>
      <c s="886" r="FB74"/>
      <c s="886" r="FC74"/>
      <c s="418" r="FD74"/>
      <c s="550" r="FE74"/>
      <c s="550" r="FF74"/>
      <c t="str" s="620" r="FG74">
        <f>IF((COUNT(FF74:FF$146,FH74:FH$146)=0),NA(),IF(ISBLANK(FF74),FG73,(FG73+(FF74-FH73))))</f>
        <v>#N/A:explicit</v>
      </c>
      <c s="550" r="FH74"/>
      <c t="str" s="620" r="FI74">
        <f>IF(OR(ISBLANK(FH74),ISNUMBER(FF75)),NA(),(FG74-FH74))</f>
        <v>#N/A:explicit</v>
      </c>
      <c t="b" s="895" r="FJ74">
        <v>0</v>
      </c>
      <c s="631" r="FK74"/>
      <c t="str" s="309" r="FL74">
        <f>IF((COUNT(FE74:FE$146)=0),NA(),IF(ISBLANK(FE74),IF(ISBLANK(FE73),MAX(FE$46:FE74),FE73),FE74))</f>
        <v>#N/A:explicit</v>
      </c>
      <c t="str" s="861" r="FM74">
        <f>IF(ISNA(FI74),IF(ISNUMBER(FL74),FM73,NA()),FI74)</f>
        <v>#N/A:explicit</v>
      </c>
      <c s="861" r="FN74">
        <f>IF(ISNUMBER(FM74),FM74,(FG$46+1000))</f>
        <v>1000</v>
      </c>
      <c t="str" s="588" r="FO74">
        <f>IF((FJ74=TRUE),NA(),IF((FO$44=(FG$46-MAX(FH$46:FH$146))),NA(),FO$44))</f>
        <v>#N/A:explicit</v>
      </c>
      <c s="588" r="FP74">
        <f>IF((ISNA(((FM74*FL74)*FM73))),0,(IF((FL74&lt;FL73),-1,1)*(IF((FJ73=FALSE),IF((FJ74=FALSE),IF(ISNA(FM74),0,IF((FM73&lt;FO$44),IF((FM74&lt;FO$44),(((FL74-FL73)^2)^0.5),(((((FO$44-FM73)*(FL74-FL73))/(FM74-FM73))^2)^0.5)),IF((FM74&lt;FO$44),(((((FO$44-FM74)*(FL74-FL73))/(FM73-FM74))^2)^0.5),0))),0),0))))</f>
        <v>0</v>
      </c>
      <c s="588" r="FQ74">
        <f>IF(ISNA((FM74*FM73)),0,IF((FJ73=FALSE),IF((FJ74=FALSE),IF(ISNA(FI74),0,IF((FM73&lt;FO$44),IF((FM74&lt;FO$44),((FO$44-((FM73+FM74)*0.5))*FP74),(((FO$44-FM73)*0.5)*FP74)),IF((FM74&lt;FO$44),(((FO$44-FM74)*0.5)*FP74),0))),0),0))</f>
        <v>0</v>
      </c>
      <c s="588" r="FR74">
        <f>IF(ISNA((FM74*FM73)),0,IF((FJ73=FALSE),IF((FJ74=FALSE),IF(ISNA(FM74),0,IF((FM73&lt;FO$44),IF((FM74&lt;FO$44),(((FP74^2)+((FM74-FM73)^2))^0.5),(((FP74^2)+((FO$44-FM73)^2))^0.5)),IF((FM74&lt;FO$44),(((FP74^2)+((FO$44-FM74)^2))^0.5),0))),0),0))</f>
        <v>0</v>
      </c>
      <c s="588" r="FS74">
        <f>IF(ISNUMBER((FM74*FM73)),IF((FM73&gt;=EY$148),IF((FM74&lt;EY$148),1,0),IF((FM74&gt;=EY$148),IF((FM73&lt;EY$148),1,0),0)),0)</f>
        <v>0</v>
      </c>
      <c s="588" r="FT74">
        <f>IF(ISNA((FM74*FM73)),0,(IF((FL74&lt;FL73),-1,1)*(IF(ISNA(FM74),0,IF((FM73&lt;EY$148),IF((FM74&lt;EY$148),(((FL74-FL73)^2)^0.5),(((((EY$148-FM73)*(FL74-FL73))/(FM74-FM73))^2)^0.5)),IF((FM74&lt;EY$148),(((((EY$148-FM74)*(FL74-FL73))/(FM73-FM74))^2)^0.5),0))))))</f>
        <v>0</v>
      </c>
      <c s="441" r="FU74">
        <f>IF((FQ74&gt;0),(MAX(FU$47:FU73)+1),0)</f>
        <v>0</v>
      </c>
      <c s="222" r="FV74"/>
      <c s="125" r="FW74"/>
      <c s="125" r="FX74"/>
      <c s="125" r="FY74"/>
      <c s="125" r="FZ74"/>
      <c s="125" r="GA74"/>
      <c s="125" r="GB74"/>
      <c s="125" r="GC74"/>
      <c s="125" r="GD74"/>
      <c s="125" r="GE74"/>
      <c s="125" r="GF74"/>
      <c s="125" r="GG74"/>
      <c s="125" r="GH74"/>
      <c s="125" r="GI74"/>
      <c s="125" r="GJ74"/>
      <c s="125" r="GK74"/>
      <c s="125" r="GL74"/>
      <c s="125" r="GM74"/>
      <c s="125" r="GN74"/>
      <c s="125" r="GO74"/>
      <c s="125" r="GP74"/>
      <c s="125" r="GQ74"/>
      <c s="125" r="GR74"/>
      <c s="125" r="GS74"/>
      <c s="125" r="GT74"/>
      <c s="125" r="GU74"/>
      <c s="125" r="GV74"/>
      <c s="125" r="GW74"/>
      <c s="125" r="GX74"/>
      <c s="125" r="GY74"/>
      <c s="125" r="GZ74"/>
      <c s="125" r="HA74"/>
      <c s="125" r="HB74"/>
    </row>
    <row customHeight="1" r="75" ht="13.5">
      <c s="822" r="A75"/>
      <c s="908" r="B75"/>
      <c t="s" s="812" r="C75">
        <v>18</v>
      </c>
      <c t="str" s="207" r="D75">
        <f>Summary!$N$8</f>
        <v>---</v>
      </c>
      <c s="304" r="E75"/>
      <c s="304" r="F75"/>
      <c s="304" r="G75"/>
      <c s="12" r="H75"/>
      <c s="51" r="I75"/>
      <c s="822" r="J75"/>
      <c s="406" r="K75"/>
      <c s="886" r="L75"/>
      <c s="886" r="M75"/>
      <c s="886" r="N75"/>
      <c s="886" r="O75"/>
      <c s="418" r="P75"/>
      <c s="550" r="Q75"/>
      <c s="550" r="R75"/>
      <c t="str" s="620" r="S75">
        <f>IF((COUNT(R75:R$146,T75:T$146)=0),NA(),IF(ISBLANK(R75),S74,(S74+(R75-T74))))</f>
        <v>#N/A:explicit</v>
      </c>
      <c s="550" r="T75"/>
      <c t="str" s="620" r="U75">
        <f>IF(OR(ISBLANK(T75),ISNUMBER(R76)),NA(),(S75-T75))</f>
        <v>#N/A:explicit</v>
      </c>
      <c t="b" s="895" r="V75">
        <v>0</v>
      </c>
      <c s="631" r="W75"/>
      <c t="str" s="309" r="X75">
        <f>IF((COUNT(Q75:Q$146)=0),NA(),IF(ISBLANK(Q75),IF(ISBLANK(Q74),MAX(Q$46:Q75),Q74),Q75))</f>
        <v>#N/A:explicit</v>
      </c>
      <c t="str" s="861" r="Y75">
        <f>IF(ISNA(U75),IF(ISNUMBER(X75),Y74,NA()),U75)</f>
        <v>#N/A:explicit</v>
      </c>
      <c s="861" r="Z75">
        <f>IF(ISNUMBER(Y75),Y75,(S$46+1000))</f>
        <v>1000</v>
      </c>
      <c t="str" s="588" r="AA75">
        <f>IF((V75=TRUE),NA(),IF((AA$44=(S$46-MAX(T$46:T$146))),NA(),AA$44))</f>
        <v>#N/A:explicit</v>
      </c>
      <c s="588" r="AB75">
        <f>IF((ISNA(((Y75*X75)*Y74))),0,(IF((X75&lt;X74),-1,1)*(IF((V74=FALSE),IF((V75=FALSE),IF(ISNA(Y75),0,IF((Y74&lt;AA$44),IF((Y75&lt;AA$44),(((X75-X74)^2)^0.5),(((((AA$44-Y74)*(X75-X74))/(Y75-Y74))^2)^0.5)),IF((Y75&lt;AA$44),(((((AA$44-Y75)*(X75-X74))/(Y74-Y75))^2)^0.5),0))),0),0))))</f>
        <v>0</v>
      </c>
      <c s="588" r="AC75">
        <f>IF(ISNA((Y75*Y74)),0,IF((V74=FALSE),IF((V75=FALSE),IF(ISNA(U75),0,IF((Y74&lt;AA$44),IF((Y75&lt;AA$44),((AA$44-((Y74+Y75)*0.5))*AB75),(((AA$44-Y74)*0.5)*AB75)),IF((Y75&lt;AA$44),(((AA$44-Y75)*0.5)*AB75),0))),0),0))</f>
        <v>0</v>
      </c>
      <c s="588" r="AD75">
        <f>IF(ISNA((Y75*Y74)),0,IF((V74=FALSE),IF((V75=FALSE),IF(ISNA(Y75),0,IF((Y74&lt;AA$44),IF((Y75&lt;AA$44),(((AB75^2)+((Y75-Y74)^2))^0.5),(((AB75^2)+((AA$44-Y74)^2))^0.5)),IF((Y75&lt;AA$44),(((AB75^2)+((AA$44-Y75)^2))^0.5),0))),0),0))</f>
        <v>0</v>
      </c>
      <c s="588" r="AE75">
        <f>IF(ISNUMBER((Y75*Y74)),IF((Y74&gt;=K$148),IF((Y75&lt;K$148),1,0),IF((Y75&gt;=K$148),IF((Y74&lt;K$148),1,0),0)),0)</f>
        <v>0</v>
      </c>
      <c s="588" r="AF75">
        <f>IF(ISNA((Y75*Y74)),0,(IF((X75&lt;X74),-1,1)*(IF(ISNA(Y75),0,IF((Y74&lt;K$148),IF((Y75&lt;K$148),(((X75-X74)^2)^0.5),(((((K$148-Y74)*(X75-X74))/(Y75-Y74))^2)^0.5)),IF((Y75&lt;K$148),(((((K$148-Y75)*(X75-X74))/(Y74-Y75))^2)^0.5),0))))))</f>
        <v>0</v>
      </c>
      <c s="441" r="AG75">
        <f>IF((AC75&gt;0),(MAX(AG$47:AG74)+1),0)</f>
        <v>0</v>
      </c>
      <c s="388" r="AH75"/>
      <c s="406" r="AI75"/>
      <c s="886" r="AJ75"/>
      <c s="886" r="AK75"/>
      <c s="886" r="AL75"/>
      <c s="886" r="AM75"/>
      <c s="418" r="AN75"/>
      <c s="550" r="AO75"/>
      <c s="550" r="AP75"/>
      <c t="str" s="620" r="AQ75">
        <f>IF((COUNT(AP75:AP$146,AR75:AR$146)=0),NA(),IF(ISBLANK(AP75),AQ74,(AQ74+(AP75-AR74))))</f>
        <v>#N/A:explicit</v>
      </c>
      <c s="550" r="AR75"/>
      <c t="str" s="620" r="AS75">
        <f>IF(OR(ISBLANK(AR75),ISNUMBER(AP76)),NA(),(AQ75-AR75))</f>
        <v>#N/A:explicit</v>
      </c>
      <c t="b" s="895" r="AT75">
        <v>0</v>
      </c>
      <c s="631" r="AU75"/>
      <c t="str" s="309" r="AV75">
        <f>IF((COUNT(AO75:AO$146)=0),NA(),IF(ISBLANK(AO75),IF(ISBLANK(AO74),MAX(AO$46:AO75),AO74),AO75))</f>
        <v>#N/A:explicit</v>
      </c>
      <c t="str" s="861" r="AW75">
        <f>IF(ISNA(AS75),IF(ISNUMBER(AV75),AW74,NA()),AS75)</f>
        <v>#N/A:explicit</v>
      </c>
      <c s="861" r="AX75">
        <f>IF(ISNUMBER(AW75),AW75,(AQ$46+1000))</f>
        <v>1000</v>
      </c>
      <c t="str" s="588" r="AY75">
        <f>IF((AT75=TRUE),NA(),IF((AY$44=(AQ$46-MAX(AR$46:AR$146))),NA(),AY$44))</f>
        <v>#N/A:explicit</v>
      </c>
      <c s="588" r="AZ75">
        <f>IF((ISNA(((AW75*AV75)*AW74))),0,(IF((AV75&lt;AV74),-1,1)*(IF((AT74=FALSE),IF((AT75=FALSE),IF(ISNA(AW75),0,IF((AW74&lt;AY$44),IF((AW75&lt;AY$44),(((AV75-AV74)^2)^0.5),(((((AY$44-AW74)*(AV75-AV74))/(AW75-AW74))^2)^0.5)),IF((AW75&lt;AY$44),(((((AY$44-AW75)*(AV75-AV74))/(AW74-AW75))^2)^0.5),0))),0),0))))</f>
        <v>0</v>
      </c>
      <c s="588" r="BA75">
        <f>IF(ISNA((AW75*AW74)),0,IF((AT74=FALSE),IF((AT75=FALSE),IF(ISNA(AS75),0,IF((AW74&lt;AY$44),IF((AW75&lt;AY$44),((AY$44-((AW74+AW75)*0.5))*AZ75),(((AY$44-AW74)*0.5)*AZ75)),IF((AW75&lt;AY$44),(((AY$44-AW75)*0.5)*AZ75),0))),0),0))</f>
        <v>0</v>
      </c>
      <c s="588" r="BB75">
        <f>IF(ISNA((AW75*AW74)),0,IF((AT74=FALSE),IF((AT75=FALSE),IF(ISNA(AW75),0,IF((AW74&lt;AY$44),IF((AW75&lt;AY$44),(((AZ75^2)+((AW75-AW74)^2))^0.5),(((AZ75^2)+((AY$44-AW74)^2))^0.5)),IF((AW75&lt;AY$44),(((AZ75^2)+((AY$44-AW75)^2))^0.5),0))),0),0))</f>
        <v>0</v>
      </c>
      <c s="588" r="BC75">
        <f>IF(ISNUMBER((AW75*AW74)),IF((AW74&gt;=AI$148),IF((AW75&lt;AI$148),1,0),IF((AW75&gt;=AI$148),IF((AW74&lt;AI$148),1,0),0)),0)</f>
        <v>0</v>
      </c>
      <c s="588" r="BD75">
        <f>IF(ISNA((AW75*AW74)),0,(IF((AV75&lt;AV74),-1,1)*(IF(ISNA(AW75),0,IF((AW74&lt;AI$148),IF((AW75&lt;AI$148),(((AV75-AV74)^2)^0.5),(((((AI$148-AW74)*(AV75-AV74))/(AW75-AW74))^2)^0.5)),IF((AW75&lt;AI$148),(((((AI$148-AW75)*(AV75-AV74))/(AW74-AW75))^2)^0.5),0))))))</f>
        <v>0</v>
      </c>
      <c s="441" r="BE75">
        <f>IF((BA75&gt;0),(MAX(BE$47:BE74)+1),0)</f>
        <v>0</v>
      </c>
      <c s="388" r="BF75"/>
      <c s="406" r="BG75"/>
      <c s="886" r="BH75"/>
      <c s="886" r="BI75"/>
      <c s="886" r="BJ75"/>
      <c s="886" r="BK75"/>
      <c s="418" r="BL75"/>
      <c s="550" r="BM75"/>
      <c s="550" r="BN75"/>
      <c t="str" s="620" r="BO75">
        <f>IF((COUNT(BN75:BN$146,BP75:BP$146)=0),NA(),IF(ISBLANK(BN75),BO74,(BO74+(BN75-BP74))))</f>
        <v>#N/A:explicit</v>
      </c>
      <c s="550" r="BP75"/>
      <c t="str" s="620" r="BQ75">
        <f>IF(OR(ISBLANK(BP75),ISNUMBER(BN76)),NA(),(BO75-BP75))</f>
        <v>#N/A:explicit</v>
      </c>
      <c t="b" s="895" r="BR75">
        <v>0</v>
      </c>
      <c s="631" r="BS75"/>
      <c t="str" s="309" r="BT75">
        <f>IF((COUNT(BM75:BM$146)=0),NA(),IF(ISBLANK(BM75),IF(ISBLANK(BM74),MAX(BM$46:BM75),BM74),BM75))</f>
        <v>#N/A:explicit</v>
      </c>
      <c t="str" s="861" r="BU75">
        <f>IF(ISNA(BQ75),IF(ISNUMBER(BT75),BU74,NA()),BQ75)</f>
        <v>#N/A:explicit</v>
      </c>
      <c s="861" r="BV75">
        <f>IF(ISNUMBER(BU75),BU75,(BO$46+1000))</f>
        <v>1000</v>
      </c>
      <c t="str" s="588" r="BW75">
        <f>IF((BR75=TRUE),NA(),IF((BW$44=(BO$46-MAX(BP$46:BP$146))),NA(),BW$44))</f>
        <v>#N/A:explicit</v>
      </c>
      <c s="588" r="BX75">
        <f>IF((ISNA(((BU75*BT75)*BU74))),0,(IF((BT75&lt;BT74),-1,1)*(IF((BR74=FALSE),IF((BR75=FALSE),IF(ISNA(BU75),0,IF((BU74&lt;BW$44),IF((BU75&lt;BW$44),(((BT75-BT74)^2)^0.5),(((((BW$44-BU74)*(BT75-BT74))/(BU75-BU74))^2)^0.5)),IF((BU75&lt;BW$44),(((((BW$44-BU75)*(BT75-BT74))/(BU74-BU75))^2)^0.5),0))),0),0))))</f>
        <v>0</v>
      </c>
      <c s="588" r="BY75">
        <f>IF(ISNA((BU75*BU74)),0,IF((BR74=FALSE),IF((BR75=FALSE),IF(ISNA(BQ75),0,IF((BU74&lt;BW$44),IF((BU75&lt;BW$44),((BW$44-((BU74+BU75)*0.5))*BX75),(((BW$44-BU74)*0.5)*BX75)),IF((BU75&lt;BW$44),(((BW$44-BU75)*0.5)*BX75),0))),0),0))</f>
        <v>0</v>
      </c>
      <c s="588" r="BZ75">
        <f>IF(ISNA((BU75*BU74)),0,IF((BR74=FALSE),IF((BR75=FALSE),IF(ISNA(BU75),0,IF((BU74&lt;BW$44),IF((BU75&lt;BW$44),(((BX75^2)+((BU75-BU74)^2))^0.5),(((BX75^2)+((BW$44-BU74)^2))^0.5)),IF((BU75&lt;BW$44),(((BX75^2)+((BW$44-BU75)^2))^0.5),0))),0),0))</f>
        <v>0</v>
      </c>
      <c s="588" r="CA75">
        <f>IF(ISNUMBER((BU75*BU74)),IF((BU74&gt;=BG$148),IF((BU75&lt;BG$148),1,0),IF((BU75&gt;=BG$148),IF((BU74&lt;BG$148),1,0),0)),0)</f>
        <v>0</v>
      </c>
      <c s="588" r="CB75">
        <f>IF(ISNA((BU75*BU74)),0,(IF((BT75&lt;BT74),-1,1)*(IF(ISNA(BU75),0,IF((BU74&lt;BG$148),IF((BU75&lt;BG$148),(((BT75-BT74)^2)^0.5),(((((BG$148-BU74)*(BT75-BT74))/(BU75-BU74))^2)^0.5)),IF((BU75&lt;BG$148),(((((BG$148-BU75)*(BT75-BT74))/(BU74-BU75))^2)^0.5),0))))))</f>
        <v>0</v>
      </c>
      <c s="441" r="CC75">
        <f>IF((BY75&gt;0),(MAX(CC$47:CC74)+1),0)</f>
        <v>0</v>
      </c>
      <c s="388" r="CD75"/>
      <c s="406" r="CE75"/>
      <c s="886" r="CF75"/>
      <c s="886" r="CG75"/>
      <c s="886" r="CH75"/>
      <c s="886" r="CI75"/>
      <c s="418" r="CJ75"/>
      <c s="550" r="CK75"/>
      <c s="550" r="CL75"/>
      <c t="str" s="620" r="CM75">
        <f>IF((COUNT(CL75:CL$146,CN75:CN$146)=0),NA(),IF(ISBLANK(CL75),CM74,(CM74+(CL75-CN74))))</f>
        <v>#N/A:explicit</v>
      </c>
      <c s="550" r="CN75"/>
      <c t="str" s="620" r="CO75">
        <f>IF(OR(ISBLANK(CN75),ISNUMBER(CL76)),NA(),(CM75-CN75))</f>
        <v>#N/A:explicit</v>
      </c>
      <c t="b" s="895" r="CP75">
        <v>0</v>
      </c>
      <c s="631" r="CQ75"/>
      <c t="str" s="309" r="CR75">
        <f>IF((COUNT(CK75:CK$146)=0),NA(),IF(ISBLANK(CK75),IF(ISBLANK(CK74),MAX(CK$46:CK75),CK74),CK75))</f>
        <v>#N/A:explicit</v>
      </c>
      <c t="str" s="861" r="CS75">
        <f>IF(ISNA(CO75),IF(ISNUMBER(CR75),CS74,NA()),CO75)</f>
        <v>#N/A:explicit</v>
      </c>
      <c s="861" r="CT75">
        <f>IF(ISNUMBER(CS75),CS75,(CM$46+1000))</f>
        <v>1000</v>
      </c>
      <c t="str" s="588" r="CU75">
        <f>IF((CP75=TRUE),NA(),IF((CU$44=(CM$46-MAX(CN$46:CN$146))),NA(),CU$44))</f>
        <v>#N/A:explicit</v>
      </c>
      <c s="588" r="CV75">
        <f>IF((ISNA(((CS75*CR75)*CS74))),0,(IF((CR75&lt;CR74),-1,1)*(IF((CP74=FALSE),IF((CP75=FALSE),IF(ISNA(CS75),0,IF((CS74&lt;CU$44),IF((CS75&lt;CU$44),(((CR75-CR74)^2)^0.5),(((((CU$44-CS74)*(CR75-CR74))/(CS75-CS74))^2)^0.5)),IF((CS75&lt;CU$44),(((((CU$44-CS75)*(CR75-CR74))/(CS74-CS75))^2)^0.5),0))),0),0))))</f>
        <v>0</v>
      </c>
      <c s="588" r="CW75">
        <f>IF(ISNA((CS75*CS74)),0,IF((CP74=FALSE),IF((CP75=FALSE),IF(ISNA(CO75),0,IF((CS74&lt;CU$44),IF((CS75&lt;CU$44),((CU$44-((CS74+CS75)*0.5))*CV75),(((CU$44-CS74)*0.5)*CV75)),IF((CS75&lt;CU$44),(((CU$44-CS75)*0.5)*CV75),0))),0),0))</f>
        <v>0</v>
      </c>
      <c s="588" r="CX75">
        <f>IF(ISNA((CS75*CS74)),0,IF((CP74=FALSE),IF((CP75=FALSE),IF(ISNA(CS75),0,IF((CS74&lt;CU$44),IF((CS75&lt;CU$44),(((CV75^2)+((CS75-CS74)^2))^0.5),(((CV75^2)+((CU$44-CS74)^2))^0.5)),IF((CS75&lt;CU$44),(((CV75^2)+((CU$44-CS75)^2))^0.5),0))),0),0))</f>
        <v>0</v>
      </c>
      <c s="588" r="CY75">
        <f>IF(ISNUMBER((CS75*CS74)),IF((CS74&gt;=CE$148),IF((CS75&lt;CE$148),1,0),IF((CS75&gt;=CE$148),IF((CS74&lt;CE$148),1,0),0)),0)</f>
        <v>0</v>
      </c>
      <c s="588" r="CZ75">
        <f>IF(ISNA((CS75*CS74)),0,(IF((CR75&lt;CR74),-1,1)*(IF(ISNA(CS75),0,IF((CS74&lt;CE$148),IF((CS75&lt;CE$148),(((CR75-CR74)^2)^0.5),(((((CE$148-CS74)*(CR75-CR74))/(CS75-CS74))^2)^0.5)),IF((CS75&lt;CE$148),(((((CE$148-CS75)*(CR75-CR74))/(CS74-CS75))^2)^0.5),0))))))</f>
        <v>0</v>
      </c>
      <c s="441" r="DA75">
        <f>IF((CW75&gt;0),(MAX(DA$47:DA74)+1),0)</f>
        <v>0</v>
      </c>
      <c s="388" r="DB75"/>
      <c s="406" r="DC75"/>
      <c s="886" r="DD75"/>
      <c s="886" r="DE75"/>
      <c s="886" r="DF75"/>
      <c s="886" r="DG75"/>
      <c s="418" r="DH75"/>
      <c s="550" r="DI75"/>
      <c s="550" r="DJ75"/>
      <c t="str" s="620" r="DK75">
        <f>IF((COUNT(DJ75:DJ$146,DL75:DL$146)=0),NA(),IF(ISBLANK(DJ75),DK74,(DK74+(DJ75-DL74))))</f>
        <v>#N/A:explicit</v>
      </c>
      <c s="550" r="DL75"/>
      <c t="str" s="620" r="DM75">
        <f>IF(OR(ISBLANK(DL75),ISNUMBER(DJ76)),NA(),(DK75-DL75))</f>
        <v>#N/A:explicit</v>
      </c>
      <c t="b" s="895" r="DN75">
        <v>0</v>
      </c>
      <c s="631" r="DO75"/>
      <c t="str" s="309" r="DP75">
        <f>IF((COUNT(DI75:DI$146)=0),NA(),IF(ISBLANK(DI75),IF(ISBLANK(DI74),MAX(DI$46:DI75),DI74),DI75))</f>
        <v>#N/A:explicit</v>
      </c>
      <c t="str" s="861" r="DQ75">
        <f>IF(ISNA(DM75),IF(ISNUMBER(DP75),DQ74,NA()),DM75)</f>
        <v>#N/A:explicit</v>
      </c>
      <c s="861" r="DR75">
        <f>IF(ISNUMBER(DQ75),DQ75,(DK$46+1000))</f>
        <v>1000</v>
      </c>
      <c t="str" s="588" r="DS75">
        <f>IF((DN75=TRUE),NA(),IF((DS$44=(DK$46-MAX(DL$46:DL$146))),NA(),DS$44))</f>
        <v>#N/A:explicit</v>
      </c>
      <c s="588" r="DT75">
        <f>IF((ISNA(((DQ75*DP75)*DQ74))),0,(IF((DP75&lt;DP74),-1,1)*(IF((DN74=FALSE),IF((DN75=FALSE),IF(ISNA(DQ75),0,IF((DQ74&lt;DS$44),IF((DQ75&lt;DS$44),(((DP75-DP74)^2)^0.5),(((((DS$44-DQ74)*(DP75-DP74))/(DQ75-DQ74))^2)^0.5)),IF((DQ75&lt;DS$44),(((((DS$44-DQ75)*(DP75-DP74))/(DQ74-DQ75))^2)^0.5),0))),0),0))))</f>
        <v>0</v>
      </c>
      <c s="588" r="DU75">
        <f>IF(ISNA((DQ75*DQ74)),0,IF((DN74=FALSE),IF((DN75=FALSE),IF(ISNA(DM75),0,IF((DQ74&lt;DS$44),IF((DQ75&lt;DS$44),((DS$44-((DQ74+DQ75)*0.5))*DT75),(((DS$44-DQ74)*0.5)*DT75)),IF((DQ75&lt;DS$44),(((DS$44-DQ75)*0.5)*DT75),0))),0),0))</f>
        <v>0</v>
      </c>
      <c s="588" r="DV75">
        <f>IF(ISNA((DQ75*DQ74)),0,IF((DN74=FALSE),IF((DN75=FALSE),IF(ISNA(DQ75),0,IF((DQ74&lt;DS$44),IF((DQ75&lt;DS$44),(((DT75^2)+((DQ75-DQ74)^2))^0.5),(((DT75^2)+((DS$44-DQ74)^2))^0.5)),IF((DQ75&lt;DS$44),(((DT75^2)+((DS$44-DQ75)^2))^0.5),0))),0),0))</f>
        <v>0</v>
      </c>
      <c s="588" r="DW75">
        <f>IF(ISNUMBER((DQ75*DQ74)),IF((DQ74&gt;=DC$148),IF((DQ75&lt;DC$148),1,0),IF((DQ75&gt;=DC$148),IF((DQ74&lt;DC$148),1,0),0)),0)</f>
        <v>0</v>
      </c>
      <c s="588" r="DX75">
        <f>IF(ISNA((DQ75*DQ74)),0,(IF((DP75&lt;DP74),-1,1)*(IF(ISNA(DQ75),0,IF((DQ74&lt;DC$148),IF((DQ75&lt;DC$148),(((DP75-DP74)^2)^0.5),(((((DC$148-DQ74)*(DP75-DP74))/(DQ75-DQ74))^2)^0.5)),IF((DQ75&lt;DC$148),(((((DC$148-DQ75)*(DP75-DP74))/(DQ74-DQ75))^2)^0.5),0))))))</f>
        <v>0</v>
      </c>
      <c s="441" r="DY75">
        <f>IF((DU75&gt;0),(MAX(DY$47:DY74)+1),0)</f>
        <v>0</v>
      </c>
      <c s="388" r="DZ75"/>
      <c s="406" r="EA75"/>
      <c s="886" r="EB75"/>
      <c s="886" r="EC75"/>
      <c s="886" r="ED75"/>
      <c s="886" r="EE75"/>
      <c s="418" r="EF75"/>
      <c s="550" r="EG75"/>
      <c s="550" r="EH75"/>
      <c t="str" s="620" r="EI75">
        <f>IF((COUNT(EH75:EH$146,EJ75:EJ$146)=0),NA(),IF(ISBLANK(EH75),EI74,(EI74+(EH75-EJ74))))</f>
        <v>#N/A:explicit</v>
      </c>
      <c s="550" r="EJ75"/>
      <c t="str" s="620" r="EK75">
        <f>IF(OR(ISBLANK(EJ75),ISNUMBER(EH76)),NA(),(EI75-EJ75))</f>
        <v>#N/A:explicit</v>
      </c>
      <c t="b" s="895" r="EL75">
        <v>0</v>
      </c>
      <c s="631" r="EM75"/>
      <c t="str" s="309" r="EN75">
        <f>IF((COUNT(EG75:EG$146)=0),NA(),IF(ISBLANK(EG75),IF(ISBLANK(EG74),MAX(EG$46:EG75),EG74),EG75))</f>
        <v>#N/A:explicit</v>
      </c>
      <c t="str" s="861" r="EO75">
        <f>IF(ISNA(EK75),IF(ISNUMBER(EN75),EO74,NA()),EK75)</f>
        <v>#N/A:explicit</v>
      </c>
      <c s="861" r="EP75">
        <f>IF(ISNUMBER(EO75),EO75,(EI$46+1000))</f>
        <v>1000</v>
      </c>
      <c t="str" s="588" r="EQ75">
        <f>IF((EL75=TRUE),NA(),IF((EQ$44=(EI$46-MAX(EJ$46:EJ$146))),NA(),EQ$44))</f>
        <v>#N/A:explicit</v>
      </c>
      <c s="588" r="ER75">
        <f>IF((ISNA(((EO75*EN75)*EO74))),0,(IF((EN75&lt;EN74),-1,1)*(IF((EL74=FALSE),IF((EL75=FALSE),IF(ISNA(EO75),0,IF((EO74&lt;EQ$44),IF((EO75&lt;EQ$44),(((EN75-EN74)^2)^0.5),(((((EQ$44-EO74)*(EN75-EN74))/(EO75-EO74))^2)^0.5)),IF((EO75&lt;EQ$44),(((((EQ$44-EO75)*(EN75-EN74))/(EO74-EO75))^2)^0.5),0))),0),0))))</f>
        <v>0</v>
      </c>
      <c s="588" r="ES75">
        <f>IF(ISNA((EO75*EO74)),0,IF((EL74=FALSE),IF((EL75=FALSE),IF(ISNA(EK75),0,IF((EO74&lt;EQ$44),IF((EO75&lt;EQ$44),((EQ$44-((EO74+EO75)*0.5))*ER75),(((EQ$44-EO74)*0.5)*ER75)),IF((EO75&lt;EQ$44),(((EQ$44-EO75)*0.5)*ER75),0))),0),0))</f>
        <v>0</v>
      </c>
      <c s="588" r="ET75">
        <f>IF(ISNA((EO75*EO74)),0,IF((EL74=FALSE),IF((EL75=FALSE),IF(ISNA(EO75),0,IF((EO74&lt;EQ$44),IF((EO75&lt;EQ$44),(((ER75^2)+((EO75-EO74)^2))^0.5),(((ER75^2)+((EQ$44-EO74)^2))^0.5)),IF((EO75&lt;EQ$44),(((ER75^2)+((EQ$44-EO75)^2))^0.5),0))),0),0))</f>
        <v>0</v>
      </c>
      <c s="588" r="EU75">
        <f>IF(ISNUMBER((EO75*EO74)),IF((EO74&gt;=EA$148),IF((EO75&lt;EA$148),1,0),IF((EO75&gt;=EA$148),IF((EO74&lt;EA$148),1,0),0)),0)</f>
        <v>0</v>
      </c>
      <c s="588" r="EV75">
        <f>IF(ISNA((EO75*EO74)),0,(IF((EN75&lt;EN74),-1,1)*(IF(ISNA(EO75),0,IF((EO74&lt;EA$148),IF((EO75&lt;EA$148),(((EN75-EN74)^2)^0.5),(((((EA$148-EO74)*(EN75-EN74))/(EO75-EO74))^2)^0.5)),IF((EO75&lt;EA$148),(((((EA$148-EO75)*(EN75-EN74))/(EO74-EO75))^2)^0.5),0))))))</f>
        <v>0</v>
      </c>
      <c s="441" r="EW75">
        <f>IF((ES75&gt;0),(MAX(EW$47:EW74)+1),0)</f>
        <v>0</v>
      </c>
      <c s="388" r="EX75"/>
      <c s="406" r="EY75"/>
      <c s="886" r="EZ75"/>
      <c s="886" r="FA75"/>
      <c s="886" r="FB75"/>
      <c s="886" r="FC75"/>
      <c s="418" r="FD75"/>
      <c s="550" r="FE75"/>
      <c s="550" r="FF75"/>
      <c t="str" s="620" r="FG75">
        <f>IF((COUNT(FF75:FF$146,FH75:FH$146)=0),NA(),IF(ISBLANK(FF75),FG74,(FG74+(FF75-FH74))))</f>
        <v>#N/A:explicit</v>
      </c>
      <c s="550" r="FH75"/>
      <c t="str" s="620" r="FI75">
        <f>IF(OR(ISBLANK(FH75),ISNUMBER(FF76)),NA(),(FG75-FH75))</f>
        <v>#N/A:explicit</v>
      </c>
      <c t="b" s="895" r="FJ75">
        <v>0</v>
      </c>
      <c s="631" r="FK75"/>
      <c t="str" s="309" r="FL75">
        <f>IF((COUNT(FE75:FE$146)=0),NA(),IF(ISBLANK(FE75),IF(ISBLANK(FE74),MAX(FE$46:FE75),FE74),FE75))</f>
        <v>#N/A:explicit</v>
      </c>
      <c t="str" s="861" r="FM75">
        <f>IF(ISNA(FI75),IF(ISNUMBER(FL75),FM74,NA()),FI75)</f>
        <v>#N/A:explicit</v>
      </c>
      <c s="861" r="FN75">
        <f>IF(ISNUMBER(FM75),FM75,(FG$46+1000))</f>
        <v>1000</v>
      </c>
      <c t="str" s="588" r="FO75">
        <f>IF((FJ75=TRUE),NA(),IF((FO$44=(FG$46-MAX(FH$46:FH$146))),NA(),FO$44))</f>
        <v>#N/A:explicit</v>
      </c>
      <c s="588" r="FP75">
        <f>IF((ISNA(((FM75*FL75)*FM74))),0,(IF((FL75&lt;FL74),-1,1)*(IF((FJ74=FALSE),IF((FJ75=FALSE),IF(ISNA(FM75),0,IF((FM74&lt;FO$44),IF((FM75&lt;FO$44),(((FL75-FL74)^2)^0.5),(((((FO$44-FM74)*(FL75-FL74))/(FM75-FM74))^2)^0.5)),IF((FM75&lt;FO$44),(((((FO$44-FM75)*(FL75-FL74))/(FM74-FM75))^2)^0.5),0))),0),0))))</f>
        <v>0</v>
      </c>
      <c s="588" r="FQ75">
        <f>IF(ISNA((FM75*FM74)),0,IF((FJ74=FALSE),IF((FJ75=FALSE),IF(ISNA(FI75),0,IF((FM74&lt;FO$44),IF((FM75&lt;FO$44),((FO$44-((FM74+FM75)*0.5))*FP75),(((FO$44-FM74)*0.5)*FP75)),IF((FM75&lt;FO$44),(((FO$44-FM75)*0.5)*FP75),0))),0),0))</f>
        <v>0</v>
      </c>
      <c s="588" r="FR75">
        <f>IF(ISNA((FM75*FM74)),0,IF((FJ74=FALSE),IF((FJ75=FALSE),IF(ISNA(FM75),0,IF((FM74&lt;FO$44),IF((FM75&lt;FO$44),(((FP75^2)+((FM75-FM74)^2))^0.5),(((FP75^2)+((FO$44-FM74)^2))^0.5)),IF((FM75&lt;FO$44),(((FP75^2)+((FO$44-FM75)^2))^0.5),0))),0),0))</f>
        <v>0</v>
      </c>
      <c s="588" r="FS75">
        <f>IF(ISNUMBER((FM75*FM74)),IF((FM74&gt;=EY$148),IF((FM75&lt;EY$148),1,0),IF((FM75&gt;=EY$148),IF((FM74&lt;EY$148),1,0),0)),0)</f>
        <v>0</v>
      </c>
      <c s="588" r="FT75">
        <f>IF(ISNA((FM75*FM74)),0,(IF((FL75&lt;FL74),-1,1)*(IF(ISNA(FM75),0,IF((FM74&lt;EY$148),IF((FM75&lt;EY$148),(((FL75-FL74)^2)^0.5),(((((EY$148-FM74)*(FL75-FL74))/(FM75-FM74))^2)^0.5)),IF((FM75&lt;EY$148),(((((EY$148-FM75)*(FL75-FL74))/(FM74-FM75))^2)^0.5),0))))))</f>
        <v>0</v>
      </c>
      <c s="441" r="FU75">
        <f>IF((FQ75&gt;0),(MAX(FU$47:FU74)+1),0)</f>
        <v>0</v>
      </c>
      <c s="222" r="FV75"/>
      <c s="125" r="FW75"/>
      <c s="125" r="FX75"/>
      <c s="125" r="FY75"/>
      <c s="125" r="FZ75"/>
      <c s="125" r="GA75"/>
      <c s="125" r="GB75"/>
      <c s="125" r="GC75"/>
      <c s="125" r="GD75"/>
      <c s="125" r="GE75"/>
      <c s="125" r="GF75"/>
      <c s="125" r="GG75"/>
      <c s="125" r="GH75"/>
      <c s="125" r="GI75"/>
      <c s="125" r="GJ75"/>
      <c s="125" r="GK75"/>
      <c s="125" r="GL75"/>
      <c s="125" r="GM75"/>
      <c s="125" r="GN75"/>
      <c s="125" r="GO75"/>
      <c s="125" r="GP75"/>
      <c s="125" r="GQ75"/>
      <c s="125" r="GR75"/>
      <c s="125" r="GS75"/>
      <c s="125" r="GT75"/>
      <c s="125" r="GU75"/>
      <c s="125" r="GV75"/>
      <c s="125" r="GW75"/>
      <c s="125" r="GX75"/>
      <c s="125" r="GY75"/>
      <c s="125" r="GZ75"/>
      <c s="125" r="HA75"/>
      <c s="125" r="HB75"/>
    </row>
    <row customHeight="1" r="76" ht="13.5">
      <c s="822" r="A76"/>
      <c s="908" r="B76"/>
      <c s="8" r="C76"/>
      <c s="207" r="D76"/>
      <c s="304" r="E76"/>
      <c s="304" r="F76"/>
      <c s="304" r="G76"/>
      <c s="12" r="H76"/>
      <c s="51" r="I76"/>
      <c t="s" s="822" r="J76">
        <v>2</v>
      </c>
      <c s="406" r="K76"/>
      <c s="886" r="L76"/>
      <c s="886" r="M76"/>
      <c s="886" r="N76"/>
      <c s="886" r="O76"/>
      <c s="418" r="P76"/>
      <c s="550" r="Q76"/>
      <c s="550" r="R76"/>
      <c t="str" s="620" r="S76">
        <f>IF((COUNT(R76:R$146,T76:T$146)=0),NA(),IF(ISBLANK(R76),S75,(S75+(R76-T75))))</f>
        <v>#N/A:explicit</v>
      </c>
      <c s="550" r="T76"/>
      <c t="str" s="620" r="U76">
        <f>IF(OR(ISBLANK(T76),ISNUMBER(R77)),NA(),(S76-T76))</f>
        <v>#N/A:explicit</v>
      </c>
      <c t="b" s="895" r="V76">
        <v>0</v>
      </c>
      <c s="631" r="W76"/>
      <c t="str" s="309" r="X76">
        <f>IF((COUNT(Q76:Q$146)=0),NA(),IF(ISBLANK(Q76),IF(ISBLANK(Q75),MAX(Q$46:Q76),Q75),Q76))</f>
        <v>#N/A:explicit</v>
      </c>
      <c t="str" s="861" r="Y76">
        <f>IF(ISNA(U76),IF(ISNUMBER(X76),Y75,NA()),U76)</f>
        <v>#N/A:explicit</v>
      </c>
      <c s="861" r="Z76">
        <f>IF(ISNUMBER(Y76),Y76,(S$46+1000))</f>
        <v>1000</v>
      </c>
      <c t="str" s="588" r="AA76">
        <f>IF((V76=TRUE),NA(),IF((AA$44=(S$46-MAX(T$46:T$146))),NA(),AA$44))</f>
        <v>#N/A:explicit</v>
      </c>
      <c s="588" r="AB76">
        <f>IF((ISNA(((Y76*X76)*Y75))),0,(IF((X76&lt;X75),-1,1)*(IF((V75=FALSE),IF((V76=FALSE),IF(ISNA(Y76),0,IF((Y75&lt;AA$44),IF((Y76&lt;AA$44),(((X76-X75)^2)^0.5),(((((AA$44-Y75)*(X76-X75))/(Y76-Y75))^2)^0.5)),IF((Y76&lt;AA$44),(((((AA$44-Y76)*(X76-X75))/(Y75-Y76))^2)^0.5),0))),0),0))))</f>
        <v>0</v>
      </c>
      <c s="588" r="AC76">
        <f>IF(ISNA((Y76*Y75)),0,IF((V75=FALSE),IF((V76=FALSE),IF(ISNA(U76),0,IF((Y75&lt;AA$44),IF((Y76&lt;AA$44),((AA$44-((Y75+Y76)*0.5))*AB76),(((AA$44-Y75)*0.5)*AB76)),IF((Y76&lt;AA$44),(((AA$44-Y76)*0.5)*AB76),0))),0),0))</f>
        <v>0</v>
      </c>
      <c s="588" r="AD76">
        <f>IF(ISNA((Y76*Y75)),0,IF((V75=FALSE),IF((V76=FALSE),IF(ISNA(Y76),0,IF((Y75&lt;AA$44),IF((Y76&lt;AA$44),(((AB76^2)+((Y76-Y75)^2))^0.5),(((AB76^2)+((AA$44-Y75)^2))^0.5)),IF((Y76&lt;AA$44),(((AB76^2)+((AA$44-Y76)^2))^0.5),0))),0),0))</f>
        <v>0</v>
      </c>
      <c s="588" r="AE76">
        <f>IF(ISNUMBER((Y76*Y75)),IF((Y75&gt;=K$148),IF((Y76&lt;K$148),1,0),IF((Y76&gt;=K$148),IF((Y75&lt;K$148),1,0),0)),0)</f>
        <v>0</v>
      </c>
      <c s="588" r="AF76">
        <f>IF(ISNA((Y76*Y75)),0,(IF((X76&lt;X75),-1,1)*(IF(ISNA(Y76),0,IF((Y75&lt;K$148),IF((Y76&lt;K$148),(((X76-X75)^2)^0.5),(((((K$148-Y75)*(X76-X75))/(Y76-Y75))^2)^0.5)),IF((Y76&lt;K$148),(((((K$148-Y76)*(X76-X75))/(Y75-Y76))^2)^0.5),0))))))</f>
        <v>0</v>
      </c>
      <c s="441" r="AG76">
        <f>IF((AC76&gt;0),(MAX(AG$47:AG75)+1),0)</f>
        <v>0</v>
      </c>
      <c s="388" r="AH76"/>
      <c s="406" r="AI76"/>
      <c s="886" r="AJ76"/>
      <c s="886" r="AK76"/>
      <c s="886" r="AL76"/>
      <c s="886" r="AM76"/>
      <c s="418" r="AN76"/>
      <c s="550" r="AO76"/>
      <c s="550" r="AP76"/>
      <c t="str" s="620" r="AQ76">
        <f>IF((COUNT(AP76:AP$146,AR76:AR$146)=0),NA(),IF(ISBLANK(AP76),AQ75,(AQ75+(AP76-AR75))))</f>
        <v>#N/A:explicit</v>
      </c>
      <c s="550" r="AR76"/>
      <c t="str" s="620" r="AS76">
        <f>IF(OR(ISBLANK(AR76),ISNUMBER(AP77)),NA(),(AQ76-AR76))</f>
        <v>#N/A:explicit</v>
      </c>
      <c t="b" s="895" r="AT76">
        <v>0</v>
      </c>
      <c s="631" r="AU76"/>
      <c t="str" s="309" r="AV76">
        <f>IF((COUNT(AO76:AO$146)=0),NA(),IF(ISBLANK(AO76),IF(ISBLANK(AO75),MAX(AO$46:AO76),AO75),AO76))</f>
        <v>#N/A:explicit</v>
      </c>
      <c t="str" s="861" r="AW76">
        <f>IF(ISNA(AS76),IF(ISNUMBER(AV76),AW75,NA()),AS76)</f>
        <v>#N/A:explicit</v>
      </c>
      <c s="861" r="AX76">
        <f>IF(ISNUMBER(AW76),AW76,(AQ$46+1000))</f>
        <v>1000</v>
      </c>
      <c t="str" s="588" r="AY76">
        <f>IF((AT76=TRUE),NA(),IF((AY$44=(AQ$46-MAX(AR$46:AR$146))),NA(),AY$44))</f>
        <v>#N/A:explicit</v>
      </c>
      <c s="588" r="AZ76">
        <f>IF((ISNA(((AW76*AV76)*AW75))),0,(IF((AV76&lt;AV75),-1,1)*(IF((AT75=FALSE),IF((AT76=FALSE),IF(ISNA(AW76),0,IF((AW75&lt;AY$44),IF((AW76&lt;AY$44),(((AV76-AV75)^2)^0.5),(((((AY$44-AW75)*(AV76-AV75))/(AW76-AW75))^2)^0.5)),IF((AW76&lt;AY$44),(((((AY$44-AW76)*(AV76-AV75))/(AW75-AW76))^2)^0.5),0))),0),0))))</f>
        <v>0</v>
      </c>
      <c s="588" r="BA76">
        <f>IF(ISNA((AW76*AW75)),0,IF((AT75=FALSE),IF((AT76=FALSE),IF(ISNA(AS76),0,IF((AW75&lt;AY$44),IF((AW76&lt;AY$44),((AY$44-((AW75+AW76)*0.5))*AZ76),(((AY$44-AW75)*0.5)*AZ76)),IF((AW76&lt;AY$44),(((AY$44-AW76)*0.5)*AZ76),0))),0),0))</f>
        <v>0</v>
      </c>
      <c s="588" r="BB76">
        <f>IF(ISNA((AW76*AW75)),0,IF((AT75=FALSE),IF((AT76=FALSE),IF(ISNA(AW76),0,IF((AW75&lt;AY$44),IF((AW76&lt;AY$44),(((AZ76^2)+((AW76-AW75)^2))^0.5),(((AZ76^2)+((AY$44-AW75)^2))^0.5)),IF((AW76&lt;AY$44),(((AZ76^2)+((AY$44-AW76)^2))^0.5),0))),0),0))</f>
        <v>0</v>
      </c>
      <c s="588" r="BC76">
        <f>IF(ISNUMBER((AW76*AW75)),IF((AW75&gt;=AI$148),IF((AW76&lt;AI$148),1,0),IF((AW76&gt;=AI$148),IF((AW75&lt;AI$148),1,0),0)),0)</f>
        <v>0</v>
      </c>
      <c s="588" r="BD76">
        <f>IF(ISNA((AW76*AW75)),0,(IF((AV76&lt;AV75),-1,1)*(IF(ISNA(AW76),0,IF((AW75&lt;AI$148),IF((AW76&lt;AI$148),(((AV76-AV75)^2)^0.5),(((((AI$148-AW75)*(AV76-AV75))/(AW76-AW75))^2)^0.5)),IF((AW76&lt;AI$148),(((((AI$148-AW76)*(AV76-AV75))/(AW75-AW76))^2)^0.5),0))))))</f>
        <v>0</v>
      </c>
      <c s="441" r="BE76">
        <f>IF((BA76&gt;0),(MAX(BE$47:BE75)+1),0)</f>
        <v>0</v>
      </c>
      <c s="388" r="BF76"/>
      <c s="406" r="BG76"/>
      <c s="886" r="BH76"/>
      <c s="886" r="BI76"/>
      <c s="886" r="BJ76"/>
      <c s="886" r="BK76"/>
      <c s="418" r="BL76"/>
      <c s="550" r="BM76"/>
      <c s="550" r="BN76"/>
      <c t="str" s="620" r="BO76">
        <f>IF((COUNT(BN76:BN$146,BP76:BP$146)=0),NA(),IF(ISBLANK(BN76),BO75,(BO75+(BN76-BP75))))</f>
        <v>#N/A:explicit</v>
      </c>
      <c s="550" r="BP76"/>
      <c t="str" s="620" r="BQ76">
        <f>IF(OR(ISBLANK(BP76),ISNUMBER(BN77)),NA(),(BO76-BP76))</f>
        <v>#N/A:explicit</v>
      </c>
      <c t="b" s="895" r="BR76">
        <v>0</v>
      </c>
      <c s="631" r="BS76"/>
      <c t="str" s="309" r="BT76">
        <f>IF((COUNT(BM76:BM$146)=0),NA(),IF(ISBLANK(BM76),IF(ISBLANK(BM75),MAX(BM$46:BM76),BM75),BM76))</f>
        <v>#N/A:explicit</v>
      </c>
      <c t="str" s="861" r="BU76">
        <f>IF(ISNA(BQ76),IF(ISNUMBER(BT76),BU75,NA()),BQ76)</f>
        <v>#N/A:explicit</v>
      </c>
      <c s="861" r="BV76">
        <f>IF(ISNUMBER(BU76),BU76,(BO$46+1000))</f>
        <v>1000</v>
      </c>
      <c t="str" s="588" r="BW76">
        <f>IF((BR76=TRUE),NA(),IF((BW$44=(BO$46-MAX(BP$46:BP$146))),NA(),BW$44))</f>
        <v>#N/A:explicit</v>
      </c>
      <c s="588" r="BX76">
        <f>IF((ISNA(((BU76*BT76)*BU75))),0,(IF((BT76&lt;BT75),-1,1)*(IF((BR75=FALSE),IF((BR76=FALSE),IF(ISNA(BU76),0,IF((BU75&lt;BW$44),IF((BU76&lt;BW$44),(((BT76-BT75)^2)^0.5),(((((BW$44-BU75)*(BT76-BT75))/(BU76-BU75))^2)^0.5)),IF((BU76&lt;BW$44),(((((BW$44-BU76)*(BT76-BT75))/(BU75-BU76))^2)^0.5),0))),0),0))))</f>
        <v>0</v>
      </c>
      <c s="588" r="BY76">
        <f>IF(ISNA((BU76*BU75)),0,IF((BR75=FALSE),IF((BR76=FALSE),IF(ISNA(BQ76),0,IF((BU75&lt;BW$44),IF((BU76&lt;BW$44),((BW$44-((BU75+BU76)*0.5))*BX76),(((BW$44-BU75)*0.5)*BX76)),IF((BU76&lt;BW$44),(((BW$44-BU76)*0.5)*BX76),0))),0),0))</f>
        <v>0</v>
      </c>
      <c s="588" r="BZ76">
        <f>IF(ISNA((BU76*BU75)),0,IF((BR75=FALSE),IF((BR76=FALSE),IF(ISNA(BU76),0,IF((BU75&lt;BW$44),IF((BU76&lt;BW$44),(((BX76^2)+((BU76-BU75)^2))^0.5),(((BX76^2)+((BW$44-BU75)^2))^0.5)),IF((BU76&lt;BW$44),(((BX76^2)+((BW$44-BU76)^2))^0.5),0))),0),0))</f>
        <v>0</v>
      </c>
      <c s="588" r="CA76">
        <f>IF(ISNUMBER((BU76*BU75)),IF((BU75&gt;=BG$148),IF((BU76&lt;BG$148),1,0),IF((BU76&gt;=BG$148),IF((BU75&lt;BG$148),1,0),0)),0)</f>
        <v>0</v>
      </c>
      <c s="588" r="CB76">
        <f>IF(ISNA((BU76*BU75)),0,(IF((BT76&lt;BT75),-1,1)*(IF(ISNA(BU76),0,IF((BU75&lt;BG$148),IF((BU76&lt;BG$148),(((BT76-BT75)^2)^0.5),(((((BG$148-BU75)*(BT76-BT75))/(BU76-BU75))^2)^0.5)),IF((BU76&lt;BG$148),(((((BG$148-BU76)*(BT76-BT75))/(BU75-BU76))^2)^0.5),0))))))</f>
        <v>0</v>
      </c>
      <c s="441" r="CC76">
        <f>IF((BY76&gt;0),(MAX(CC$47:CC75)+1),0)</f>
        <v>0</v>
      </c>
      <c s="388" r="CD76"/>
      <c s="406" r="CE76"/>
      <c s="886" r="CF76"/>
      <c s="886" r="CG76"/>
      <c s="886" r="CH76"/>
      <c s="886" r="CI76"/>
      <c s="418" r="CJ76"/>
      <c s="550" r="CK76"/>
      <c s="550" r="CL76"/>
      <c t="str" s="620" r="CM76">
        <f>IF((COUNT(CL76:CL$146,CN76:CN$146)=0),NA(),IF(ISBLANK(CL76),CM75,(CM75+(CL76-CN75))))</f>
        <v>#N/A:explicit</v>
      </c>
      <c s="550" r="CN76"/>
      <c t="str" s="620" r="CO76">
        <f>IF(OR(ISBLANK(CN76),ISNUMBER(CL77)),NA(),(CM76-CN76))</f>
        <v>#N/A:explicit</v>
      </c>
      <c t="b" s="895" r="CP76">
        <v>0</v>
      </c>
      <c s="631" r="CQ76"/>
      <c t="str" s="309" r="CR76">
        <f>IF((COUNT(CK76:CK$146)=0),NA(),IF(ISBLANK(CK76),IF(ISBLANK(CK75),MAX(CK$46:CK76),CK75),CK76))</f>
        <v>#N/A:explicit</v>
      </c>
      <c t="str" s="861" r="CS76">
        <f>IF(ISNA(CO76),IF(ISNUMBER(CR76),CS75,NA()),CO76)</f>
        <v>#N/A:explicit</v>
      </c>
      <c s="861" r="CT76">
        <f>IF(ISNUMBER(CS76),CS76,(CM$46+1000))</f>
        <v>1000</v>
      </c>
      <c t="str" s="588" r="CU76">
        <f>IF((CP76=TRUE),NA(),IF((CU$44=(CM$46-MAX(CN$46:CN$146))),NA(),CU$44))</f>
        <v>#N/A:explicit</v>
      </c>
      <c s="588" r="CV76">
        <f>IF((ISNA(((CS76*CR76)*CS75))),0,(IF((CR76&lt;CR75),-1,1)*(IF((CP75=FALSE),IF((CP76=FALSE),IF(ISNA(CS76),0,IF((CS75&lt;CU$44),IF((CS76&lt;CU$44),(((CR76-CR75)^2)^0.5),(((((CU$44-CS75)*(CR76-CR75))/(CS76-CS75))^2)^0.5)),IF((CS76&lt;CU$44),(((((CU$44-CS76)*(CR76-CR75))/(CS75-CS76))^2)^0.5),0))),0),0))))</f>
        <v>0</v>
      </c>
      <c s="588" r="CW76">
        <f>IF(ISNA((CS76*CS75)),0,IF((CP75=FALSE),IF((CP76=FALSE),IF(ISNA(CO76),0,IF((CS75&lt;CU$44),IF((CS76&lt;CU$44),((CU$44-((CS75+CS76)*0.5))*CV76),(((CU$44-CS75)*0.5)*CV76)),IF((CS76&lt;CU$44),(((CU$44-CS76)*0.5)*CV76),0))),0),0))</f>
        <v>0</v>
      </c>
      <c s="588" r="CX76">
        <f>IF(ISNA((CS76*CS75)),0,IF((CP75=FALSE),IF((CP76=FALSE),IF(ISNA(CS76),0,IF((CS75&lt;CU$44),IF((CS76&lt;CU$44),(((CV76^2)+((CS76-CS75)^2))^0.5),(((CV76^2)+((CU$44-CS75)^2))^0.5)),IF((CS76&lt;CU$44),(((CV76^2)+((CU$44-CS76)^2))^0.5),0))),0),0))</f>
        <v>0</v>
      </c>
      <c s="588" r="CY76">
        <f>IF(ISNUMBER((CS76*CS75)),IF((CS75&gt;=CE$148),IF((CS76&lt;CE$148),1,0),IF((CS76&gt;=CE$148),IF((CS75&lt;CE$148),1,0),0)),0)</f>
        <v>0</v>
      </c>
      <c s="588" r="CZ76">
        <f>IF(ISNA((CS76*CS75)),0,(IF((CR76&lt;CR75),-1,1)*(IF(ISNA(CS76),0,IF((CS75&lt;CE$148),IF((CS76&lt;CE$148),(((CR76-CR75)^2)^0.5),(((((CE$148-CS75)*(CR76-CR75))/(CS76-CS75))^2)^0.5)),IF((CS76&lt;CE$148),(((((CE$148-CS76)*(CR76-CR75))/(CS75-CS76))^2)^0.5),0))))))</f>
        <v>0</v>
      </c>
      <c s="441" r="DA76">
        <f>IF((CW76&gt;0),(MAX(DA$47:DA75)+1),0)</f>
        <v>0</v>
      </c>
      <c s="388" r="DB76"/>
      <c s="406" r="DC76"/>
      <c s="886" r="DD76"/>
      <c s="886" r="DE76"/>
      <c s="886" r="DF76"/>
      <c s="886" r="DG76"/>
      <c s="418" r="DH76"/>
      <c s="550" r="DI76"/>
      <c s="550" r="DJ76"/>
      <c t="str" s="620" r="DK76">
        <f>IF((COUNT(DJ76:DJ$146,DL76:DL$146)=0),NA(),IF(ISBLANK(DJ76),DK75,(DK75+(DJ76-DL75))))</f>
        <v>#N/A:explicit</v>
      </c>
      <c s="550" r="DL76"/>
      <c t="str" s="620" r="DM76">
        <f>IF(OR(ISBLANK(DL76),ISNUMBER(DJ77)),NA(),(DK76-DL76))</f>
        <v>#N/A:explicit</v>
      </c>
      <c t="b" s="895" r="DN76">
        <v>0</v>
      </c>
      <c s="631" r="DO76"/>
      <c t="str" s="309" r="DP76">
        <f>IF((COUNT(DI76:DI$146)=0),NA(),IF(ISBLANK(DI76),IF(ISBLANK(DI75),MAX(DI$46:DI76),DI75),DI76))</f>
        <v>#N/A:explicit</v>
      </c>
      <c t="str" s="861" r="DQ76">
        <f>IF(ISNA(DM76),IF(ISNUMBER(DP76),DQ75,NA()),DM76)</f>
        <v>#N/A:explicit</v>
      </c>
      <c s="861" r="DR76">
        <f>IF(ISNUMBER(DQ76),DQ76,(DK$46+1000))</f>
        <v>1000</v>
      </c>
      <c t="str" s="588" r="DS76">
        <f>IF((DN76=TRUE),NA(),IF((DS$44=(DK$46-MAX(DL$46:DL$146))),NA(),DS$44))</f>
        <v>#N/A:explicit</v>
      </c>
      <c s="588" r="DT76">
        <f>IF((ISNA(((DQ76*DP76)*DQ75))),0,(IF((DP76&lt;DP75),-1,1)*(IF((DN75=FALSE),IF((DN76=FALSE),IF(ISNA(DQ76),0,IF((DQ75&lt;DS$44),IF((DQ76&lt;DS$44),(((DP76-DP75)^2)^0.5),(((((DS$44-DQ75)*(DP76-DP75))/(DQ76-DQ75))^2)^0.5)),IF((DQ76&lt;DS$44),(((((DS$44-DQ76)*(DP76-DP75))/(DQ75-DQ76))^2)^0.5),0))),0),0))))</f>
        <v>0</v>
      </c>
      <c s="588" r="DU76">
        <f>IF(ISNA((DQ76*DQ75)),0,IF((DN75=FALSE),IF((DN76=FALSE),IF(ISNA(DM76),0,IF((DQ75&lt;DS$44),IF((DQ76&lt;DS$44),((DS$44-((DQ75+DQ76)*0.5))*DT76),(((DS$44-DQ75)*0.5)*DT76)),IF((DQ76&lt;DS$44),(((DS$44-DQ76)*0.5)*DT76),0))),0),0))</f>
        <v>0</v>
      </c>
      <c s="588" r="DV76">
        <f>IF(ISNA((DQ76*DQ75)),0,IF((DN75=FALSE),IF((DN76=FALSE),IF(ISNA(DQ76),0,IF((DQ75&lt;DS$44),IF((DQ76&lt;DS$44),(((DT76^2)+((DQ76-DQ75)^2))^0.5),(((DT76^2)+((DS$44-DQ75)^2))^0.5)),IF((DQ76&lt;DS$44),(((DT76^2)+((DS$44-DQ76)^2))^0.5),0))),0),0))</f>
        <v>0</v>
      </c>
      <c s="588" r="DW76">
        <f>IF(ISNUMBER((DQ76*DQ75)),IF((DQ75&gt;=DC$148),IF((DQ76&lt;DC$148),1,0),IF((DQ76&gt;=DC$148),IF((DQ75&lt;DC$148),1,0),0)),0)</f>
        <v>0</v>
      </c>
      <c s="588" r="DX76">
        <f>IF(ISNA((DQ76*DQ75)),0,(IF((DP76&lt;DP75),-1,1)*(IF(ISNA(DQ76),0,IF((DQ75&lt;DC$148),IF((DQ76&lt;DC$148),(((DP76-DP75)^2)^0.5),(((((DC$148-DQ75)*(DP76-DP75))/(DQ76-DQ75))^2)^0.5)),IF((DQ76&lt;DC$148),(((((DC$148-DQ76)*(DP76-DP75))/(DQ75-DQ76))^2)^0.5),0))))))</f>
        <v>0</v>
      </c>
      <c s="441" r="DY76">
        <f>IF((DU76&gt;0),(MAX(DY$47:DY75)+1),0)</f>
        <v>0</v>
      </c>
      <c s="388" r="DZ76"/>
      <c s="406" r="EA76"/>
      <c s="886" r="EB76"/>
      <c s="886" r="EC76"/>
      <c s="886" r="ED76"/>
      <c s="886" r="EE76"/>
      <c s="418" r="EF76"/>
      <c s="550" r="EG76"/>
      <c s="550" r="EH76"/>
      <c t="str" s="620" r="EI76">
        <f>IF((COUNT(EH76:EH$146,EJ76:EJ$146)=0),NA(),IF(ISBLANK(EH76),EI75,(EI75+(EH76-EJ75))))</f>
        <v>#N/A:explicit</v>
      </c>
      <c s="550" r="EJ76"/>
      <c t="str" s="620" r="EK76">
        <f>IF(OR(ISBLANK(EJ76),ISNUMBER(EH77)),NA(),(EI76-EJ76))</f>
        <v>#N/A:explicit</v>
      </c>
      <c t="b" s="895" r="EL76">
        <v>0</v>
      </c>
      <c s="631" r="EM76"/>
      <c t="str" s="309" r="EN76">
        <f>IF((COUNT(EG76:EG$146)=0),NA(),IF(ISBLANK(EG76),IF(ISBLANK(EG75),MAX(EG$46:EG76),EG75),EG76))</f>
        <v>#N/A:explicit</v>
      </c>
      <c t="str" s="861" r="EO76">
        <f>IF(ISNA(EK76),IF(ISNUMBER(EN76),EO75,NA()),EK76)</f>
        <v>#N/A:explicit</v>
      </c>
      <c s="861" r="EP76">
        <f>IF(ISNUMBER(EO76),EO76,(EI$46+1000))</f>
        <v>1000</v>
      </c>
      <c t="str" s="588" r="EQ76">
        <f>IF((EL76=TRUE),NA(),IF((EQ$44=(EI$46-MAX(EJ$46:EJ$146))),NA(),EQ$44))</f>
        <v>#N/A:explicit</v>
      </c>
      <c s="588" r="ER76">
        <f>IF((ISNA(((EO76*EN76)*EO75))),0,(IF((EN76&lt;EN75),-1,1)*(IF((EL75=FALSE),IF((EL76=FALSE),IF(ISNA(EO76),0,IF((EO75&lt;EQ$44),IF((EO76&lt;EQ$44),(((EN76-EN75)^2)^0.5),(((((EQ$44-EO75)*(EN76-EN75))/(EO76-EO75))^2)^0.5)),IF((EO76&lt;EQ$44),(((((EQ$44-EO76)*(EN76-EN75))/(EO75-EO76))^2)^0.5),0))),0),0))))</f>
        <v>0</v>
      </c>
      <c s="588" r="ES76">
        <f>IF(ISNA((EO76*EO75)),0,IF((EL75=FALSE),IF((EL76=FALSE),IF(ISNA(EK76),0,IF((EO75&lt;EQ$44),IF((EO76&lt;EQ$44),((EQ$44-((EO75+EO76)*0.5))*ER76),(((EQ$44-EO75)*0.5)*ER76)),IF((EO76&lt;EQ$44),(((EQ$44-EO76)*0.5)*ER76),0))),0),0))</f>
        <v>0</v>
      </c>
      <c s="588" r="ET76">
        <f>IF(ISNA((EO76*EO75)),0,IF((EL75=FALSE),IF((EL76=FALSE),IF(ISNA(EO76),0,IF((EO75&lt;EQ$44),IF((EO76&lt;EQ$44),(((ER76^2)+((EO76-EO75)^2))^0.5),(((ER76^2)+((EQ$44-EO75)^2))^0.5)),IF((EO76&lt;EQ$44),(((ER76^2)+((EQ$44-EO76)^2))^0.5),0))),0),0))</f>
        <v>0</v>
      </c>
      <c s="588" r="EU76">
        <f>IF(ISNUMBER((EO76*EO75)),IF((EO75&gt;=EA$148),IF((EO76&lt;EA$148),1,0),IF((EO76&gt;=EA$148),IF((EO75&lt;EA$148),1,0),0)),0)</f>
        <v>0</v>
      </c>
      <c s="588" r="EV76">
        <f>IF(ISNA((EO76*EO75)),0,(IF((EN76&lt;EN75),-1,1)*(IF(ISNA(EO76),0,IF((EO75&lt;EA$148),IF((EO76&lt;EA$148),(((EN76-EN75)^2)^0.5),(((((EA$148-EO75)*(EN76-EN75))/(EO76-EO75))^2)^0.5)),IF((EO76&lt;EA$148),(((((EA$148-EO76)*(EN76-EN75))/(EO75-EO76))^2)^0.5),0))))))</f>
        <v>0</v>
      </c>
      <c s="441" r="EW76">
        <f>IF((ES76&gt;0),(MAX(EW$47:EW75)+1),0)</f>
        <v>0</v>
      </c>
      <c s="388" r="EX76"/>
      <c s="406" r="EY76"/>
      <c s="886" r="EZ76"/>
      <c s="886" r="FA76"/>
      <c s="886" r="FB76"/>
      <c s="886" r="FC76"/>
      <c s="418" r="FD76"/>
      <c s="550" r="FE76"/>
      <c s="550" r="FF76"/>
      <c t="str" s="620" r="FG76">
        <f>IF((COUNT(FF76:FF$146,FH76:FH$146)=0),NA(),IF(ISBLANK(FF76),FG75,(FG75+(FF76-FH75))))</f>
        <v>#N/A:explicit</v>
      </c>
      <c s="550" r="FH76"/>
      <c t="str" s="620" r="FI76">
        <f>IF(OR(ISBLANK(FH76),ISNUMBER(FF77)),NA(),(FG76-FH76))</f>
        <v>#N/A:explicit</v>
      </c>
      <c t="b" s="895" r="FJ76">
        <v>0</v>
      </c>
      <c s="631" r="FK76"/>
      <c t="str" s="309" r="FL76">
        <f>IF((COUNT(FE76:FE$146)=0),NA(),IF(ISBLANK(FE76),IF(ISBLANK(FE75),MAX(FE$46:FE76),FE75),FE76))</f>
        <v>#N/A:explicit</v>
      </c>
      <c t="str" s="861" r="FM76">
        <f>IF(ISNA(FI76),IF(ISNUMBER(FL76),FM75,NA()),FI76)</f>
        <v>#N/A:explicit</v>
      </c>
      <c s="861" r="FN76">
        <f>IF(ISNUMBER(FM76),FM76,(FG$46+1000))</f>
        <v>1000</v>
      </c>
      <c t="str" s="588" r="FO76">
        <f>IF((FJ76=TRUE),NA(),IF((FO$44=(FG$46-MAX(FH$46:FH$146))),NA(),FO$44))</f>
        <v>#N/A:explicit</v>
      </c>
      <c s="588" r="FP76">
        <f>IF((ISNA(((FM76*FL76)*FM75))),0,(IF((FL76&lt;FL75),-1,1)*(IF((FJ75=FALSE),IF((FJ76=FALSE),IF(ISNA(FM76),0,IF((FM75&lt;FO$44),IF((FM76&lt;FO$44),(((FL76-FL75)^2)^0.5),(((((FO$44-FM75)*(FL76-FL75))/(FM76-FM75))^2)^0.5)),IF((FM76&lt;FO$44),(((((FO$44-FM76)*(FL76-FL75))/(FM75-FM76))^2)^0.5),0))),0),0))))</f>
        <v>0</v>
      </c>
      <c s="588" r="FQ76">
        <f>IF(ISNA((FM76*FM75)),0,IF((FJ75=FALSE),IF((FJ76=FALSE),IF(ISNA(FI76),0,IF((FM75&lt;FO$44),IF((FM76&lt;FO$44),((FO$44-((FM75+FM76)*0.5))*FP76),(((FO$44-FM75)*0.5)*FP76)),IF((FM76&lt;FO$44),(((FO$44-FM76)*0.5)*FP76),0))),0),0))</f>
        <v>0</v>
      </c>
      <c s="588" r="FR76">
        <f>IF(ISNA((FM76*FM75)),0,IF((FJ75=FALSE),IF((FJ76=FALSE),IF(ISNA(FM76),0,IF((FM75&lt;FO$44),IF((FM76&lt;FO$44),(((FP76^2)+((FM76-FM75)^2))^0.5),(((FP76^2)+((FO$44-FM75)^2))^0.5)),IF((FM76&lt;FO$44),(((FP76^2)+((FO$44-FM76)^2))^0.5),0))),0),0))</f>
        <v>0</v>
      </c>
      <c s="588" r="FS76">
        <f>IF(ISNUMBER((FM76*FM75)),IF((FM75&gt;=EY$148),IF((FM76&lt;EY$148),1,0),IF((FM76&gt;=EY$148),IF((FM75&lt;EY$148),1,0),0)),0)</f>
        <v>0</v>
      </c>
      <c s="588" r="FT76">
        <f>IF(ISNA((FM76*FM75)),0,(IF((FL76&lt;FL75),-1,1)*(IF(ISNA(FM76),0,IF((FM75&lt;EY$148),IF((FM76&lt;EY$148),(((FL76-FL75)^2)^0.5),(((((EY$148-FM75)*(FL76-FL75))/(FM76-FM75))^2)^0.5)),IF((FM76&lt;EY$148),(((((EY$148-FM76)*(FL76-FL75))/(FM75-FM76))^2)^0.5),0))))))</f>
        <v>0</v>
      </c>
      <c s="441" r="FU76">
        <f>IF((FQ76&gt;0),(MAX(FU$47:FU75)+1),0)</f>
        <v>0</v>
      </c>
      <c s="222" r="FV76"/>
      <c s="125" r="FW76"/>
      <c s="125" r="FX76"/>
      <c s="125" r="FY76"/>
      <c s="125" r="FZ76"/>
      <c s="125" r="GA76"/>
      <c s="125" r="GB76"/>
      <c s="125" r="GC76"/>
      <c s="125" r="GD76"/>
      <c s="125" r="GE76"/>
      <c s="125" r="GF76"/>
      <c s="125" r="GG76"/>
      <c s="125" r="GH76"/>
      <c s="125" r="GI76"/>
      <c s="125" r="GJ76"/>
      <c s="125" r="GK76"/>
      <c s="125" r="GL76"/>
      <c s="125" r="GM76"/>
      <c s="125" r="GN76"/>
      <c s="125" r="GO76"/>
      <c s="125" r="GP76"/>
      <c s="125" r="GQ76"/>
      <c s="125" r="GR76"/>
      <c s="125" r="GS76"/>
      <c s="125" r="GT76"/>
      <c s="125" r="GU76"/>
      <c s="125" r="GV76"/>
      <c s="125" r="GW76"/>
      <c s="125" r="GX76"/>
      <c s="125" r="GY76"/>
      <c s="125" r="GZ76"/>
      <c s="125" r="HA76"/>
      <c s="125" r="HB76"/>
    </row>
    <row customHeight="1" r="77" ht="13.5">
      <c s="822" r="A77"/>
      <c s="908" r="B77"/>
      <c s="8" r="C77"/>
      <c s="207" r="D77"/>
      <c s="304" r="E77"/>
      <c s="304" r="F77"/>
      <c s="304" r="G77"/>
      <c s="12" r="H77"/>
      <c s="51" r="I77"/>
      <c s="822" r="J77"/>
      <c s="406" r="K77"/>
      <c s="886" r="L77"/>
      <c s="886" r="M77"/>
      <c s="886" r="N77"/>
      <c s="886" r="O77"/>
      <c s="418" r="P77"/>
      <c s="550" r="Q77"/>
      <c s="550" r="R77"/>
      <c t="str" s="620" r="S77">
        <f>IF((COUNT(R77:R$146,T77:T$146)=0),NA(),IF(ISBLANK(R77),S76,(S76+(R77-T76))))</f>
        <v>#N/A:explicit</v>
      </c>
      <c s="550" r="T77"/>
      <c t="str" s="620" r="U77">
        <f>IF(OR(ISBLANK(T77),ISNUMBER(R78)),NA(),(S77-T77))</f>
        <v>#N/A:explicit</v>
      </c>
      <c t="b" s="895" r="V77">
        <v>0</v>
      </c>
      <c s="631" r="W77"/>
      <c t="str" s="309" r="X77">
        <f>IF((COUNT(Q77:Q$146)=0),NA(),IF(ISBLANK(Q77),IF(ISBLANK(Q76),MAX(Q$46:Q77),Q76),Q77))</f>
        <v>#N/A:explicit</v>
      </c>
      <c t="str" s="861" r="Y77">
        <f>IF(ISNA(U77),IF(ISNUMBER(X77),Y76,NA()),U77)</f>
        <v>#N/A:explicit</v>
      </c>
      <c s="861" r="Z77">
        <f>IF(ISNUMBER(Y77),Y77,(S$46+1000))</f>
        <v>1000</v>
      </c>
      <c t="str" s="588" r="AA77">
        <f>IF((V77=TRUE),NA(),IF((AA$44=(S$46-MAX(T$46:T$146))),NA(),AA$44))</f>
        <v>#N/A:explicit</v>
      </c>
      <c s="588" r="AB77">
        <f>IF((ISNA(((Y77*X77)*Y76))),0,(IF((X77&lt;X76),-1,1)*(IF((V76=FALSE),IF((V77=FALSE),IF(ISNA(Y77),0,IF((Y76&lt;AA$44),IF((Y77&lt;AA$44),(((X77-X76)^2)^0.5),(((((AA$44-Y76)*(X77-X76))/(Y77-Y76))^2)^0.5)),IF((Y77&lt;AA$44),(((((AA$44-Y77)*(X77-X76))/(Y76-Y77))^2)^0.5),0))),0),0))))</f>
        <v>0</v>
      </c>
      <c s="588" r="AC77">
        <f>IF(ISNA((Y77*Y76)),0,IF((V76=FALSE),IF((V77=FALSE),IF(ISNA(U77),0,IF((Y76&lt;AA$44),IF((Y77&lt;AA$44),((AA$44-((Y76+Y77)*0.5))*AB77),(((AA$44-Y76)*0.5)*AB77)),IF((Y77&lt;AA$44),(((AA$44-Y77)*0.5)*AB77),0))),0),0))</f>
        <v>0</v>
      </c>
      <c s="588" r="AD77">
        <f>IF(ISNA((Y77*Y76)),0,IF((V76=FALSE),IF((V77=FALSE),IF(ISNA(Y77),0,IF((Y76&lt;AA$44),IF((Y77&lt;AA$44),(((AB77^2)+((Y77-Y76)^2))^0.5),(((AB77^2)+((AA$44-Y76)^2))^0.5)),IF((Y77&lt;AA$44),(((AB77^2)+((AA$44-Y77)^2))^0.5),0))),0),0))</f>
        <v>0</v>
      </c>
      <c s="588" r="AE77">
        <f>IF(ISNUMBER((Y77*Y76)),IF((Y76&gt;=K$148),IF((Y77&lt;K$148),1,0),IF((Y77&gt;=K$148),IF((Y76&lt;K$148),1,0),0)),0)</f>
        <v>0</v>
      </c>
      <c s="588" r="AF77">
        <f>IF(ISNA((Y77*Y76)),0,(IF((X77&lt;X76),-1,1)*(IF(ISNA(Y77),0,IF((Y76&lt;K$148),IF((Y77&lt;K$148),(((X77-X76)^2)^0.5),(((((K$148-Y76)*(X77-X76))/(Y77-Y76))^2)^0.5)),IF((Y77&lt;K$148),(((((K$148-Y77)*(X77-X76))/(Y76-Y77))^2)^0.5),0))))))</f>
        <v>0</v>
      </c>
      <c s="441" r="AG77">
        <f>IF((AC77&gt;0),(MAX(AG$47:AG76)+1),0)</f>
        <v>0</v>
      </c>
      <c s="388" r="AH77"/>
      <c s="406" r="AI77"/>
      <c s="886" r="AJ77"/>
      <c s="886" r="AK77"/>
      <c s="886" r="AL77"/>
      <c s="886" r="AM77"/>
      <c s="418" r="AN77"/>
      <c s="550" r="AO77"/>
      <c s="550" r="AP77"/>
      <c t="str" s="620" r="AQ77">
        <f>IF((COUNT(AP77:AP$146,AR77:AR$146)=0),NA(),IF(ISBLANK(AP77),AQ76,(AQ76+(AP77-AR76))))</f>
        <v>#N/A:explicit</v>
      </c>
      <c s="550" r="AR77"/>
      <c t="str" s="620" r="AS77">
        <f>IF(OR(ISBLANK(AR77),ISNUMBER(AP78)),NA(),(AQ77-AR77))</f>
        <v>#N/A:explicit</v>
      </c>
      <c t="b" s="895" r="AT77">
        <v>0</v>
      </c>
      <c s="631" r="AU77"/>
      <c t="str" s="309" r="AV77">
        <f>IF((COUNT(AO77:AO$146)=0),NA(),IF(ISBLANK(AO77),IF(ISBLANK(AO76),MAX(AO$46:AO77),AO76),AO77))</f>
        <v>#N/A:explicit</v>
      </c>
      <c t="str" s="861" r="AW77">
        <f>IF(ISNA(AS77),IF(ISNUMBER(AV77),AW76,NA()),AS77)</f>
        <v>#N/A:explicit</v>
      </c>
      <c s="861" r="AX77">
        <f>IF(ISNUMBER(AW77),AW77,(AQ$46+1000))</f>
        <v>1000</v>
      </c>
      <c t="str" s="588" r="AY77">
        <f>IF((AT77=TRUE),NA(),IF((AY$44=(AQ$46-MAX(AR$46:AR$146))),NA(),AY$44))</f>
        <v>#N/A:explicit</v>
      </c>
      <c s="588" r="AZ77">
        <f>IF((ISNA(((AW77*AV77)*AW76))),0,(IF((AV77&lt;AV76),-1,1)*(IF((AT76=FALSE),IF((AT77=FALSE),IF(ISNA(AW77),0,IF((AW76&lt;AY$44),IF((AW77&lt;AY$44),(((AV77-AV76)^2)^0.5),(((((AY$44-AW76)*(AV77-AV76))/(AW77-AW76))^2)^0.5)),IF((AW77&lt;AY$44),(((((AY$44-AW77)*(AV77-AV76))/(AW76-AW77))^2)^0.5),0))),0),0))))</f>
        <v>0</v>
      </c>
      <c s="588" r="BA77">
        <f>IF(ISNA((AW77*AW76)),0,IF((AT76=FALSE),IF((AT77=FALSE),IF(ISNA(AS77),0,IF((AW76&lt;AY$44),IF((AW77&lt;AY$44),((AY$44-((AW76+AW77)*0.5))*AZ77),(((AY$44-AW76)*0.5)*AZ77)),IF((AW77&lt;AY$44),(((AY$44-AW77)*0.5)*AZ77),0))),0),0))</f>
        <v>0</v>
      </c>
      <c s="588" r="BB77">
        <f>IF(ISNA((AW77*AW76)),0,IF((AT76=FALSE),IF((AT77=FALSE),IF(ISNA(AW77),0,IF((AW76&lt;AY$44),IF((AW77&lt;AY$44),(((AZ77^2)+((AW77-AW76)^2))^0.5),(((AZ77^2)+((AY$44-AW76)^2))^0.5)),IF((AW77&lt;AY$44),(((AZ77^2)+((AY$44-AW77)^2))^0.5),0))),0),0))</f>
        <v>0</v>
      </c>
      <c s="588" r="BC77">
        <f>IF(ISNUMBER((AW77*AW76)),IF((AW76&gt;=AI$148),IF((AW77&lt;AI$148),1,0),IF((AW77&gt;=AI$148),IF((AW76&lt;AI$148),1,0),0)),0)</f>
        <v>0</v>
      </c>
      <c s="588" r="BD77">
        <f>IF(ISNA((AW77*AW76)),0,(IF((AV77&lt;AV76),-1,1)*(IF(ISNA(AW77),0,IF((AW76&lt;AI$148),IF((AW77&lt;AI$148),(((AV77-AV76)^2)^0.5),(((((AI$148-AW76)*(AV77-AV76))/(AW77-AW76))^2)^0.5)),IF((AW77&lt;AI$148),(((((AI$148-AW77)*(AV77-AV76))/(AW76-AW77))^2)^0.5),0))))))</f>
        <v>0</v>
      </c>
      <c s="441" r="BE77">
        <f>IF((BA77&gt;0),(MAX(BE$47:BE76)+1),0)</f>
        <v>0</v>
      </c>
      <c s="388" r="BF77"/>
      <c s="406" r="BG77"/>
      <c s="886" r="BH77"/>
      <c s="886" r="BI77"/>
      <c s="886" r="BJ77"/>
      <c s="886" r="BK77"/>
      <c s="418" r="BL77"/>
      <c s="550" r="BM77"/>
      <c s="550" r="BN77"/>
      <c t="str" s="620" r="BO77">
        <f>IF((COUNT(BN77:BN$146,BP77:BP$146)=0),NA(),IF(ISBLANK(BN77),BO76,(BO76+(BN77-BP76))))</f>
        <v>#N/A:explicit</v>
      </c>
      <c s="550" r="BP77"/>
      <c t="str" s="620" r="BQ77">
        <f>IF(OR(ISBLANK(BP77),ISNUMBER(BN78)),NA(),(BO77-BP77))</f>
        <v>#N/A:explicit</v>
      </c>
      <c t="b" s="895" r="BR77">
        <v>0</v>
      </c>
      <c s="631" r="BS77"/>
      <c t="str" s="309" r="BT77">
        <f>IF((COUNT(BM77:BM$146)=0),NA(),IF(ISBLANK(BM77),IF(ISBLANK(BM76),MAX(BM$46:BM77),BM76),BM77))</f>
        <v>#N/A:explicit</v>
      </c>
      <c t="str" s="861" r="BU77">
        <f>IF(ISNA(BQ77),IF(ISNUMBER(BT77),BU76,NA()),BQ77)</f>
        <v>#N/A:explicit</v>
      </c>
      <c s="861" r="BV77">
        <f>IF(ISNUMBER(BU77),BU77,(BO$46+1000))</f>
        <v>1000</v>
      </c>
      <c t="str" s="588" r="BW77">
        <f>IF((BR77=TRUE),NA(),IF((BW$44=(BO$46-MAX(BP$46:BP$146))),NA(),BW$44))</f>
        <v>#N/A:explicit</v>
      </c>
      <c s="588" r="BX77">
        <f>IF((ISNA(((BU77*BT77)*BU76))),0,(IF((BT77&lt;BT76),-1,1)*(IF((BR76=FALSE),IF((BR77=FALSE),IF(ISNA(BU77),0,IF((BU76&lt;BW$44),IF((BU77&lt;BW$44),(((BT77-BT76)^2)^0.5),(((((BW$44-BU76)*(BT77-BT76))/(BU77-BU76))^2)^0.5)),IF((BU77&lt;BW$44),(((((BW$44-BU77)*(BT77-BT76))/(BU76-BU77))^2)^0.5),0))),0),0))))</f>
        <v>0</v>
      </c>
      <c s="588" r="BY77">
        <f>IF(ISNA((BU77*BU76)),0,IF((BR76=FALSE),IF((BR77=FALSE),IF(ISNA(BQ77),0,IF((BU76&lt;BW$44),IF((BU77&lt;BW$44),((BW$44-((BU76+BU77)*0.5))*BX77),(((BW$44-BU76)*0.5)*BX77)),IF((BU77&lt;BW$44),(((BW$44-BU77)*0.5)*BX77),0))),0),0))</f>
        <v>0</v>
      </c>
      <c s="588" r="BZ77">
        <f>IF(ISNA((BU77*BU76)),0,IF((BR76=FALSE),IF((BR77=FALSE),IF(ISNA(BU77),0,IF((BU76&lt;BW$44),IF((BU77&lt;BW$44),(((BX77^2)+((BU77-BU76)^2))^0.5),(((BX77^2)+((BW$44-BU76)^2))^0.5)),IF((BU77&lt;BW$44),(((BX77^2)+((BW$44-BU77)^2))^0.5),0))),0),0))</f>
        <v>0</v>
      </c>
      <c s="588" r="CA77">
        <f>IF(ISNUMBER((BU77*BU76)),IF((BU76&gt;=BG$148),IF((BU77&lt;BG$148),1,0),IF((BU77&gt;=BG$148),IF((BU76&lt;BG$148),1,0),0)),0)</f>
        <v>0</v>
      </c>
      <c s="588" r="CB77">
        <f>IF(ISNA((BU77*BU76)),0,(IF((BT77&lt;BT76),-1,1)*(IF(ISNA(BU77),0,IF((BU76&lt;BG$148),IF((BU77&lt;BG$148),(((BT77-BT76)^2)^0.5),(((((BG$148-BU76)*(BT77-BT76))/(BU77-BU76))^2)^0.5)),IF((BU77&lt;BG$148),(((((BG$148-BU77)*(BT77-BT76))/(BU76-BU77))^2)^0.5),0))))))</f>
        <v>0</v>
      </c>
      <c s="441" r="CC77">
        <f>IF((BY77&gt;0),(MAX(CC$47:CC76)+1),0)</f>
        <v>0</v>
      </c>
      <c s="388" r="CD77"/>
      <c s="406" r="CE77"/>
      <c s="886" r="CF77"/>
      <c s="886" r="CG77"/>
      <c s="886" r="CH77"/>
      <c s="886" r="CI77"/>
      <c s="418" r="CJ77"/>
      <c s="550" r="CK77"/>
      <c s="550" r="CL77"/>
      <c t="str" s="620" r="CM77">
        <f>IF((COUNT(CL77:CL$146,CN77:CN$146)=0),NA(),IF(ISBLANK(CL77),CM76,(CM76+(CL77-CN76))))</f>
        <v>#N/A:explicit</v>
      </c>
      <c s="550" r="CN77"/>
      <c t="str" s="620" r="CO77">
        <f>IF(OR(ISBLANK(CN77),ISNUMBER(CL78)),NA(),(CM77-CN77))</f>
        <v>#N/A:explicit</v>
      </c>
      <c t="b" s="895" r="CP77">
        <v>0</v>
      </c>
      <c s="631" r="CQ77"/>
      <c t="str" s="309" r="CR77">
        <f>IF((COUNT(CK77:CK$146)=0),NA(),IF(ISBLANK(CK77),IF(ISBLANK(CK76),MAX(CK$46:CK77),CK76),CK77))</f>
        <v>#N/A:explicit</v>
      </c>
      <c t="str" s="861" r="CS77">
        <f>IF(ISNA(CO77),IF(ISNUMBER(CR77),CS76,NA()),CO77)</f>
        <v>#N/A:explicit</v>
      </c>
      <c s="861" r="CT77">
        <f>IF(ISNUMBER(CS77),CS77,(CM$46+1000))</f>
        <v>1000</v>
      </c>
      <c t="str" s="588" r="CU77">
        <f>IF((CP77=TRUE),NA(),IF((CU$44=(CM$46-MAX(CN$46:CN$146))),NA(),CU$44))</f>
        <v>#N/A:explicit</v>
      </c>
      <c s="588" r="CV77">
        <f>IF((ISNA(((CS77*CR77)*CS76))),0,(IF((CR77&lt;CR76),-1,1)*(IF((CP76=FALSE),IF((CP77=FALSE),IF(ISNA(CS77),0,IF((CS76&lt;CU$44),IF((CS77&lt;CU$44),(((CR77-CR76)^2)^0.5),(((((CU$44-CS76)*(CR77-CR76))/(CS77-CS76))^2)^0.5)),IF((CS77&lt;CU$44),(((((CU$44-CS77)*(CR77-CR76))/(CS76-CS77))^2)^0.5),0))),0),0))))</f>
        <v>0</v>
      </c>
      <c s="588" r="CW77">
        <f>IF(ISNA((CS77*CS76)),0,IF((CP76=FALSE),IF((CP77=FALSE),IF(ISNA(CO77),0,IF((CS76&lt;CU$44),IF((CS77&lt;CU$44),((CU$44-((CS76+CS77)*0.5))*CV77),(((CU$44-CS76)*0.5)*CV77)),IF((CS77&lt;CU$44),(((CU$44-CS77)*0.5)*CV77),0))),0),0))</f>
        <v>0</v>
      </c>
      <c s="588" r="CX77">
        <f>IF(ISNA((CS77*CS76)),0,IF((CP76=FALSE),IF((CP77=FALSE),IF(ISNA(CS77),0,IF((CS76&lt;CU$44),IF((CS77&lt;CU$44),(((CV77^2)+((CS77-CS76)^2))^0.5),(((CV77^2)+((CU$44-CS76)^2))^0.5)),IF((CS77&lt;CU$44),(((CV77^2)+((CU$44-CS77)^2))^0.5),0))),0),0))</f>
        <v>0</v>
      </c>
      <c s="588" r="CY77">
        <f>IF(ISNUMBER((CS77*CS76)),IF((CS76&gt;=CE$148),IF((CS77&lt;CE$148),1,0),IF((CS77&gt;=CE$148),IF((CS76&lt;CE$148),1,0),0)),0)</f>
        <v>0</v>
      </c>
      <c s="588" r="CZ77">
        <f>IF(ISNA((CS77*CS76)),0,(IF((CR77&lt;CR76),-1,1)*(IF(ISNA(CS77),0,IF((CS76&lt;CE$148),IF((CS77&lt;CE$148),(((CR77-CR76)^2)^0.5),(((((CE$148-CS76)*(CR77-CR76))/(CS77-CS76))^2)^0.5)),IF((CS77&lt;CE$148),(((((CE$148-CS77)*(CR77-CR76))/(CS76-CS77))^2)^0.5),0))))))</f>
        <v>0</v>
      </c>
      <c s="441" r="DA77">
        <f>IF((CW77&gt;0),(MAX(DA$47:DA76)+1),0)</f>
        <v>0</v>
      </c>
      <c s="388" r="DB77"/>
      <c s="406" r="DC77"/>
      <c s="886" r="DD77"/>
      <c s="886" r="DE77"/>
      <c s="886" r="DF77"/>
      <c s="886" r="DG77"/>
      <c s="418" r="DH77"/>
      <c s="550" r="DI77"/>
      <c s="550" r="DJ77"/>
      <c t="str" s="620" r="DK77">
        <f>IF((COUNT(DJ77:DJ$146,DL77:DL$146)=0),NA(),IF(ISBLANK(DJ77),DK76,(DK76+(DJ77-DL76))))</f>
        <v>#N/A:explicit</v>
      </c>
      <c s="550" r="DL77"/>
      <c t="str" s="620" r="DM77">
        <f>IF(OR(ISBLANK(DL77),ISNUMBER(DJ78)),NA(),(DK77-DL77))</f>
        <v>#N/A:explicit</v>
      </c>
      <c t="b" s="895" r="DN77">
        <v>0</v>
      </c>
      <c s="631" r="DO77"/>
      <c t="str" s="309" r="DP77">
        <f>IF((COUNT(DI77:DI$146)=0),NA(),IF(ISBLANK(DI77),IF(ISBLANK(DI76),MAX(DI$46:DI77),DI76),DI77))</f>
        <v>#N/A:explicit</v>
      </c>
      <c t="str" s="861" r="DQ77">
        <f>IF(ISNA(DM77),IF(ISNUMBER(DP77),DQ76,NA()),DM77)</f>
        <v>#N/A:explicit</v>
      </c>
      <c s="861" r="DR77">
        <f>IF(ISNUMBER(DQ77),DQ77,(DK$46+1000))</f>
        <v>1000</v>
      </c>
      <c t="str" s="588" r="DS77">
        <f>IF((DN77=TRUE),NA(),IF((DS$44=(DK$46-MAX(DL$46:DL$146))),NA(),DS$44))</f>
        <v>#N/A:explicit</v>
      </c>
      <c s="588" r="DT77">
        <f>IF((ISNA(((DQ77*DP77)*DQ76))),0,(IF((DP77&lt;DP76),-1,1)*(IF((DN76=FALSE),IF((DN77=FALSE),IF(ISNA(DQ77),0,IF((DQ76&lt;DS$44),IF((DQ77&lt;DS$44),(((DP77-DP76)^2)^0.5),(((((DS$44-DQ76)*(DP77-DP76))/(DQ77-DQ76))^2)^0.5)),IF((DQ77&lt;DS$44),(((((DS$44-DQ77)*(DP77-DP76))/(DQ76-DQ77))^2)^0.5),0))),0),0))))</f>
        <v>0</v>
      </c>
      <c s="588" r="DU77">
        <f>IF(ISNA((DQ77*DQ76)),0,IF((DN76=FALSE),IF((DN77=FALSE),IF(ISNA(DM77),0,IF((DQ76&lt;DS$44),IF((DQ77&lt;DS$44),((DS$44-((DQ76+DQ77)*0.5))*DT77),(((DS$44-DQ76)*0.5)*DT77)),IF((DQ77&lt;DS$44),(((DS$44-DQ77)*0.5)*DT77),0))),0),0))</f>
        <v>0</v>
      </c>
      <c s="588" r="DV77">
        <f>IF(ISNA((DQ77*DQ76)),0,IF((DN76=FALSE),IF((DN77=FALSE),IF(ISNA(DQ77),0,IF((DQ76&lt;DS$44),IF((DQ77&lt;DS$44),(((DT77^2)+((DQ77-DQ76)^2))^0.5),(((DT77^2)+((DS$44-DQ76)^2))^0.5)),IF((DQ77&lt;DS$44),(((DT77^2)+((DS$44-DQ77)^2))^0.5),0))),0),0))</f>
        <v>0</v>
      </c>
      <c s="588" r="DW77">
        <f>IF(ISNUMBER((DQ77*DQ76)),IF((DQ76&gt;=DC$148),IF((DQ77&lt;DC$148),1,0),IF((DQ77&gt;=DC$148),IF((DQ76&lt;DC$148),1,0),0)),0)</f>
        <v>0</v>
      </c>
      <c s="588" r="DX77">
        <f>IF(ISNA((DQ77*DQ76)),0,(IF((DP77&lt;DP76),-1,1)*(IF(ISNA(DQ77),0,IF((DQ76&lt;DC$148),IF((DQ77&lt;DC$148),(((DP77-DP76)^2)^0.5),(((((DC$148-DQ76)*(DP77-DP76))/(DQ77-DQ76))^2)^0.5)),IF((DQ77&lt;DC$148),(((((DC$148-DQ77)*(DP77-DP76))/(DQ76-DQ77))^2)^0.5),0))))))</f>
        <v>0</v>
      </c>
      <c s="441" r="DY77">
        <f>IF((DU77&gt;0),(MAX(DY$47:DY76)+1),0)</f>
        <v>0</v>
      </c>
      <c s="388" r="DZ77"/>
      <c s="406" r="EA77"/>
      <c s="886" r="EB77"/>
      <c s="886" r="EC77"/>
      <c s="886" r="ED77"/>
      <c s="886" r="EE77"/>
      <c s="418" r="EF77"/>
      <c s="550" r="EG77"/>
      <c s="550" r="EH77"/>
      <c t="str" s="620" r="EI77">
        <f>IF((COUNT(EH77:EH$146,EJ77:EJ$146)=0),NA(),IF(ISBLANK(EH77),EI76,(EI76+(EH77-EJ76))))</f>
        <v>#N/A:explicit</v>
      </c>
      <c s="550" r="EJ77"/>
      <c t="str" s="620" r="EK77">
        <f>IF(OR(ISBLANK(EJ77),ISNUMBER(EH78)),NA(),(EI77-EJ77))</f>
        <v>#N/A:explicit</v>
      </c>
      <c t="b" s="895" r="EL77">
        <v>0</v>
      </c>
      <c s="631" r="EM77"/>
      <c t="str" s="309" r="EN77">
        <f>IF((COUNT(EG77:EG$146)=0),NA(),IF(ISBLANK(EG77),IF(ISBLANK(EG76),MAX(EG$46:EG77),EG76),EG77))</f>
        <v>#N/A:explicit</v>
      </c>
      <c t="str" s="861" r="EO77">
        <f>IF(ISNA(EK77),IF(ISNUMBER(EN77),EO76,NA()),EK77)</f>
        <v>#N/A:explicit</v>
      </c>
      <c s="861" r="EP77">
        <f>IF(ISNUMBER(EO77),EO77,(EI$46+1000))</f>
        <v>1000</v>
      </c>
      <c t="str" s="588" r="EQ77">
        <f>IF((EL77=TRUE),NA(),IF((EQ$44=(EI$46-MAX(EJ$46:EJ$146))),NA(),EQ$44))</f>
        <v>#N/A:explicit</v>
      </c>
      <c s="588" r="ER77">
        <f>IF((ISNA(((EO77*EN77)*EO76))),0,(IF((EN77&lt;EN76),-1,1)*(IF((EL76=FALSE),IF((EL77=FALSE),IF(ISNA(EO77),0,IF((EO76&lt;EQ$44),IF((EO77&lt;EQ$44),(((EN77-EN76)^2)^0.5),(((((EQ$44-EO76)*(EN77-EN76))/(EO77-EO76))^2)^0.5)),IF((EO77&lt;EQ$44),(((((EQ$44-EO77)*(EN77-EN76))/(EO76-EO77))^2)^0.5),0))),0),0))))</f>
        <v>0</v>
      </c>
      <c s="588" r="ES77">
        <f>IF(ISNA((EO77*EO76)),0,IF((EL76=FALSE),IF((EL77=FALSE),IF(ISNA(EK77),0,IF((EO76&lt;EQ$44),IF((EO77&lt;EQ$44),((EQ$44-((EO76+EO77)*0.5))*ER77),(((EQ$44-EO76)*0.5)*ER77)),IF((EO77&lt;EQ$44),(((EQ$44-EO77)*0.5)*ER77),0))),0),0))</f>
        <v>0</v>
      </c>
      <c s="588" r="ET77">
        <f>IF(ISNA((EO77*EO76)),0,IF((EL76=FALSE),IF((EL77=FALSE),IF(ISNA(EO77),0,IF((EO76&lt;EQ$44),IF((EO77&lt;EQ$44),(((ER77^2)+((EO77-EO76)^2))^0.5),(((ER77^2)+((EQ$44-EO76)^2))^0.5)),IF((EO77&lt;EQ$44),(((ER77^2)+((EQ$44-EO77)^2))^0.5),0))),0),0))</f>
        <v>0</v>
      </c>
      <c s="588" r="EU77">
        <f>IF(ISNUMBER((EO77*EO76)),IF((EO76&gt;=EA$148),IF((EO77&lt;EA$148),1,0),IF((EO77&gt;=EA$148),IF((EO76&lt;EA$148),1,0),0)),0)</f>
        <v>0</v>
      </c>
      <c s="588" r="EV77">
        <f>IF(ISNA((EO77*EO76)),0,(IF((EN77&lt;EN76),-1,1)*(IF(ISNA(EO77),0,IF((EO76&lt;EA$148),IF((EO77&lt;EA$148),(((EN77-EN76)^2)^0.5),(((((EA$148-EO76)*(EN77-EN76))/(EO77-EO76))^2)^0.5)),IF((EO77&lt;EA$148),(((((EA$148-EO77)*(EN77-EN76))/(EO76-EO77))^2)^0.5),0))))))</f>
        <v>0</v>
      </c>
      <c s="441" r="EW77">
        <f>IF((ES77&gt;0),(MAX(EW$47:EW76)+1),0)</f>
        <v>0</v>
      </c>
      <c s="388" r="EX77"/>
      <c s="406" r="EY77"/>
      <c s="886" r="EZ77"/>
      <c s="886" r="FA77"/>
      <c s="886" r="FB77"/>
      <c s="886" r="FC77"/>
      <c s="418" r="FD77"/>
      <c s="550" r="FE77"/>
      <c s="550" r="FF77"/>
      <c t="str" s="620" r="FG77">
        <f>IF((COUNT(FF77:FF$146,FH77:FH$146)=0),NA(),IF(ISBLANK(FF77),FG76,(FG76+(FF77-FH76))))</f>
        <v>#N/A:explicit</v>
      </c>
      <c s="550" r="FH77"/>
      <c t="str" s="620" r="FI77">
        <f>IF(OR(ISBLANK(FH77),ISNUMBER(FF78)),NA(),(FG77-FH77))</f>
        <v>#N/A:explicit</v>
      </c>
      <c t="b" s="895" r="FJ77">
        <v>0</v>
      </c>
      <c s="631" r="FK77"/>
      <c t="str" s="309" r="FL77">
        <f>IF((COUNT(FE77:FE$146)=0),NA(),IF(ISBLANK(FE77),IF(ISBLANK(FE76),MAX(FE$46:FE77),FE76),FE77))</f>
        <v>#N/A:explicit</v>
      </c>
      <c t="str" s="861" r="FM77">
        <f>IF(ISNA(FI77),IF(ISNUMBER(FL77),FM76,NA()),FI77)</f>
        <v>#N/A:explicit</v>
      </c>
      <c s="861" r="FN77">
        <f>IF(ISNUMBER(FM77),FM77,(FG$46+1000))</f>
        <v>1000</v>
      </c>
      <c t="str" s="588" r="FO77">
        <f>IF((FJ77=TRUE),NA(),IF((FO$44=(FG$46-MAX(FH$46:FH$146))),NA(),FO$44))</f>
        <v>#N/A:explicit</v>
      </c>
      <c s="588" r="FP77">
        <f>IF((ISNA(((FM77*FL77)*FM76))),0,(IF((FL77&lt;FL76),-1,1)*(IF((FJ76=FALSE),IF((FJ77=FALSE),IF(ISNA(FM77),0,IF((FM76&lt;FO$44),IF((FM77&lt;FO$44),(((FL77-FL76)^2)^0.5),(((((FO$44-FM76)*(FL77-FL76))/(FM77-FM76))^2)^0.5)),IF((FM77&lt;FO$44),(((((FO$44-FM77)*(FL77-FL76))/(FM76-FM77))^2)^0.5),0))),0),0))))</f>
        <v>0</v>
      </c>
      <c s="588" r="FQ77">
        <f>IF(ISNA((FM77*FM76)),0,IF((FJ76=FALSE),IF((FJ77=FALSE),IF(ISNA(FI77),0,IF((FM76&lt;FO$44),IF((FM77&lt;FO$44),((FO$44-((FM76+FM77)*0.5))*FP77),(((FO$44-FM76)*0.5)*FP77)),IF((FM77&lt;FO$44),(((FO$44-FM77)*0.5)*FP77),0))),0),0))</f>
        <v>0</v>
      </c>
      <c s="588" r="FR77">
        <f>IF(ISNA((FM77*FM76)),0,IF((FJ76=FALSE),IF((FJ77=FALSE),IF(ISNA(FM77),0,IF((FM76&lt;FO$44),IF((FM77&lt;FO$44),(((FP77^2)+((FM77-FM76)^2))^0.5),(((FP77^2)+((FO$44-FM76)^2))^0.5)),IF((FM77&lt;FO$44),(((FP77^2)+((FO$44-FM77)^2))^0.5),0))),0),0))</f>
        <v>0</v>
      </c>
      <c s="588" r="FS77">
        <f>IF(ISNUMBER((FM77*FM76)),IF((FM76&gt;=EY$148),IF((FM77&lt;EY$148),1,0),IF((FM77&gt;=EY$148),IF((FM76&lt;EY$148),1,0),0)),0)</f>
        <v>0</v>
      </c>
      <c s="588" r="FT77">
        <f>IF(ISNA((FM77*FM76)),0,(IF((FL77&lt;FL76),-1,1)*(IF(ISNA(FM77),0,IF((FM76&lt;EY$148),IF((FM77&lt;EY$148),(((FL77-FL76)^2)^0.5),(((((EY$148-FM76)*(FL77-FL76))/(FM77-FM76))^2)^0.5)),IF((FM77&lt;EY$148),(((((EY$148-FM77)*(FL77-FL76))/(FM76-FM77))^2)^0.5),0))))))</f>
        <v>0</v>
      </c>
      <c s="441" r="FU77">
        <f>IF((FQ77&gt;0),(MAX(FU$47:FU76)+1),0)</f>
        <v>0</v>
      </c>
      <c s="222" r="FV77"/>
      <c s="125" r="FW77"/>
      <c s="125" r="FX77"/>
      <c s="125" r="FY77"/>
      <c s="125" r="FZ77"/>
      <c s="125" r="GA77"/>
      <c s="125" r="GB77"/>
      <c s="125" r="GC77"/>
      <c s="125" r="GD77"/>
      <c s="125" r="GE77"/>
      <c s="125" r="GF77"/>
      <c s="125" r="GG77"/>
      <c s="125" r="GH77"/>
      <c s="125" r="GI77"/>
      <c s="125" r="GJ77"/>
      <c s="125" r="GK77"/>
      <c s="125" r="GL77"/>
      <c s="125" r="GM77"/>
      <c s="125" r="GN77"/>
      <c s="125" r="GO77"/>
      <c s="125" r="GP77"/>
      <c s="125" r="GQ77"/>
      <c s="125" r="GR77"/>
      <c s="125" r="GS77"/>
      <c s="125" r="GT77"/>
      <c s="125" r="GU77"/>
      <c s="125" r="GV77"/>
      <c s="125" r="GW77"/>
      <c s="125" r="GX77"/>
      <c s="125" r="GY77"/>
      <c s="125" r="GZ77"/>
      <c s="125" r="HA77"/>
      <c s="125" r="HB77"/>
    </row>
    <row customHeight="1" r="78" ht="13.5">
      <c s="822" r="A78"/>
      <c s="908" r="B78"/>
      <c t="s" s="812" r="C78">
        <v>24</v>
      </c>
      <c t="str" s="624" r="D78">
        <f>Summary!$N$11</f>
        <v>---</v>
      </c>
      <c s="551" r="E78"/>
      <c s="551" r="F78"/>
      <c s="551" r="G78"/>
      <c s="671" r="H78"/>
      <c s="51" r="I78"/>
      <c s="822" r="J78"/>
      <c s="406" r="K78"/>
      <c s="886" r="L78"/>
      <c s="886" r="M78"/>
      <c s="886" r="N78"/>
      <c s="886" r="O78"/>
      <c s="418" r="P78"/>
      <c s="550" r="Q78"/>
      <c s="550" r="R78"/>
      <c t="str" s="620" r="S78">
        <f>IF((COUNT(R78:R$146,T78:T$146)=0),NA(),IF(ISBLANK(R78),S77,(S77+(R78-T77))))</f>
        <v>#N/A:explicit</v>
      </c>
      <c s="550" r="T78"/>
      <c t="str" s="620" r="U78">
        <f>IF(OR(ISBLANK(T78),ISNUMBER(R79)),NA(),(S78-T78))</f>
        <v>#N/A:explicit</v>
      </c>
      <c t="b" s="895" r="V78">
        <v>0</v>
      </c>
      <c s="631" r="W78"/>
      <c t="str" s="309" r="X78">
        <f>IF((COUNT(Q78:Q$146)=0),NA(),IF(ISBLANK(Q78),IF(ISBLANK(Q77),MAX(Q$46:Q78),Q77),Q78))</f>
        <v>#N/A:explicit</v>
      </c>
      <c t="str" s="861" r="Y78">
        <f>IF(ISNA(U78),IF(ISNUMBER(X78),Y77,NA()),U78)</f>
        <v>#N/A:explicit</v>
      </c>
      <c s="861" r="Z78">
        <f>IF(ISNUMBER(Y78),Y78,(S$46+1000))</f>
        <v>1000</v>
      </c>
      <c t="str" s="588" r="AA78">
        <f>IF((V78=TRUE),NA(),IF((AA$44=(S$46-MAX(T$46:T$146))),NA(),AA$44))</f>
        <v>#N/A:explicit</v>
      </c>
      <c s="588" r="AB78">
        <f>IF((ISNA(((Y78*X78)*Y77))),0,(IF((X78&lt;X77),-1,1)*(IF((V77=FALSE),IF((V78=FALSE),IF(ISNA(Y78),0,IF((Y77&lt;AA$44),IF((Y78&lt;AA$44),(((X78-X77)^2)^0.5),(((((AA$44-Y77)*(X78-X77))/(Y78-Y77))^2)^0.5)),IF((Y78&lt;AA$44),(((((AA$44-Y78)*(X78-X77))/(Y77-Y78))^2)^0.5),0))),0),0))))</f>
        <v>0</v>
      </c>
      <c s="588" r="AC78">
        <f>IF(ISNA((Y78*Y77)),0,IF((V77=FALSE),IF((V78=FALSE),IF(ISNA(U78),0,IF((Y77&lt;AA$44),IF((Y78&lt;AA$44),((AA$44-((Y77+Y78)*0.5))*AB78),(((AA$44-Y77)*0.5)*AB78)),IF((Y78&lt;AA$44),(((AA$44-Y78)*0.5)*AB78),0))),0),0))</f>
        <v>0</v>
      </c>
      <c s="588" r="AD78">
        <f>IF(ISNA((Y78*Y77)),0,IF((V77=FALSE),IF((V78=FALSE),IF(ISNA(Y78),0,IF((Y77&lt;AA$44),IF((Y78&lt;AA$44),(((AB78^2)+((Y78-Y77)^2))^0.5),(((AB78^2)+((AA$44-Y77)^2))^0.5)),IF((Y78&lt;AA$44),(((AB78^2)+((AA$44-Y78)^2))^0.5),0))),0),0))</f>
        <v>0</v>
      </c>
      <c s="588" r="AE78">
        <f>IF(ISNUMBER((Y78*Y77)),IF((Y77&gt;=K$148),IF((Y78&lt;K$148),1,0),IF((Y78&gt;=K$148),IF((Y77&lt;K$148),1,0),0)),0)</f>
        <v>0</v>
      </c>
      <c s="588" r="AF78">
        <f>IF(ISNA((Y78*Y77)),0,(IF((X78&lt;X77),-1,1)*(IF(ISNA(Y78),0,IF((Y77&lt;K$148),IF((Y78&lt;K$148),(((X78-X77)^2)^0.5),(((((K$148-Y77)*(X78-X77))/(Y78-Y77))^2)^0.5)),IF((Y78&lt;K$148),(((((K$148-Y78)*(X78-X77))/(Y77-Y78))^2)^0.5),0))))))</f>
        <v>0</v>
      </c>
      <c s="441" r="AG78">
        <f>IF((AC78&gt;0),(MAX(AG$47:AG77)+1),0)</f>
        <v>0</v>
      </c>
      <c s="388" r="AH78"/>
      <c s="406" r="AI78"/>
      <c s="886" r="AJ78"/>
      <c s="886" r="AK78"/>
      <c s="886" r="AL78"/>
      <c s="886" r="AM78"/>
      <c s="418" r="AN78"/>
      <c s="550" r="AO78"/>
      <c s="550" r="AP78"/>
      <c t="str" s="620" r="AQ78">
        <f>IF((COUNT(AP78:AP$146,AR78:AR$146)=0),NA(),IF(ISBLANK(AP78),AQ77,(AQ77+(AP78-AR77))))</f>
        <v>#N/A:explicit</v>
      </c>
      <c s="550" r="AR78"/>
      <c t="str" s="620" r="AS78">
        <f>IF(OR(ISBLANK(AR78),ISNUMBER(AP79)),NA(),(AQ78-AR78))</f>
        <v>#N/A:explicit</v>
      </c>
      <c t="b" s="895" r="AT78">
        <v>0</v>
      </c>
      <c s="631" r="AU78"/>
      <c t="str" s="309" r="AV78">
        <f>IF((COUNT(AO78:AO$146)=0),NA(),IF(ISBLANK(AO78),IF(ISBLANK(AO77),MAX(AO$46:AO78),AO77),AO78))</f>
        <v>#N/A:explicit</v>
      </c>
      <c t="str" s="861" r="AW78">
        <f>IF(ISNA(AS78),IF(ISNUMBER(AV78),AW77,NA()),AS78)</f>
        <v>#N/A:explicit</v>
      </c>
      <c s="861" r="AX78">
        <f>IF(ISNUMBER(AW78),AW78,(AQ$46+1000))</f>
        <v>1000</v>
      </c>
      <c t="str" s="588" r="AY78">
        <f>IF((AT78=TRUE),NA(),IF((AY$44=(AQ$46-MAX(AR$46:AR$146))),NA(),AY$44))</f>
        <v>#N/A:explicit</v>
      </c>
      <c s="588" r="AZ78">
        <f>IF((ISNA(((AW78*AV78)*AW77))),0,(IF((AV78&lt;AV77),-1,1)*(IF((AT77=FALSE),IF((AT78=FALSE),IF(ISNA(AW78),0,IF((AW77&lt;AY$44),IF((AW78&lt;AY$44),(((AV78-AV77)^2)^0.5),(((((AY$44-AW77)*(AV78-AV77))/(AW78-AW77))^2)^0.5)),IF((AW78&lt;AY$44),(((((AY$44-AW78)*(AV78-AV77))/(AW77-AW78))^2)^0.5),0))),0),0))))</f>
        <v>0</v>
      </c>
      <c s="588" r="BA78">
        <f>IF(ISNA((AW78*AW77)),0,IF((AT77=FALSE),IF((AT78=FALSE),IF(ISNA(AS78),0,IF((AW77&lt;AY$44),IF((AW78&lt;AY$44),((AY$44-((AW77+AW78)*0.5))*AZ78),(((AY$44-AW77)*0.5)*AZ78)),IF((AW78&lt;AY$44),(((AY$44-AW78)*0.5)*AZ78),0))),0),0))</f>
        <v>0</v>
      </c>
      <c s="588" r="BB78">
        <f>IF(ISNA((AW78*AW77)),0,IF((AT77=FALSE),IF((AT78=FALSE),IF(ISNA(AW78),0,IF((AW77&lt;AY$44),IF((AW78&lt;AY$44),(((AZ78^2)+((AW78-AW77)^2))^0.5),(((AZ78^2)+((AY$44-AW77)^2))^0.5)),IF((AW78&lt;AY$44),(((AZ78^2)+((AY$44-AW78)^2))^0.5),0))),0),0))</f>
        <v>0</v>
      </c>
      <c s="588" r="BC78">
        <f>IF(ISNUMBER((AW78*AW77)),IF((AW77&gt;=AI$148),IF((AW78&lt;AI$148),1,0),IF((AW78&gt;=AI$148),IF((AW77&lt;AI$148),1,0),0)),0)</f>
        <v>0</v>
      </c>
      <c s="588" r="BD78">
        <f>IF(ISNA((AW78*AW77)),0,(IF((AV78&lt;AV77),-1,1)*(IF(ISNA(AW78),0,IF((AW77&lt;AI$148),IF((AW78&lt;AI$148),(((AV78-AV77)^2)^0.5),(((((AI$148-AW77)*(AV78-AV77))/(AW78-AW77))^2)^0.5)),IF((AW78&lt;AI$148),(((((AI$148-AW78)*(AV78-AV77))/(AW77-AW78))^2)^0.5),0))))))</f>
        <v>0</v>
      </c>
      <c s="441" r="BE78">
        <f>IF((BA78&gt;0),(MAX(BE$47:BE77)+1),0)</f>
        <v>0</v>
      </c>
      <c s="388" r="BF78"/>
      <c s="406" r="BG78"/>
      <c s="886" r="BH78"/>
      <c s="886" r="BI78"/>
      <c s="886" r="BJ78"/>
      <c s="886" r="BK78"/>
      <c s="418" r="BL78"/>
      <c s="550" r="BM78"/>
      <c s="550" r="BN78"/>
      <c t="str" s="620" r="BO78">
        <f>IF((COUNT(BN78:BN$146,BP78:BP$146)=0),NA(),IF(ISBLANK(BN78),BO77,(BO77+(BN78-BP77))))</f>
        <v>#N/A:explicit</v>
      </c>
      <c s="550" r="BP78"/>
      <c t="str" s="620" r="BQ78">
        <f>IF(OR(ISBLANK(BP78),ISNUMBER(BN79)),NA(),(BO78-BP78))</f>
        <v>#N/A:explicit</v>
      </c>
      <c t="b" s="895" r="BR78">
        <v>0</v>
      </c>
      <c s="631" r="BS78"/>
      <c t="str" s="309" r="BT78">
        <f>IF((COUNT(BM78:BM$146)=0),NA(),IF(ISBLANK(BM78),IF(ISBLANK(BM77),MAX(BM$46:BM78),BM77),BM78))</f>
        <v>#N/A:explicit</v>
      </c>
      <c t="str" s="861" r="BU78">
        <f>IF(ISNA(BQ78),IF(ISNUMBER(BT78),BU77,NA()),BQ78)</f>
        <v>#N/A:explicit</v>
      </c>
      <c s="861" r="BV78">
        <f>IF(ISNUMBER(BU78),BU78,(BO$46+1000))</f>
        <v>1000</v>
      </c>
      <c t="str" s="588" r="BW78">
        <f>IF((BR78=TRUE),NA(),IF((BW$44=(BO$46-MAX(BP$46:BP$146))),NA(),BW$44))</f>
        <v>#N/A:explicit</v>
      </c>
      <c s="588" r="BX78">
        <f>IF((ISNA(((BU78*BT78)*BU77))),0,(IF((BT78&lt;BT77),-1,1)*(IF((BR77=FALSE),IF((BR78=FALSE),IF(ISNA(BU78),0,IF((BU77&lt;BW$44),IF((BU78&lt;BW$44),(((BT78-BT77)^2)^0.5),(((((BW$44-BU77)*(BT78-BT77))/(BU78-BU77))^2)^0.5)),IF((BU78&lt;BW$44),(((((BW$44-BU78)*(BT78-BT77))/(BU77-BU78))^2)^0.5),0))),0),0))))</f>
        <v>0</v>
      </c>
      <c s="588" r="BY78">
        <f>IF(ISNA((BU78*BU77)),0,IF((BR77=FALSE),IF((BR78=FALSE),IF(ISNA(BQ78),0,IF((BU77&lt;BW$44),IF((BU78&lt;BW$44),((BW$44-((BU77+BU78)*0.5))*BX78),(((BW$44-BU77)*0.5)*BX78)),IF((BU78&lt;BW$44),(((BW$44-BU78)*0.5)*BX78),0))),0),0))</f>
        <v>0</v>
      </c>
      <c s="588" r="BZ78">
        <f>IF(ISNA((BU78*BU77)),0,IF((BR77=FALSE),IF((BR78=FALSE),IF(ISNA(BU78),0,IF((BU77&lt;BW$44),IF((BU78&lt;BW$44),(((BX78^2)+((BU78-BU77)^2))^0.5),(((BX78^2)+((BW$44-BU77)^2))^0.5)),IF((BU78&lt;BW$44),(((BX78^2)+((BW$44-BU78)^2))^0.5),0))),0),0))</f>
        <v>0</v>
      </c>
      <c s="588" r="CA78">
        <f>IF(ISNUMBER((BU78*BU77)),IF((BU77&gt;=BG$148),IF((BU78&lt;BG$148),1,0),IF((BU78&gt;=BG$148),IF((BU77&lt;BG$148),1,0),0)),0)</f>
        <v>0</v>
      </c>
      <c s="588" r="CB78">
        <f>IF(ISNA((BU78*BU77)),0,(IF((BT78&lt;BT77),-1,1)*(IF(ISNA(BU78),0,IF((BU77&lt;BG$148),IF((BU78&lt;BG$148),(((BT78-BT77)^2)^0.5),(((((BG$148-BU77)*(BT78-BT77))/(BU78-BU77))^2)^0.5)),IF((BU78&lt;BG$148),(((((BG$148-BU78)*(BT78-BT77))/(BU77-BU78))^2)^0.5),0))))))</f>
        <v>0</v>
      </c>
      <c s="441" r="CC78">
        <f>IF((BY78&gt;0),(MAX(CC$47:CC77)+1),0)</f>
        <v>0</v>
      </c>
      <c s="388" r="CD78"/>
      <c s="406" r="CE78"/>
      <c s="886" r="CF78"/>
      <c s="886" r="CG78"/>
      <c s="886" r="CH78"/>
      <c s="886" r="CI78"/>
      <c s="418" r="CJ78"/>
      <c s="550" r="CK78"/>
      <c s="550" r="CL78"/>
      <c t="str" s="620" r="CM78">
        <f>IF((COUNT(CL78:CL$146,CN78:CN$146)=0),NA(),IF(ISBLANK(CL78),CM77,(CM77+(CL78-CN77))))</f>
        <v>#N/A:explicit</v>
      </c>
      <c s="550" r="CN78"/>
      <c t="str" s="620" r="CO78">
        <f>IF(OR(ISBLANK(CN78),ISNUMBER(CL79)),NA(),(CM78-CN78))</f>
        <v>#N/A:explicit</v>
      </c>
      <c t="b" s="895" r="CP78">
        <v>0</v>
      </c>
      <c s="631" r="CQ78"/>
      <c t="str" s="309" r="CR78">
        <f>IF((COUNT(CK78:CK$146)=0),NA(),IF(ISBLANK(CK78),IF(ISBLANK(CK77),MAX(CK$46:CK78),CK77),CK78))</f>
        <v>#N/A:explicit</v>
      </c>
      <c t="str" s="861" r="CS78">
        <f>IF(ISNA(CO78),IF(ISNUMBER(CR78),CS77,NA()),CO78)</f>
        <v>#N/A:explicit</v>
      </c>
      <c s="861" r="CT78">
        <f>IF(ISNUMBER(CS78),CS78,(CM$46+1000))</f>
        <v>1000</v>
      </c>
      <c t="str" s="588" r="CU78">
        <f>IF((CP78=TRUE),NA(),IF((CU$44=(CM$46-MAX(CN$46:CN$146))),NA(),CU$44))</f>
        <v>#N/A:explicit</v>
      </c>
      <c s="588" r="CV78">
        <f>IF((ISNA(((CS78*CR78)*CS77))),0,(IF((CR78&lt;CR77),-1,1)*(IF((CP77=FALSE),IF((CP78=FALSE),IF(ISNA(CS78),0,IF((CS77&lt;CU$44),IF((CS78&lt;CU$44),(((CR78-CR77)^2)^0.5),(((((CU$44-CS77)*(CR78-CR77))/(CS78-CS77))^2)^0.5)),IF((CS78&lt;CU$44),(((((CU$44-CS78)*(CR78-CR77))/(CS77-CS78))^2)^0.5),0))),0),0))))</f>
        <v>0</v>
      </c>
      <c s="588" r="CW78">
        <f>IF(ISNA((CS78*CS77)),0,IF((CP77=FALSE),IF((CP78=FALSE),IF(ISNA(CO78),0,IF((CS77&lt;CU$44),IF((CS78&lt;CU$44),((CU$44-((CS77+CS78)*0.5))*CV78),(((CU$44-CS77)*0.5)*CV78)),IF((CS78&lt;CU$44),(((CU$44-CS78)*0.5)*CV78),0))),0),0))</f>
        <v>0</v>
      </c>
      <c s="588" r="CX78">
        <f>IF(ISNA((CS78*CS77)),0,IF((CP77=FALSE),IF((CP78=FALSE),IF(ISNA(CS78),0,IF((CS77&lt;CU$44),IF((CS78&lt;CU$44),(((CV78^2)+((CS78-CS77)^2))^0.5),(((CV78^2)+((CU$44-CS77)^2))^0.5)),IF((CS78&lt;CU$44),(((CV78^2)+((CU$44-CS78)^2))^0.5),0))),0),0))</f>
        <v>0</v>
      </c>
      <c s="588" r="CY78">
        <f>IF(ISNUMBER((CS78*CS77)),IF((CS77&gt;=CE$148),IF((CS78&lt;CE$148),1,0),IF((CS78&gt;=CE$148),IF((CS77&lt;CE$148),1,0),0)),0)</f>
        <v>0</v>
      </c>
      <c s="588" r="CZ78">
        <f>IF(ISNA((CS78*CS77)),0,(IF((CR78&lt;CR77),-1,1)*(IF(ISNA(CS78),0,IF((CS77&lt;CE$148),IF((CS78&lt;CE$148),(((CR78-CR77)^2)^0.5),(((((CE$148-CS77)*(CR78-CR77))/(CS78-CS77))^2)^0.5)),IF((CS78&lt;CE$148),(((((CE$148-CS78)*(CR78-CR77))/(CS77-CS78))^2)^0.5),0))))))</f>
        <v>0</v>
      </c>
      <c s="441" r="DA78">
        <f>IF((CW78&gt;0),(MAX(DA$47:DA77)+1),0)</f>
        <v>0</v>
      </c>
      <c s="388" r="DB78"/>
      <c s="406" r="DC78"/>
      <c s="886" r="DD78"/>
      <c s="886" r="DE78"/>
      <c s="886" r="DF78"/>
      <c s="886" r="DG78"/>
      <c s="418" r="DH78"/>
      <c s="550" r="DI78"/>
      <c s="550" r="DJ78"/>
      <c t="str" s="620" r="DK78">
        <f>IF((COUNT(DJ78:DJ$146,DL78:DL$146)=0),NA(),IF(ISBLANK(DJ78),DK77,(DK77+(DJ78-DL77))))</f>
        <v>#N/A:explicit</v>
      </c>
      <c s="550" r="DL78"/>
      <c t="str" s="620" r="DM78">
        <f>IF(OR(ISBLANK(DL78),ISNUMBER(DJ79)),NA(),(DK78-DL78))</f>
        <v>#N/A:explicit</v>
      </c>
      <c t="b" s="895" r="DN78">
        <v>0</v>
      </c>
      <c s="631" r="DO78"/>
      <c t="str" s="309" r="DP78">
        <f>IF((COUNT(DI78:DI$146)=0),NA(),IF(ISBLANK(DI78),IF(ISBLANK(DI77),MAX(DI$46:DI78),DI77),DI78))</f>
        <v>#N/A:explicit</v>
      </c>
      <c t="str" s="861" r="DQ78">
        <f>IF(ISNA(DM78),IF(ISNUMBER(DP78),DQ77,NA()),DM78)</f>
        <v>#N/A:explicit</v>
      </c>
      <c s="861" r="DR78">
        <f>IF(ISNUMBER(DQ78),DQ78,(DK$46+1000))</f>
        <v>1000</v>
      </c>
      <c t="str" s="588" r="DS78">
        <f>IF((DN78=TRUE),NA(),IF((DS$44=(DK$46-MAX(DL$46:DL$146))),NA(),DS$44))</f>
        <v>#N/A:explicit</v>
      </c>
      <c s="588" r="DT78">
        <f>IF((ISNA(((DQ78*DP78)*DQ77))),0,(IF((DP78&lt;DP77),-1,1)*(IF((DN77=FALSE),IF((DN78=FALSE),IF(ISNA(DQ78),0,IF((DQ77&lt;DS$44),IF((DQ78&lt;DS$44),(((DP78-DP77)^2)^0.5),(((((DS$44-DQ77)*(DP78-DP77))/(DQ78-DQ77))^2)^0.5)),IF((DQ78&lt;DS$44),(((((DS$44-DQ78)*(DP78-DP77))/(DQ77-DQ78))^2)^0.5),0))),0),0))))</f>
        <v>0</v>
      </c>
      <c s="588" r="DU78">
        <f>IF(ISNA((DQ78*DQ77)),0,IF((DN77=FALSE),IF((DN78=FALSE),IF(ISNA(DM78),0,IF((DQ77&lt;DS$44),IF((DQ78&lt;DS$44),((DS$44-((DQ77+DQ78)*0.5))*DT78),(((DS$44-DQ77)*0.5)*DT78)),IF((DQ78&lt;DS$44),(((DS$44-DQ78)*0.5)*DT78),0))),0),0))</f>
        <v>0</v>
      </c>
      <c s="588" r="DV78">
        <f>IF(ISNA((DQ78*DQ77)),0,IF((DN77=FALSE),IF((DN78=FALSE),IF(ISNA(DQ78),0,IF((DQ77&lt;DS$44),IF((DQ78&lt;DS$44),(((DT78^2)+((DQ78-DQ77)^2))^0.5),(((DT78^2)+((DS$44-DQ77)^2))^0.5)),IF((DQ78&lt;DS$44),(((DT78^2)+((DS$44-DQ78)^2))^0.5),0))),0),0))</f>
        <v>0</v>
      </c>
      <c s="588" r="DW78">
        <f>IF(ISNUMBER((DQ78*DQ77)),IF((DQ77&gt;=DC$148),IF((DQ78&lt;DC$148),1,0),IF((DQ78&gt;=DC$148),IF((DQ77&lt;DC$148),1,0),0)),0)</f>
        <v>0</v>
      </c>
      <c s="588" r="DX78">
        <f>IF(ISNA((DQ78*DQ77)),0,(IF((DP78&lt;DP77),-1,1)*(IF(ISNA(DQ78),0,IF((DQ77&lt;DC$148),IF((DQ78&lt;DC$148),(((DP78-DP77)^2)^0.5),(((((DC$148-DQ77)*(DP78-DP77))/(DQ78-DQ77))^2)^0.5)),IF((DQ78&lt;DC$148),(((((DC$148-DQ78)*(DP78-DP77))/(DQ77-DQ78))^2)^0.5),0))))))</f>
        <v>0</v>
      </c>
      <c s="441" r="DY78">
        <f>IF((DU78&gt;0),(MAX(DY$47:DY77)+1),0)</f>
        <v>0</v>
      </c>
      <c s="388" r="DZ78"/>
      <c s="406" r="EA78"/>
      <c s="886" r="EB78"/>
      <c s="886" r="EC78"/>
      <c s="886" r="ED78"/>
      <c s="886" r="EE78"/>
      <c s="418" r="EF78"/>
      <c s="550" r="EG78"/>
      <c s="550" r="EH78"/>
      <c t="str" s="620" r="EI78">
        <f>IF((COUNT(EH78:EH$146,EJ78:EJ$146)=0),NA(),IF(ISBLANK(EH78),EI77,(EI77+(EH78-EJ77))))</f>
        <v>#N/A:explicit</v>
      </c>
      <c s="550" r="EJ78"/>
      <c t="str" s="620" r="EK78">
        <f>IF(OR(ISBLANK(EJ78),ISNUMBER(EH79)),NA(),(EI78-EJ78))</f>
        <v>#N/A:explicit</v>
      </c>
      <c t="b" s="895" r="EL78">
        <v>0</v>
      </c>
      <c s="631" r="EM78"/>
      <c t="str" s="309" r="EN78">
        <f>IF((COUNT(EG78:EG$146)=0),NA(),IF(ISBLANK(EG78),IF(ISBLANK(EG77),MAX(EG$46:EG78),EG77),EG78))</f>
        <v>#N/A:explicit</v>
      </c>
      <c t="str" s="861" r="EO78">
        <f>IF(ISNA(EK78),IF(ISNUMBER(EN78),EO77,NA()),EK78)</f>
        <v>#N/A:explicit</v>
      </c>
      <c s="861" r="EP78">
        <f>IF(ISNUMBER(EO78),EO78,(EI$46+1000))</f>
        <v>1000</v>
      </c>
      <c t="str" s="588" r="EQ78">
        <f>IF((EL78=TRUE),NA(),IF((EQ$44=(EI$46-MAX(EJ$46:EJ$146))),NA(),EQ$44))</f>
        <v>#N/A:explicit</v>
      </c>
      <c s="588" r="ER78">
        <f>IF((ISNA(((EO78*EN78)*EO77))),0,(IF((EN78&lt;EN77),-1,1)*(IF((EL77=FALSE),IF((EL78=FALSE),IF(ISNA(EO78),0,IF((EO77&lt;EQ$44),IF((EO78&lt;EQ$44),(((EN78-EN77)^2)^0.5),(((((EQ$44-EO77)*(EN78-EN77))/(EO78-EO77))^2)^0.5)),IF((EO78&lt;EQ$44),(((((EQ$44-EO78)*(EN78-EN77))/(EO77-EO78))^2)^0.5),0))),0),0))))</f>
        <v>0</v>
      </c>
      <c s="588" r="ES78">
        <f>IF(ISNA((EO78*EO77)),0,IF((EL77=FALSE),IF((EL78=FALSE),IF(ISNA(EK78),0,IF((EO77&lt;EQ$44),IF((EO78&lt;EQ$44),((EQ$44-((EO77+EO78)*0.5))*ER78),(((EQ$44-EO77)*0.5)*ER78)),IF((EO78&lt;EQ$44),(((EQ$44-EO78)*0.5)*ER78),0))),0),0))</f>
        <v>0</v>
      </c>
      <c s="588" r="ET78">
        <f>IF(ISNA((EO78*EO77)),0,IF((EL77=FALSE),IF((EL78=FALSE),IF(ISNA(EO78),0,IF((EO77&lt;EQ$44),IF((EO78&lt;EQ$44),(((ER78^2)+((EO78-EO77)^2))^0.5),(((ER78^2)+((EQ$44-EO77)^2))^0.5)),IF((EO78&lt;EQ$44),(((ER78^2)+((EQ$44-EO78)^2))^0.5),0))),0),0))</f>
        <v>0</v>
      </c>
      <c s="588" r="EU78">
        <f>IF(ISNUMBER((EO78*EO77)),IF((EO77&gt;=EA$148),IF((EO78&lt;EA$148),1,0),IF((EO78&gt;=EA$148),IF((EO77&lt;EA$148),1,0),0)),0)</f>
        <v>0</v>
      </c>
      <c s="588" r="EV78">
        <f>IF(ISNA((EO78*EO77)),0,(IF((EN78&lt;EN77),-1,1)*(IF(ISNA(EO78),0,IF((EO77&lt;EA$148),IF((EO78&lt;EA$148),(((EN78-EN77)^2)^0.5),(((((EA$148-EO77)*(EN78-EN77))/(EO78-EO77))^2)^0.5)),IF((EO78&lt;EA$148),(((((EA$148-EO78)*(EN78-EN77))/(EO77-EO78))^2)^0.5),0))))))</f>
        <v>0</v>
      </c>
      <c s="441" r="EW78">
        <f>IF((ES78&gt;0),(MAX(EW$47:EW77)+1),0)</f>
        <v>0</v>
      </c>
      <c s="388" r="EX78"/>
      <c s="406" r="EY78"/>
      <c s="886" r="EZ78"/>
      <c s="886" r="FA78"/>
      <c s="886" r="FB78"/>
      <c s="886" r="FC78"/>
      <c s="418" r="FD78"/>
      <c s="550" r="FE78"/>
      <c s="550" r="FF78"/>
      <c t="str" s="620" r="FG78">
        <f>IF((COUNT(FF78:FF$146,FH78:FH$146)=0),NA(),IF(ISBLANK(FF78),FG77,(FG77+(FF78-FH77))))</f>
        <v>#N/A:explicit</v>
      </c>
      <c s="550" r="FH78"/>
      <c t="str" s="620" r="FI78">
        <f>IF(OR(ISBLANK(FH78),ISNUMBER(FF79)),NA(),(FG78-FH78))</f>
        <v>#N/A:explicit</v>
      </c>
      <c t="b" s="895" r="FJ78">
        <v>0</v>
      </c>
      <c s="631" r="FK78"/>
      <c t="str" s="309" r="FL78">
        <f>IF((COUNT(FE78:FE$146)=0),NA(),IF(ISBLANK(FE78),IF(ISBLANK(FE77),MAX(FE$46:FE78),FE77),FE78))</f>
        <v>#N/A:explicit</v>
      </c>
      <c t="str" s="861" r="FM78">
        <f>IF(ISNA(FI78),IF(ISNUMBER(FL78),FM77,NA()),FI78)</f>
        <v>#N/A:explicit</v>
      </c>
      <c s="861" r="FN78">
        <f>IF(ISNUMBER(FM78),FM78,(FG$46+1000))</f>
        <v>1000</v>
      </c>
      <c t="str" s="588" r="FO78">
        <f>IF((FJ78=TRUE),NA(),IF((FO$44=(FG$46-MAX(FH$46:FH$146))),NA(),FO$44))</f>
        <v>#N/A:explicit</v>
      </c>
      <c s="588" r="FP78">
        <f>IF((ISNA(((FM78*FL78)*FM77))),0,(IF((FL78&lt;FL77),-1,1)*(IF((FJ77=FALSE),IF((FJ78=FALSE),IF(ISNA(FM78),0,IF((FM77&lt;FO$44),IF((FM78&lt;FO$44),(((FL78-FL77)^2)^0.5),(((((FO$44-FM77)*(FL78-FL77))/(FM78-FM77))^2)^0.5)),IF((FM78&lt;FO$44),(((((FO$44-FM78)*(FL78-FL77))/(FM77-FM78))^2)^0.5),0))),0),0))))</f>
        <v>0</v>
      </c>
      <c s="588" r="FQ78">
        <f>IF(ISNA((FM78*FM77)),0,IF((FJ77=FALSE),IF((FJ78=FALSE),IF(ISNA(FI78),0,IF((FM77&lt;FO$44),IF((FM78&lt;FO$44),((FO$44-((FM77+FM78)*0.5))*FP78),(((FO$44-FM77)*0.5)*FP78)),IF((FM78&lt;FO$44),(((FO$44-FM78)*0.5)*FP78),0))),0),0))</f>
        <v>0</v>
      </c>
      <c s="588" r="FR78">
        <f>IF(ISNA((FM78*FM77)),0,IF((FJ77=FALSE),IF((FJ78=FALSE),IF(ISNA(FM78),0,IF((FM77&lt;FO$44),IF((FM78&lt;FO$44),(((FP78^2)+((FM78-FM77)^2))^0.5),(((FP78^2)+((FO$44-FM77)^2))^0.5)),IF((FM78&lt;FO$44),(((FP78^2)+((FO$44-FM78)^2))^0.5),0))),0),0))</f>
        <v>0</v>
      </c>
      <c s="588" r="FS78">
        <f>IF(ISNUMBER((FM78*FM77)),IF((FM77&gt;=EY$148),IF((FM78&lt;EY$148),1,0),IF((FM78&gt;=EY$148),IF((FM77&lt;EY$148),1,0),0)),0)</f>
        <v>0</v>
      </c>
      <c s="588" r="FT78">
        <f>IF(ISNA((FM78*FM77)),0,(IF((FL78&lt;FL77),-1,1)*(IF(ISNA(FM78),0,IF((FM77&lt;EY$148),IF((FM78&lt;EY$148),(((FL78-FL77)^2)^0.5),(((((EY$148-FM77)*(FL78-FL77))/(FM78-FM77))^2)^0.5)),IF((FM78&lt;EY$148),(((((EY$148-FM78)*(FL78-FL77))/(FM77-FM78))^2)^0.5),0))))))</f>
        <v>0</v>
      </c>
      <c s="441" r="FU78">
        <f>IF((FQ78&gt;0),(MAX(FU$47:FU77)+1),0)</f>
        <v>0</v>
      </c>
      <c s="222" r="FV78"/>
      <c s="125" r="FW78"/>
      <c s="125" r="FX78"/>
      <c s="125" r="FY78"/>
      <c s="125" r="FZ78"/>
      <c s="125" r="GA78"/>
      <c s="125" r="GB78"/>
      <c s="125" r="GC78"/>
      <c s="125" r="GD78"/>
      <c s="125" r="GE78"/>
      <c s="125" r="GF78"/>
      <c s="125" r="GG78"/>
      <c s="125" r="GH78"/>
      <c s="125" r="GI78"/>
      <c s="125" r="GJ78"/>
      <c s="125" r="GK78"/>
      <c s="125" r="GL78"/>
      <c s="125" r="GM78"/>
      <c s="125" r="GN78"/>
      <c s="125" r="GO78"/>
      <c s="125" r="GP78"/>
      <c s="125" r="GQ78"/>
      <c s="125" r="GR78"/>
      <c s="125" r="GS78"/>
      <c s="125" r="GT78"/>
      <c s="125" r="GU78"/>
      <c s="125" r="GV78"/>
      <c s="125" r="GW78"/>
      <c s="125" r="GX78"/>
      <c s="125" r="GY78"/>
      <c s="125" r="GZ78"/>
      <c s="125" r="HA78"/>
      <c s="125" r="HB78"/>
    </row>
    <row customHeight="1" r="79" ht="13.5">
      <c s="822" r="A79"/>
      <c s="908" r="B79"/>
      <c t="s" s="812" r="C79">
        <v>26</v>
      </c>
      <c t="str" s="624" r="D79">
        <f>Summary!$N$12</f>
        <v>---</v>
      </c>
      <c s="551" r="E79"/>
      <c s="551" r="F79"/>
      <c s="551" r="G79"/>
      <c s="671" r="H79"/>
      <c s="51" r="I79"/>
      <c s="822" r="J79"/>
      <c s="406" r="K79"/>
      <c s="886" r="L79"/>
      <c s="886" r="M79"/>
      <c s="886" r="N79"/>
      <c s="886" r="O79"/>
      <c s="418" r="P79"/>
      <c s="550" r="Q79"/>
      <c s="550" r="R79"/>
      <c t="str" s="620" r="S79">
        <f>IF((COUNT(R79:R$146,T79:T$146)=0),NA(),IF(ISBLANK(R79),S78,(S78+(R79-T78))))</f>
        <v>#N/A:explicit</v>
      </c>
      <c s="550" r="T79"/>
      <c t="str" s="620" r="U79">
        <f>IF(OR(ISBLANK(T79),ISNUMBER(R80)),NA(),(S79-T79))</f>
        <v>#N/A:explicit</v>
      </c>
      <c t="b" s="895" r="V79">
        <v>0</v>
      </c>
      <c s="631" r="W79"/>
      <c t="str" s="309" r="X79">
        <f>IF((COUNT(Q79:Q$146)=0),NA(),IF(ISBLANK(Q79),IF(ISBLANK(Q78),MAX(Q$46:Q79),Q78),Q79))</f>
        <v>#N/A:explicit</v>
      </c>
      <c t="str" s="861" r="Y79">
        <f>IF(ISNA(U79),IF(ISNUMBER(X79),Y78,NA()),U79)</f>
        <v>#N/A:explicit</v>
      </c>
      <c s="861" r="Z79">
        <f>IF(ISNUMBER(Y79),Y79,(S$46+1000))</f>
        <v>1000</v>
      </c>
      <c t="str" s="588" r="AA79">
        <f>IF((V79=TRUE),NA(),IF((AA$44=(S$46-MAX(T$46:T$146))),NA(),AA$44))</f>
        <v>#N/A:explicit</v>
      </c>
      <c s="588" r="AB79">
        <f>IF((ISNA(((Y79*X79)*Y78))),0,(IF((X79&lt;X78),-1,1)*(IF((V78=FALSE),IF((V79=FALSE),IF(ISNA(Y79),0,IF((Y78&lt;AA$44),IF((Y79&lt;AA$44),(((X79-X78)^2)^0.5),(((((AA$44-Y78)*(X79-X78))/(Y79-Y78))^2)^0.5)),IF((Y79&lt;AA$44),(((((AA$44-Y79)*(X79-X78))/(Y78-Y79))^2)^0.5),0))),0),0))))</f>
        <v>0</v>
      </c>
      <c s="588" r="AC79">
        <f>IF(ISNA((Y79*Y78)),0,IF((V78=FALSE),IF((V79=FALSE),IF(ISNA(U79),0,IF((Y78&lt;AA$44),IF((Y79&lt;AA$44),((AA$44-((Y78+Y79)*0.5))*AB79),(((AA$44-Y78)*0.5)*AB79)),IF((Y79&lt;AA$44),(((AA$44-Y79)*0.5)*AB79),0))),0),0))</f>
        <v>0</v>
      </c>
      <c s="588" r="AD79">
        <f>IF(ISNA((Y79*Y78)),0,IF((V78=FALSE),IF((V79=FALSE),IF(ISNA(Y79),0,IF((Y78&lt;AA$44),IF((Y79&lt;AA$44),(((AB79^2)+((Y79-Y78)^2))^0.5),(((AB79^2)+((AA$44-Y78)^2))^0.5)),IF((Y79&lt;AA$44),(((AB79^2)+((AA$44-Y79)^2))^0.5),0))),0),0))</f>
        <v>0</v>
      </c>
      <c s="588" r="AE79">
        <f>IF(ISNUMBER((Y79*Y78)),IF((Y78&gt;=K$148),IF((Y79&lt;K$148),1,0),IF((Y79&gt;=K$148),IF((Y78&lt;K$148),1,0),0)),0)</f>
        <v>0</v>
      </c>
      <c s="588" r="AF79">
        <f>IF(ISNA((Y79*Y78)),0,(IF((X79&lt;X78),-1,1)*(IF(ISNA(Y79),0,IF((Y78&lt;K$148),IF((Y79&lt;K$148),(((X79-X78)^2)^0.5),(((((K$148-Y78)*(X79-X78))/(Y79-Y78))^2)^0.5)),IF((Y79&lt;K$148),(((((K$148-Y79)*(X79-X78))/(Y78-Y79))^2)^0.5),0))))))</f>
        <v>0</v>
      </c>
      <c s="441" r="AG79">
        <f>IF((AC79&gt;0),(MAX(AG$47:AG78)+1),0)</f>
        <v>0</v>
      </c>
      <c s="388" r="AH79"/>
      <c s="406" r="AI79"/>
      <c s="886" r="AJ79"/>
      <c s="886" r="AK79"/>
      <c s="886" r="AL79"/>
      <c s="886" r="AM79"/>
      <c s="418" r="AN79"/>
      <c s="550" r="AO79"/>
      <c s="550" r="AP79"/>
      <c t="str" s="620" r="AQ79">
        <f>IF((COUNT(AP79:AP$146,AR79:AR$146)=0),NA(),IF(ISBLANK(AP79),AQ78,(AQ78+(AP79-AR78))))</f>
        <v>#N/A:explicit</v>
      </c>
      <c s="550" r="AR79"/>
      <c t="str" s="620" r="AS79">
        <f>IF(OR(ISBLANK(AR79),ISNUMBER(AP80)),NA(),(AQ79-AR79))</f>
        <v>#N/A:explicit</v>
      </c>
      <c t="b" s="895" r="AT79">
        <v>0</v>
      </c>
      <c s="631" r="AU79"/>
      <c t="str" s="309" r="AV79">
        <f>IF((COUNT(AO79:AO$146)=0),NA(),IF(ISBLANK(AO79),IF(ISBLANK(AO78),MAX(AO$46:AO79),AO78),AO79))</f>
        <v>#N/A:explicit</v>
      </c>
      <c t="str" s="861" r="AW79">
        <f>IF(ISNA(AS79),IF(ISNUMBER(AV79),AW78,NA()),AS79)</f>
        <v>#N/A:explicit</v>
      </c>
      <c s="861" r="AX79">
        <f>IF(ISNUMBER(AW79),AW79,(AQ$46+1000))</f>
        <v>1000</v>
      </c>
      <c t="str" s="588" r="AY79">
        <f>IF((AT79=TRUE),NA(),IF((AY$44=(AQ$46-MAX(AR$46:AR$146))),NA(),AY$44))</f>
        <v>#N/A:explicit</v>
      </c>
      <c s="588" r="AZ79">
        <f>IF((ISNA(((AW79*AV79)*AW78))),0,(IF((AV79&lt;AV78),-1,1)*(IF((AT78=FALSE),IF((AT79=FALSE),IF(ISNA(AW79),0,IF((AW78&lt;AY$44),IF((AW79&lt;AY$44),(((AV79-AV78)^2)^0.5),(((((AY$44-AW78)*(AV79-AV78))/(AW79-AW78))^2)^0.5)),IF((AW79&lt;AY$44),(((((AY$44-AW79)*(AV79-AV78))/(AW78-AW79))^2)^0.5),0))),0),0))))</f>
        <v>0</v>
      </c>
      <c s="588" r="BA79">
        <f>IF(ISNA((AW79*AW78)),0,IF((AT78=FALSE),IF((AT79=FALSE),IF(ISNA(AS79),0,IF((AW78&lt;AY$44),IF((AW79&lt;AY$44),((AY$44-((AW78+AW79)*0.5))*AZ79),(((AY$44-AW78)*0.5)*AZ79)),IF((AW79&lt;AY$44),(((AY$44-AW79)*0.5)*AZ79),0))),0),0))</f>
        <v>0</v>
      </c>
      <c s="588" r="BB79">
        <f>IF(ISNA((AW79*AW78)),0,IF((AT78=FALSE),IF((AT79=FALSE),IF(ISNA(AW79),0,IF((AW78&lt;AY$44),IF((AW79&lt;AY$44),(((AZ79^2)+((AW79-AW78)^2))^0.5),(((AZ79^2)+((AY$44-AW78)^2))^0.5)),IF((AW79&lt;AY$44),(((AZ79^2)+((AY$44-AW79)^2))^0.5),0))),0),0))</f>
        <v>0</v>
      </c>
      <c s="588" r="BC79">
        <f>IF(ISNUMBER((AW79*AW78)),IF((AW78&gt;=AI$148),IF((AW79&lt;AI$148),1,0),IF((AW79&gt;=AI$148),IF((AW78&lt;AI$148),1,0),0)),0)</f>
        <v>0</v>
      </c>
      <c s="588" r="BD79">
        <f>IF(ISNA((AW79*AW78)),0,(IF((AV79&lt;AV78),-1,1)*(IF(ISNA(AW79),0,IF((AW78&lt;AI$148),IF((AW79&lt;AI$148),(((AV79-AV78)^2)^0.5),(((((AI$148-AW78)*(AV79-AV78))/(AW79-AW78))^2)^0.5)),IF((AW79&lt;AI$148),(((((AI$148-AW79)*(AV79-AV78))/(AW78-AW79))^2)^0.5),0))))))</f>
        <v>0</v>
      </c>
      <c s="441" r="BE79">
        <f>IF((BA79&gt;0),(MAX(BE$47:BE78)+1),0)</f>
        <v>0</v>
      </c>
      <c s="388" r="BF79"/>
      <c s="406" r="BG79"/>
      <c s="886" r="BH79"/>
      <c s="886" r="BI79"/>
      <c s="886" r="BJ79"/>
      <c s="886" r="BK79"/>
      <c s="418" r="BL79"/>
      <c s="550" r="BM79"/>
      <c s="550" r="BN79"/>
      <c t="str" s="620" r="BO79">
        <f>IF((COUNT(BN79:BN$146,BP79:BP$146)=0),NA(),IF(ISBLANK(BN79),BO78,(BO78+(BN79-BP78))))</f>
        <v>#N/A:explicit</v>
      </c>
      <c s="550" r="BP79"/>
      <c t="str" s="620" r="BQ79">
        <f>IF(OR(ISBLANK(BP79),ISNUMBER(BN80)),NA(),(BO79-BP79))</f>
        <v>#N/A:explicit</v>
      </c>
      <c t="b" s="895" r="BR79">
        <v>0</v>
      </c>
      <c s="631" r="BS79"/>
      <c t="str" s="309" r="BT79">
        <f>IF((COUNT(BM79:BM$146)=0),NA(),IF(ISBLANK(BM79),IF(ISBLANK(BM78),MAX(BM$46:BM79),BM78),BM79))</f>
        <v>#N/A:explicit</v>
      </c>
      <c t="str" s="861" r="BU79">
        <f>IF(ISNA(BQ79),IF(ISNUMBER(BT79),BU78,NA()),BQ79)</f>
        <v>#N/A:explicit</v>
      </c>
      <c s="861" r="BV79">
        <f>IF(ISNUMBER(BU79),BU79,(BO$46+1000))</f>
        <v>1000</v>
      </c>
      <c t="str" s="588" r="BW79">
        <f>IF((BR79=TRUE),NA(),IF((BW$44=(BO$46-MAX(BP$46:BP$146))),NA(),BW$44))</f>
        <v>#N/A:explicit</v>
      </c>
      <c s="588" r="BX79">
        <f>IF((ISNA(((BU79*BT79)*BU78))),0,(IF((BT79&lt;BT78),-1,1)*(IF((BR78=FALSE),IF((BR79=FALSE),IF(ISNA(BU79),0,IF((BU78&lt;BW$44),IF((BU79&lt;BW$44),(((BT79-BT78)^2)^0.5),(((((BW$44-BU78)*(BT79-BT78))/(BU79-BU78))^2)^0.5)),IF((BU79&lt;BW$44),(((((BW$44-BU79)*(BT79-BT78))/(BU78-BU79))^2)^0.5),0))),0),0))))</f>
        <v>0</v>
      </c>
      <c s="588" r="BY79">
        <f>IF(ISNA((BU79*BU78)),0,IF((BR78=FALSE),IF((BR79=FALSE),IF(ISNA(BQ79),0,IF((BU78&lt;BW$44),IF((BU79&lt;BW$44),((BW$44-((BU78+BU79)*0.5))*BX79),(((BW$44-BU78)*0.5)*BX79)),IF((BU79&lt;BW$44),(((BW$44-BU79)*0.5)*BX79),0))),0),0))</f>
        <v>0</v>
      </c>
      <c s="588" r="BZ79">
        <f>IF(ISNA((BU79*BU78)),0,IF((BR78=FALSE),IF((BR79=FALSE),IF(ISNA(BU79),0,IF((BU78&lt;BW$44),IF((BU79&lt;BW$44),(((BX79^2)+((BU79-BU78)^2))^0.5),(((BX79^2)+((BW$44-BU78)^2))^0.5)),IF((BU79&lt;BW$44),(((BX79^2)+((BW$44-BU79)^2))^0.5),0))),0),0))</f>
        <v>0</v>
      </c>
      <c s="588" r="CA79">
        <f>IF(ISNUMBER((BU79*BU78)),IF((BU78&gt;=BG$148),IF((BU79&lt;BG$148),1,0),IF((BU79&gt;=BG$148),IF((BU78&lt;BG$148),1,0),0)),0)</f>
        <v>0</v>
      </c>
      <c s="588" r="CB79">
        <f>IF(ISNA((BU79*BU78)),0,(IF((BT79&lt;BT78),-1,1)*(IF(ISNA(BU79),0,IF((BU78&lt;BG$148),IF((BU79&lt;BG$148),(((BT79-BT78)^2)^0.5),(((((BG$148-BU78)*(BT79-BT78))/(BU79-BU78))^2)^0.5)),IF((BU79&lt;BG$148),(((((BG$148-BU79)*(BT79-BT78))/(BU78-BU79))^2)^0.5),0))))))</f>
        <v>0</v>
      </c>
      <c s="441" r="CC79">
        <f>IF((BY79&gt;0),(MAX(CC$47:CC78)+1),0)</f>
        <v>0</v>
      </c>
      <c s="388" r="CD79"/>
      <c s="406" r="CE79"/>
      <c s="886" r="CF79"/>
      <c s="886" r="CG79"/>
      <c s="886" r="CH79"/>
      <c s="886" r="CI79"/>
      <c s="418" r="CJ79"/>
      <c s="550" r="CK79"/>
      <c s="550" r="CL79"/>
      <c t="str" s="620" r="CM79">
        <f>IF((COUNT(CL79:CL$146,CN79:CN$146)=0),NA(),IF(ISBLANK(CL79),CM78,(CM78+(CL79-CN78))))</f>
        <v>#N/A:explicit</v>
      </c>
      <c s="550" r="CN79"/>
      <c t="str" s="620" r="CO79">
        <f>IF(OR(ISBLANK(CN79),ISNUMBER(CL80)),NA(),(CM79-CN79))</f>
        <v>#N/A:explicit</v>
      </c>
      <c t="b" s="895" r="CP79">
        <v>0</v>
      </c>
      <c s="631" r="CQ79"/>
      <c t="str" s="309" r="CR79">
        <f>IF((COUNT(CK79:CK$146)=0),NA(),IF(ISBLANK(CK79),IF(ISBLANK(CK78),MAX(CK$46:CK79),CK78),CK79))</f>
        <v>#N/A:explicit</v>
      </c>
      <c t="str" s="861" r="CS79">
        <f>IF(ISNA(CO79),IF(ISNUMBER(CR79),CS78,NA()),CO79)</f>
        <v>#N/A:explicit</v>
      </c>
      <c s="861" r="CT79">
        <f>IF(ISNUMBER(CS79),CS79,(CM$46+1000))</f>
        <v>1000</v>
      </c>
      <c t="str" s="588" r="CU79">
        <f>IF((CP79=TRUE),NA(),IF((CU$44=(CM$46-MAX(CN$46:CN$146))),NA(),CU$44))</f>
        <v>#N/A:explicit</v>
      </c>
      <c s="588" r="CV79">
        <f>IF((ISNA(((CS79*CR79)*CS78))),0,(IF((CR79&lt;CR78),-1,1)*(IF((CP78=FALSE),IF((CP79=FALSE),IF(ISNA(CS79),0,IF((CS78&lt;CU$44),IF((CS79&lt;CU$44),(((CR79-CR78)^2)^0.5),(((((CU$44-CS78)*(CR79-CR78))/(CS79-CS78))^2)^0.5)),IF((CS79&lt;CU$44),(((((CU$44-CS79)*(CR79-CR78))/(CS78-CS79))^2)^0.5),0))),0),0))))</f>
        <v>0</v>
      </c>
      <c s="588" r="CW79">
        <f>IF(ISNA((CS79*CS78)),0,IF((CP78=FALSE),IF((CP79=FALSE),IF(ISNA(CO79),0,IF((CS78&lt;CU$44),IF((CS79&lt;CU$44),((CU$44-((CS78+CS79)*0.5))*CV79),(((CU$44-CS78)*0.5)*CV79)),IF((CS79&lt;CU$44),(((CU$44-CS79)*0.5)*CV79),0))),0),0))</f>
        <v>0</v>
      </c>
      <c s="588" r="CX79">
        <f>IF(ISNA((CS79*CS78)),0,IF((CP78=FALSE),IF((CP79=FALSE),IF(ISNA(CS79),0,IF((CS78&lt;CU$44),IF((CS79&lt;CU$44),(((CV79^2)+((CS79-CS78)^2))^0.5),(((CV79^2)+((CU$44-CS78)^2))^0.5)),IF((CS79&lt;CU$44),(((CV79^2)+((CU$44-CS79)^2))^0.5),0))),0),0))</f>
        <v>0</v>
      </c>
      <c s="588" r="CY79">
        <f>IF(ISNUMBER((CS79*CS78)),IF((CS78&gt;=CE$148),IF((CS79&lt;CE$148),1,0),IF((CS79&gt;=CE$148),IF((CS78&lt;CE$148),1,0),0)),0)</f>
        <v>0</v>
      </c>
      <c s="588" r="CZ79">
        <f>IF(ISNA((CS79*CS78)),0,(IF((CR79&lt;CR78),-1,1)*(IF(ISNA(CS79),0,IF((CS78&lt;CE$148),IF((CS79&lt;CE$148),(((CR79-CR78)^2)^0.5),(((((CE$148-CS78)*(CR79-CR78))/(CS79-CS78))^2)^0.5)),IF((CS79&lt;CE$148),(((((CE$148-CS79)*(CR79-CR78))/(CS78-CS79))^2)^0.5),0))))))</f>
        <v>0</v>
      </c>
      <c s="441" r="DA79">
        <f>IF((CW79&gt;0),(MAX(DA$47:DA78)+1),0)</f>
        <v>0</v>
      </c>
      <c s="388" r="DB79"/>
      <c s="406" r="DC79"/>
      <c s="886" r="DD79"/>
      <c s="886" r="DE79"/>
      <c s="886" r="DF79"/>
      <c s="886" r="DG79"/>
      <c s="418" r="DH79"/>
      <c s="550" r="DI79"/>
      <c s="550" r="DJ79"/>
      <c t="str" s="620" r="DK79">
        <f>IF((COUNT(DJ79:DJ$146,DL79:DL$146)=0),NA(),IF(ISBLANK(DJ79),DK78,(DK78+(DJ79-DL78))))</f>
        <v>#N/A:explicit</v>
      </c>
      <c s="550" r="DL79"/>
      <c t="str" s="620" r="DM79">
        <f>IF(OR(ISBLANK(DL79),ISNUMBER(DJ80)),NA(),(DK79-DL79))</f>
        <v>#N/A:explicit</v>
      </c>
      <c t="b" s="895" r="DN79">
        <v>0</v>
      </c>
      <c s="631" r="DO79"/>
      <c t="str" s="309" r="DP79">
        <f>IF((COUNT(DI79:DI$146)=0),NA(),IF(ISBLANK(DI79),IF(ISBLANK(DI78),MAX(DI$46:DI79),DI78),DI79))</f>
        <v>#N/A:explicit</v>
      </c>
      <c t="str" s="861" r="DQ79">
        <f>IF(ISNA(DM79),IF(ISNUMBER(DP79),DQ78,NA()),DM79)</f>
        <v>#N/A:explicit</v>
      </c>
      <c s="861" r="DR79">
        <f>IF(ISNUMBER(DQ79),DQ79,(DK$46+1000))</f>
        <v>1000</v>
      </c>
      <c t="str" s="588" r="DS79">
        <f>IF((DN79=TRUE),NA(),IF((DS$44=(DK$46-MAX(DL$46:DL$146))),NA(),DS$44))</f>
        <v>#N/A:explicit</v>
      </c>
      <c s="588" r="DT79">
        <f>IF((ISNA(((DQ79*DP79)*DQ78))),0,(IF((DP79&lt;DP78),-1,1)*(IF((DN78=FALSE),IF((DN79=FALSE),IF(ISNA(DQ79),0,IF((DQ78&lt;DS$44),IF((DQ79&lt;DS$44),(((DP79-DP78)^2)^0.5),(((((DS$44-DQ78)*(DP79-DP78))/(DQ79-DQ78))^2)^0.5)),IF((DQ79&lt;DS$44),(((((DS$44-DQ79)*(DP79-DP78))/(DQ78-DQ79))^2)^0.5),0))),0),0))))</f>
        <v>0</v>
      </c>
      <c s="588" r="DU79">
        <f>IF(ISNA((DQ79*DQ78)),0,IF((DN78=FALSE),IF((DN79=FALSE),IF(ISNA(DM79),0,IF((DQ78&lt;DS$44),IF((DQ79&lt;DS$44),((DS$44-((DQ78+DQ79)*0.5))*DT79),(((DS$44-DQ78)*0.5)*DT79)),IF((DQ79&lt;DS$44),(((DS$44-DQ79)*0.5)*DT79),0))),0),0))</f>
        <v>0</v>
      </c>
      <c s="588" r="DV79">
        <f>IF(ISNA((DQ79*DQ78)),0,IF((DN78=FALSE),IF((DN79=FALSE),IF(ISNA(DQ79),0,IF((DQ78&lt;DS$44),IF((DQ79&lt;DS$44),(((DT79^2)+((DQ79-DQ78)^2))^0.5),(((DT79^2)+((DS$44-DQ78)^2))^0.5)),IF((DQ79&lt;DS$44),(((DT79^2)+((DS$44-DQ79)^2))^0.5),0))),0),0))</f>
        <v>0</v>
      </c>
      <c s="588" r="DW79">
        <f>IF(ISNUMBER((DQ79*DQ78)),IF((DQ78&gt;=DC$148),IF((DQ79&lt;DC$148),1,0),IF((DQ79&gt;=DC$148),IF((DQ78&lt;DC$148),1,0),0)),0)</f>
        <v>0</v>
      </c>
      <c s="588" r="DX79">
        <f>IF(ISNA((DQ79*DQ78)),0,(IF((DP79&lt;DP78),-1,1)*(IF(ISNA(DQ79),0,IF((DQ78&lt;DC$148),IF((DQ79&lt;DC$148),(((DP79-DP78)^2)^0.5),(((((DC$148-DQ78)*(DP79-DP78))/(DQ79-DQ78))^2)^0.5)),IF((DQ79&lt;DC$148),(((((DC$148-DQ79)*(DP79-DP78))/(DQ78-DQ79))^2)^0.5),0))))))</f>
        <v>0</v>
      </c>
      <c s="441" r="DY79">
        <f>IF((DU79&gt;0),(MAX(DY$47:DY78)+1),0)</f>
        <v>0</v>
      </c>
      <c s="388" r="DZ79"/>
      <c s="406" r="EA79"/>
      <c s="886" r="EB79"/>
      <c s="886" r="EC79"/>
      <c s="886" r="ED79"/>
      <c s="886" r="EE79"/>
      <c s="418" r="EF79"/>
      <c s="550" r="EG79"/>
      <c s="550" r="EH79"/>
      <c t="str" s="620" r="EI79">
        <f>IF((COUNT(EH79:EH$146,EJ79:EJ$146)=0),NA(),IF(ISBLANK(EH79),EI78,(EI78+(EH79-EJ78))))</f>
        <v>#N/A:explicit</v>
      </c>
      <c s="550" r="EJ79"/>
      <c t="str" s="620" r="EK79">
        <f>IF(OR(ISBLANK(EJ79),ISNUMBER(EH80)),NA(),(EI79-EJ79))</f>
        <v>#N/A:explicit</v>
      </c>
      <c t="b" s="895" r="EL79">
        <v>0</v>
      </c>
      <c s="631" r="EM79"/>
      <c t="str" s="309" r="EN79">
        <f>IF((COUNT(EG79:EG$146)=0),NA(),IF(ISBLANK(EG79),IF(ISBLANK(EG78),MAX(EG$46:EG79),EG78),EG79))</f>
        <v>#N/A:explicit</v>
      </c>
      <c t="str" s="861" r="EO79">
        <f>IF(ISNA(EK79),IF(ISNUMBER(EN79),EO78,NA()),EK79)</f>
        <v>#N/A:explicit</v>
      </c>
      <c s="861" r="EP79">
        <f>IF(ISNUMBER(EO79),EO79,(EI$46+1000))</f>
        <v>1000</v>
      </c>
      <c t="str" s="588" r="EQ79">
        <f>IF((EL79=TRUE),NA(),IF((EQ$44=(EI$46-MAX(EJ$46:EJ$146))),NA(),EQ$44))</f>
        <v>#N/A:explicit</v>
      </c>
      <c s="588" r="ER79">
        <f>IF((ISNA(((EO79*EN79)*EO78))),0,(IF((EN79&lt;EN78),-1,1)*(IF((EL78=FALSE),IF((EL79=FALSE),IF(ISNA(EO79),0,IF((EO78&lt;EQ$44),IF((EO79&lt;EQ$44),(((EN79-EN78)^2)^0.5),(((((EQ$44-EO78)*(EN79-EN78))/(EO79-EO78))^2)^0.5)),IF((EO79&lt;EQ$44),(((((EQ$44-EO79)*(EN79-EN78))/(EO78-EO79))^2)^0.5),0))),0),0))))</f>
        <v>0</v>
      </c>
      <c s="588" r="ES79">
        <f>IF(ISNA((EO79*EO78)),0,IF((EL78=FALSE),IF((EL79=FALSE),IF(ISNA(EK79),0,IF((EO78&lt;EQ$44),IF((EO79&lt;EQ$44),((EQ$44-((EO78+EO79)*0.5))*ER79),(((EQ$44-EO78)*0.5)*ER79)),IF((EO79&lt;EQ$44),(((EQ$44-EO79)*0.5)*ER79),0))),0),0))</f>
        <v>0</v>
      </c>
      <c s="588" r="ET79">
        <f>IF(ISNA((EO79*EO78)),0,IF((EL78=FALSE),IF((EL79=FALSE),IF(ISNA(EO79),0,IF((EO78&lt;EQ$44),IF((EO79&lt;EQ$44),(((ER79^2)+((EO79-EO78)^2))^0.5),(((ER79^2)+((EQ$44-EO78)^2))^0.5)),IF((EO79&lt;EQ$44),(((ER79^2)+((EQ$44-EO79)^2))^0.5),0))),0),0))</f>
        <v>0</v>
      </c>
      <c s="588" r="EU79">
        <f>IF(ISNUMBER((EO79*EO78)),IF((EO78&gt;=EA$148),IF((EO79&lt;EA$148),1,0),IF((EO79&gt;=EA$148),IF((EO78&lt;EA$148),1,0),0)),0)</f>
        <v>0</v>
      </c>
      <c s="588" r="EV79">
        <f>IF(ISNA((EO79*EO78)),0,(IF((EN79&lt;EN78),-1,1)*(IF(ISNA(EO79),0,IF((EO78&lt;EA$148),IF((EO79&lt;EA$148),(((EN79-EN78)^2)^0.5),(((((EA$148-EO78)*(EN79-EN78))/(EO79-EO78))^2)^0.5)),IF((EO79&lt;EA$148),(((((EA$148-EO79)*(EN79-EN78))/(EO78-EO79))^2)^0.5),0))))))</f>
        <v>0</v>
      </c>
      <c s="441" r="EW79">
        <f>IF((ES79&gt;0),(MAX(EW$47:EW78)+1),0)</f>
        <v>0</v>
      </c>
      <c s="388" r="EX79"/>
      <c s="406" r="EY79"/>
      <c s="886" r="EZ79"/>
      <c s="886" r="FA79"/>
      <c s="886" r="FB79"/>
      <c s="886" r="FC79"/>
      <c s="418" r="FD79"/>
      <c s="550" r="FE79"/>
      <c s="550" r="FF79"/>
      <c t="str" s="620" r="FG79">
        <f>IF((COUNT(FF79:FF$146,FH79:FH$146)=0),NA(),IF(ISBLANK(FF79),FG78,(FG78+(FF79-FH78))))</f>
        <v>#N/A:explicit</v>
      </c>
      <c s="550" r="FH79"/>
      <c t="str" s="620" r="FI79">
        <f>IF(OR(ISBLANK(FH79),ISNUMBER(FF80)),NA(),(FG79-FH79))</f>
        <v>#N/A:explicit</v>
      </c>
      <c t="b" s="895" r="FJ79">
        <v>0</v>
      </c>
      <c s="631" r="FK79"/>
      <c t="str" s="309" r="FL79">
        <f>IF((COUNT(FE79:FE$146)=0),NA(),IF(ISBLANK(FE79),IF(ISBLANK(FE78),MAX(FE$46:FE79),FE78),FE79))</f>
        <v>#N/A:explicit</v>
      </c>
      <c t="str" s="861" r="FM79">
        <f>IF(ISNA(FI79),IF(ISNUMBER(FL79),FM78,NA()),FI79)</f>
        <v>#N/A:explicit</v>
      </c>
      <c s="861" r="FN79">
        <f>IF(ISNUMBER(FM79),FM79,(FG$46+1000))</f>
        <v>1000</v>
      </c>
      <c t="str" s="588" r="FO79">
        <f>IF((FJ79=TRUE),NA(),IF((FO$44=(FG$46-MAX(FH$46:FH$146))),NA(),FO$44))</f>
        <v>#N/A:explicit</v>
      </c>
      <c s="588" r="FP79">
        <f>IF((ISNA(((FM79*FL79)*FM78))),0,(IF((FL79&lt;FL78),-1,1)*(IF((FJ78=FALSE),IF((FJ79=FALSE),IF(ISNA(FM79),0,IF((FM78&lt;FO$44),IF((FM79&lt;FO$44),(((FL79-FL78)^2)^0.5),(((((FO$44-FM78)*(FL79-FL78))/(FM79-FM78))^2)^0.5)),IF((FM79&lt;FO$44),(((((FO$44-FM79)*(FL79-FL78))/(FM78-FM79))^2)^0.5),0))),0),0))))</f>
        <v>0</v>
      </c>
      <c s="588" r="FQ79">
        <f>IF(ISNA((FM79*FM78)),0,IF((FJ78=FALSE),IF((FJ79=FALSE),IF(ISNA(FI79),0,IF((FM78&lt;FO$44),IF((FM79&lt;FO$44),((FO$44-((FM78+FM79)*0.5))*FP79),(((FO$44-FM78)*0.5)*FP79)),IF((FM79&lt;FO$44),(((FO$44-FM79)*0.5)*FP79),0))),0),0))</f>
        <v>0</v>
      </c>
      <c s="588" r="FR79">
        <f>IF(ISNA((FM79*FM78)),0,IF((FJ78=FALSE),IF((FJ79=FALSE),IF(ISNA(FM79),0,IF((FM78&lt;FO$44),IF((FM79&lt;FO$44),(((FP79^2)+((FM79-FM78)^2))^0.5),(((FP79^2)+((FO$44-FM78)^2))^0.5)),IF((FM79&lt;FO$44),(((FP79^2)+((FO$44-FM79)^2))^0.5),0))),0),0))</f>
        <v>0</v>
      </c>
      <c s="588" r="FS79">
        <f>IF(ISNUMBER((FM79*FM78)),IF((FM78&gt;=EY$148),IF((FM79&lt;EY$148),1,0),IF((FM79&gt;=EY$148),IF((FM78&lt;EY$148),1,0),0)),0)</f>
        <v>0</v>
      </c>
      <c s="588" r="FT79">
        <f>IF(ISNA((FM79*FM78)),0,(IF((FL79&lt;FL78),-1,1)*(IF(ISNA(FM79),0,IF((FM78&lt;EY$148),IF((FM79&lt;EY$148),(((FL79-FL78)^2)^0.5),(((((EY$148-FM78)*(FL79-FL78))/(FM79-FM78))^2)^0.5)),IF((FM79&lt;EY$148),(((((EY$148-FM79)*(FL79-FL78))/(FM78-FM79))^2)^0.5),0))))))</f>
        <v>0</v>
      </c>
      <c s="441" r="FU79">
        <f>IF((FQ79&gt;0),(MAX(FU$47:FU78)+1),0)</f>
        <v>0</v>
      </c>
      <c s="222" r="FV79"/>
      <c s="125" r="FW79"/>
      <c s="125" r="FX79"/>
      <c s="125" r="FY79"/>
      <c s="125" r="FZ79"/>
      <c s="125" r="GA79"/>
      <c s="125" r="GB79"/>
      <c s="125" r="GC79"/>
      <c s="125" r="GD79"/>
      <c s="125" r="GE79"/>
      <c s="125" r="GF79"/>
      <c s="125" r="GG79"/>
      <c s="125" r="GH79"/>
      <c s="125" r="GI79"/>
      <c s="125" r="GJ79"/>
      <c s="125" r="GK79"/>
      <c s="125" r="GL79"/>
      <c s="125" r="GM79"/>
      <c s="125" r="GN79"/>
      <c s="125" r="GO79"/>
      <c s="125" r="GP79"/>
      <c s="125" r="GQ79"/>
      <c s="125" r="GR79"/>
      <c s="125" r="GS79"/>
      <c s="125" r="GT79"/>
      <c s="125" r="GU79"/>
      <c s="125" r="GV79"/>
      <c s="125" r="GW79"/>
      <c s="125" r="GX79"/>
      <c s="125" r="GY79"/>
      <c s="125" r="GZ79"/>
      <c s="125" r="HA79"/>
      <c s="125" r="HB79"/>
    </row>
    <row customHeight="1" r="80" ht="13.5">
      <c s="822" r="A80"/>
      <c s="908" r="B80"/>
      <c t="s" s="812" r="C80">
        <v>32</v>
      </c>
      <c t="str" s="582" r="D80">
        <f>Summary!$N$14</f>
        <v>---</v>
      </c>
      <c s="551" r="E80"/>
      <c s="551" r="F80"/>
      <c s="551" r="G80"/>
      <c s="671" r="H80"/>
      <c s="51" r="I80"/>
      <c s="822" r="J80"/>
      <c s="406" r="K80"/>
      <c s="886" r="L80"/>
      <c s="886" r="M80"/>
      <c s="886" r="N80"/>
      <c s="886" r="O80"/>
      <c s="418" r="P80"/>
      <c s="550" r="Q80"/>
      <c s="550" r="R80"/>
      <c t="str" s="620" r="S80">
        <f>IF((COUNT(R80:R$146,T80:T$146)=0),NA(),IF(ISBLANK(R80),S79,(S79+(R80-T79))))</f>
        <v>#N/A:explicit</v>
      </c>
      <c s="550" r="T80"/>
      <c t="str" s="620" r="U80">
        <f>IF(OR(ISBLANK(T80),ISNUMBER(R81)),NA(),(S80-T80))</f>
        <v>#N/A:explicit</v>
      </c>
      <c t="b" s="895" r="V80">
        <v>0</v>
      </c>
      <c s="631" r="W80"/>
      <c t="str" s="309" r="X80">
        <f>IF((COUNT(Q80:Q$146)=0),NA(),IF(ISBLANK(Q80),IF(ISBLANK(Q79),MAX(Q$46:Q80),Q79),Q80))</f>
        <v>#N/A:explicit</v>
      </c>
      <c t="str" s="861" r="Y80">
        <f>IF(ISNA(U80),IF(ISNUMBER(X80),Y79,NA()),U80)</f>
        <v>#N/A:explicit</v>
      </c>
      <c s="861" r="Z80">
        <f>IF(ISNUMBER(Y80),Y80,(S$46+1000))</f>
        <v>1000</v>
      </c>
      <c t="str" s="588" r="AA80">
        <f>IF((V80=TRUE),NA(),IF((AA$44=(S$46-MAX(T$46:T$146))),NA(),AA$44))</f>
        <v>#N/A:explicit</v>
      </c>
      <c s="588" r="AB80">
        <f>IF((ISNA(((Y80*X80)*Y79))),0,(IF((X80&lt;X79),-1,1)*(IF((V79=FALSE),IF((V80=FALSE),IF(ISNA(Y80),0,IF((Y79&lt;AA$44),IF((Y80&lt;AA$44),(((X80-X79)^2)^0.5),(((((AA$44-Y79)*(X80-X79))/(Y80-Y79))^2)^0.5)),IF((Y80&lt;AA$44),(((((AA$44-Y80)*(X80-X79))/(Y79-Y80))^2)^0.5),0))),0),0))))</f>
        <v>0</v>
      </c>
      <c s="588" r="AC80">
        <f>IF(ISNA((Y80*Y79)),0,IF((V79=FALSE),IF((V80=FALSE),IF(ISNA(U80),0,IF((Y79&lt;AA$44),IF((Y80&lt;AA$44),((AA$44-((Y79+Y80)*0.5))*AB80),(((AA$44-Y79)*0.5)*AB80)),IF((Y80&lt;AA$44),(((AA$44-Y80)*0.5)*AB80),0))),0),0))</f>
        <v>0</v>
      </c>
      <c s="588" r="AD80">
        <f>IF(ISNA((Y80*Y79)),0,IF((V79=FALSE),IF((V80=FALSE),IF(ISNA(Y80),0,IF((Y79&lt;AA$44),IF((Y80&lt;AA$44),(((AB80^2)+((Y80-Y79)^2))^0.5),(((AB80^2)+((AA$44-Y79)^2))^0.5)),IF((Y80&lt;AA$44),(((AB80^2)+((AA$44-Y80)^2))^0.5),0))),0),0))</f>
        <v>0</v>
      </c>
      <c s="588" r="AE80">
        <f>IF(ISNUMBER((Y80*Y79)),IF((Y79&gt;=K$148),IF((Y80&lt;K$148),1,0),IF((Y80&gt;=K$148),IF((Y79&lt;K$148),1,0),0)),0)</f>
        <v>0</v>
      </c>
      <c s="588" r="AF80">
        <f>IF(ISNA((Y80*Y79)),0,(IF((X80&lt;X79),-1,1)*(IF(ISNA(Y80),0,IF((Y79&lt;K$148),IF((Y80&lt;K$148),(((X80-X79)^2)^0.5),(((((K$148-Y79)*(X80-X79))/(Y80-Y79))^2)^0.5)),IF((Y80&lt;K$148),(((((K$148-Y80)*(X80-X79))/(Y79-Y80))^2)^0.5),0))))))</f>
        <v>0</v>
      </c>
      <c s="441" r="AG80">
        <f>IF((AC80&gt;0),(MAX(AG$47:AG79)+1),0)</f>
        <v>0</v>
      </c>
      <c s="388" r="AH80"/>
      <c s="406" r="AI80"/>
      <c s="886" r="AJ80"/>
      <c s="886" r="AK80"/>
      <c s="886" r="AL80"/>
      <c s="886" r="AM80"/>
      <c s="418" r="AN80"/>
      <c s="550" r="AO80"/>
      <c s="550" r="AP80"/>
      <c t="str" s="620" r="AQ80">
        <f>IF((COUNT(AP80:AP$146,AR80:AR$146)=0),NA(),IF(ISBLANK(AP80),AQ79,(AQ79+(AP80-AR79))))</f>
        <v>#N/A:explicit</v>
      </c>
      <c s="550" r="AR80"/>
      <c t="str" s="620" r="AS80">
        <f>IF(OR(ISBLANK(AR80),ISNUMBER(AP81)),NA(),(AQ80-AR80))</f>
        <v>#N/A:explicit</v>
      </c>
      <c t="b" s="895" r="AT80">
        <v>0</v>
      </c>
      <c s="631" r="AU80"/>
      <c t="str" s="309" r="AV80">
        <f>IF((COUNT(AO80:AO$146)=0),NA(),IF(ISBLANK(AO80),IF(ISBLANK(AO79),MAX(AO$46:AO80),AO79),AO80))</f>
        <v>#N/A:explicit</v>
      </c>
      <c t="str" s="861" r="AW80">
        <f>IF(ISNA(AS80),IF(ISNUMBER(AV80),AW79,NA()),AS80)</f>
        <v>#N/A:explicit</v>
      </c>
      <c s="861" r="AX80">
        <f>IF(ISNUMBER(AW80),AW80,(AQ$46+1000))</f>
        <v>1000</v>
      </c>
      <c t="str" s="588" r="AY80">
        <f>IF((AT80=TRUE),NA(),IF((AY$44=(AQ$46-MAX(AR$46:AR$146))),NA(),AY$44))</f>
        <v>#N/A:explicit</v>
      </c>
      <c s="588" r="AZ80">
        <f>IF((ISNA(((AW80*AV80)*AW79))),0,(IF((AV80&lt;AV79),-1,1)*(IF((AT79=FALSE),IF((AT80=FALSE),IF(ISNA(AW80),0,IF((AW79&lt;AY$44),IF((AW80&lt;AY$44),(((AV80-AV79)^2)^0.5),(((((AY$44-AW79)*(AV80-AV79))/(AW80-AW79))^2)^0.5)),IF((AW80&lt;AY$44),(((((AY$44-AW80)*(AV80-AV79))/(AW79-AW80))^2)^0.5),0))),0),0))))</f>
        <v>0</v>
      </c>
      <c s="588" r="BA80">
        <f>IF(ISNA((AW80*AW79)),0,IF((AT79=FALSE),IF((AT80=FALSE),IF(ISNA(AS80),0,IF((AW79&lt;AY$44),IF((AW80&lt;AY$44),((AY$44-((AW79+AW80)*0.5))*AZ80),(((AY$44-AW79)*0.5)*AZ80)),IF((AW80&lt;AY$44),(((AY$44-AW80)*0.5)*AZ80),0))),0),0))</f>
        <v>0</v>
      </c>
      <c s="588" r="BB80">
        <f>IF(ISNA((AW80*AW79)),0,IF((AT79=FALSE),IF((AT80=FALSE),IF(ISNA(AW80),0,IF((AW79&lt;AY$44),IF((AW80&lt;AY$44),(((AZ80^2)+((AW80-AW79)^2))^0.5),(((AZ80^2)+((AY$44-AW79)^2))^0.5)),IF((AW80&lt;AY$44),(((AZ80^2)+((AY$44-AW80)^2))^0.5),0))),0),0))</f>
        <v>0</v>
      </c>
      <c s="588" r="BC80">
        <f>IF(ISNUMBER((AW80*AW79)),IF((AW79&gt;=AI$148),IF((AW80&lt;AI$148),1,0),IF((AW80&gt;=AI$148),IF((AW79&lt;AI$148),1,0),0)),0)</f>
        <v>0</v>
      </c>
      <c s="588" r="BD80">
        <f>IF(ISNA((AW80*AW79)),0,(IF((AV80&lt;AV79),-1,1)*(IF(ISNA(AW80),0,IF((AW79&lt;AI$148),IF((AW80&lt;AI$148),(((AV80-AV79)^2)^0.5),(((((AI$148-AW79)*(AV80-AV79))/(AW80-AW79))^2)^0.5)),IF((AW80&lt;AI$148),(((((AI$148-AW80)*(AV80-AV79))/(AW79-AW80))^2)^0.5),0))))))</f>
        <v>0</v>
      </c>
      <c s="441" r="BE80">
        <f>IF((BA80&gt;0),(MAX(BE$47:BE79)+1),0)</f>
        <v>0</v>
      </c>
      <c s="388" r="BF80"/>
      <c s="406" r="BG80"/>
      <c s="886" r="BH80"/>
      <c s="886" r="BI80"/>
      <c s="886" r="BJ80"/>
      <c s="886" r="BK80"/>
      <c s="418" r="BL80"/>
      <c s="550" r="BM80"/>
      <c s="550" r="BN80"/>
      <c t="str" s="620" r="BO80">
        <f>IF((COUNT(BN80:BN$146,BP80:BP$146)=0),NA(),IF(ISBLANK(BN80),BO79,(BO79+(BN80-BP79))))</f>
        <v>#N/A:explicit</v>
      </c>
      <c s="550" r="BP80"/>
      <c t="str" s="620" r="BQ80">
        <f>IF(OR(ISBLANK(BP80),ISNUMBER(BN81)),NA(),(BO80-BP80))</f>
        <v>#N/A:explicit</v>
      </c>
      <c t="b" s="895" r="BR80">
        <v>0</v>
      </c>
      <c s="631" r="BS80"/>
      <c t="str" s="309" r="BT80">
        <f>IF((COUNT(BM80:BM$146)=0),NA(),IF(ISBLANK(BM80),IF(ISBLANK(BM79),MAX(BM$46:BM80),BM79),BM80))</f>
        <v>#N/A:explicit</v>
      </c>
      <c t="str" s="861" r="BU80">
        <f>IF(ISNA(BQ80),IF(ISNUMBER(BT80),BU79,NA()),BQ80)</f>
        <v>#N/A:explicit</v>
      </c>
      <c s="861" r="BV80">
        <f>IF(ISNUMBER(BU80),BU80,(BO$46+1000))</f>
        <v>1000</v>
      </c>
      <c t="str" s="588" r="BW80">
        <f>IF((BR80=TRUE),NA(),IF((BW$44=(BO$46-MAX(BP$46:BP$146))),NA(),BW$44))</f>
        <v>#N/A:explicit</v>
      </c>
      <c s="588" r="BX80">
        <f>IF((ISNA(((BU80*BT80)*BU79))),0,(IF((BT80&lt;BT79),-1,1)*(IF((BR79=FALSE),IF((BR80=FALSE),IF(ISNA(BU80),0,IF((BU79&lt;BW$44),IF((BU80&lt;BW$44),(((BT80-BT79)^2)^0.5),(((((BW$44-BU79)*(BT80-BT79))/(BU80-BU79))^2)^0.5)),IF((BU80&lt;BW$44),(((((BW$44-BU80)*(BT80-BT79))/(BU79-BU80))^2)^0.5),0))),0),0))))</f>
        <v>0</v>
      </c>
      <c s="588" r="BY80">
        <f>IF(ISNA((BU80*BU79)),0,IF((BR79=FALSE),IF((BR80=FALSE),IF(ISNA(BQ80),0,IF((BU79&lt;BW$44),IF((BU80&lt;BW$44),((BW$44-((BU79+BU80)*0.5))*BX80),(((BW$44-BU79)*0.5)*BX80)),IF((BU80&lt;BW$44),(((BW$44-BU80)*0.5)*BX80),0))),0),0))</f>
        <v>0</v>
      </c>
      <c s="588" r="BZ80">
        <f>IF(ISNA((BU80*BU79)),0,IF((BR79=FALSE),IF((BR80=FALSE),IF(ISNA(BU80),0,IF((BU79&lt;BW$44),IF((BU80&lt;BW$44),(((BX80^2)+((BU80-BU79)^2))^0.5),(((BX80^2)+((BW$44-BU79)^2))^0.5)),IF((BU80&lt;BW$44),(((BX80^2)+((BW$44-BU80)^2))^0.5),0))),0),0))</f>
        <v>0</v>
      </c>
      <c s="588" r="CA80">
        <f>IF(ISNUMBER((BU80*BU79)),IF((BU79&gt;=BG$148),IF((BU80&lt;BG$148),1,0),IF((BU80&gt;=BG$148),IF((BU79&lt;BG$148),1,0),0)),0)</f>
        <v>0</v>
      </c>
      <c s="588" r="CB80">
        <f>IF(ISNA((BU80*BU79)),0,(IF((BT80&lt;BT79),-1,1)*(IF(ISNA(BU80),0,IF((BU79&lt;BG$148),IF((BU80&lt;BG$148),(((BT80-BT79)^2)^0.5),(((((BG$148-BU79)*(BT80-BT79))/(BU80-BU79))^2)^0.5)),IF((BU80&lt;BG$148),(((((BG$148-BU80)*(BT80-BT79))/(BU79-BU80))^2)^0.5),0))))))</f>
        <v>0</v>
      </c>
      <c s="441" r="CC80">
        <f>IF((BY80&gt;0),(MAX(CC$47:CC79)+1),0)</f>
        <v>0</v>
      </c>
      <c s="388" r="CD80"/>
      <c s="406" r="CE80"/>
      <c s="886" r="CF80"/>
      <c s="886" r="CG80"/>
      <c s="886" r="CH80"/>
      <c s="886" r="CI80"/>
      <c s="418" r="CJ80"/>
      <c s="550" r="CK80"/>
      <c s="550" r="CL80"/>
      <c t="str" s="620" r="CM80">
        <f>IF((COUNT(CL80:CL$146,CN80:CN$146)=0),NA(),IF(ISBLANK(CL80),CM79,(CM79+(CL80-CN79))))</f>
        <v>#N/A:explicit</v>
      </c>
      <c s="550" r="CN80"/>
      <c t="str" s="620" r="CO80">
        <f>IF(OR(ISBLANK(CN80),ISNUMBER(CL81)),NA(),(CM80-CN80))</f>
        <v>#N/A:explicit</v>
      </c>
      <c t="b" s="895" r="CP80">
        <v>0</v>
      </c>
      <c s="631" r="CQ80"/>
      <c t="str" s="309" r="CR80">
        <f>IF((COUNT(CK80:CK$146)=0),NA(),IF(ISBLANK(CK80),IF(ISBLANK(CK79),MAX(CK$46:CK80),CK79),CK80))</f>
        <v>#N/A:explicit</v>
      </c>
      <c t="str" s="861" r="CS80">
        <f>IF(ISNA(CO80),IF(ISNUMBER(CR80),CS79,NA()),CO80)</f>
        <v>#N/A:explicit</v>
      </c>
      <c s="861" r="CT80">
        <f>IF(ISNUMBER(CS80),CS80,(CM$46+1000))</f>
        <v>1000</v>
      </c>
      <c t="str" s="588" r="CU80">
        <f>IF((CP80=TRUE),NA(),IF((CU$44=(CM$46-MAX(CN$46:CN$146))),NA(),CU$44))</f>
        <v>#N/A:explicit</v>
      </c>
      <c s="588" r="CV80">
        <f>IF((ISNA(((CS80*CR80)*CS79))),0,(IF((CR80&lt;CR79),-1,1)*(IF((CP79=FALSE),IF((CP80=FALSE),IF(ISNA(CS80),0,IF((CS79&lt;CU$44),IF((CS80&lt;CU$44),(((CR80-CR79)^2)^0.5),(((((CU$44-CS79)*(CR80-CR79))/(CS80-CS79))^2)^0.5)),IF((CS80&lt;CU$44),(((((CU$44-CS80)*(CR80-CR79))/(CS79-CS80))^2)^0.5),0))),0),0))))</f>
        <v>0</v>
      </c>
      <c s="588" r="CW80">
        <f>IF(ISNA((CS80*CS79)),0,IF((CP79=FALSE),IF((CP80=FALSE),IF(ISNA(CO80),0,IF((CS79&lt;CU$44),IF((CS80&lt;CU$44),((CU$44-((CS79+CS80)*0.5))*CV80),(((CU$44-CS79)*0.5)*CV80)),IF((CS80&lt;CU$44),(((CU$44-CS80)*0.5)*CV80),0))),0),0))</f>
        <v>0</v>
      </c>
      <c s="588" r="CX80">
        <f>IF(ISNA((CS80*CS79)),0,IF((CP79=FALSE),IF((CP80=FALSE),IF(ISNA(CS80),0,IF((CS79&lt;CU$44),IF((CS80&lt;CU$44),(((CV80^2)+((CS80-CS79)^2))^0.5),(((CV80^2)+((CU$44-CS79)^2))^0.5)),IF((CS80&lt;CU$44),(((CV80^2)+((CU$44-CS80)^2))^0.5),0))),0),0))</f>
        <v>0</v>
      </c>
      <c s="588" r="CY80">
        <f>IF(ISNUMBER((CS80*CS79)),IF((CS79&gt;=CE$148),IF((CS80&lt;CE$148),1,0),IF((CS80&gt;=CE$148),IF((CS79&lt;CE$148),1,0),0)),0)</f>
        <v>0</v>
      </c>
      <c s="588" r="CZ80">
        <f>IF(ISNA((CS80*CS79)),0,(IF((CR80&lt;CR79),-1,1)*(IF(ISNA(CS80),0,IF((CS79&lt;CE$148),IF((CS80&lt;CE$148),(((CR80-CR79)^2)^0.5),(((((CE$148-CS79)*(CR80-CR79))/(CS80-CS79))^2)^0.5)),IF((CS80&lt;CE$148),(((((CE$148-CS80)*(CR80-CR79))/(CS79-CS80))^2)^0.5),0))))))</f>
        <v>0</v>
      </c>
      <c s="441" r="DA80">
        <f>IF((CW80&gt;0),(MAX(DA$47:DA79)+1),0)</f>
        <v>0</v>
      </c>
      <c s="388" r="DB80"/>
      <c s="406" r="DC80"/>
      <c s="886" r="DD80"/>
      <c s="886" r="DE80"/>
      <c s="886" r="DF80"/>
      <c s="886" r="DG80"/>
      <c s="418" r="DH80"/>
      <c s="550" r="DI80"/>
      <c s="550" r="DJ80"/>
      <c t="str" s="620" r="DK80">
        <f>IF((COUNT(DJ80:DJ$146,DL80:DL$146)=0),NA(),IF(ISBLANK(DJ80),DK79,(DK79+(DJ80-DL79))))</f>
        <v>#N/A:explicit</v>
      </c>
      <c s="550" r="DL80"/>
      <c t="str" s="620" r="DM80">
        <f>IF(OR(ISBLANK(DL80),ISNUMBER(DJ81)),NA(),(DK80-DL80))</f>
        <v>#N/A:explicit</v>
      </c>
      <c t="b" s="895" r="DN80">
        <v>0</v>
      </c>
      <c s="631" r="DO80"/>
      <c t="str" s="309" r="DP80">
        <f>IF((COUNT(DI80:DI$146)=0),NA(),IF(ISBLANK(DI80),IF(ISBLANK(DI79),MAX(DI$46:DI80),DI79),DI80))</f>
        <v>#N/A:explicit</v>
      </c>
      <c t="str" s="861" r="DQ80">
        <f>IF(ISNA(DM80),IF(ISNUMBER(DP80),DQ79,NA()),DM80)</f>
        <v>#N/A:explicit</v>
      </c>
      <c s="861" r="DR80">
        <f>IF(ISNUMBER(DQ80),DQ80,(DK$46+1000))</f>
        <v>1000</v>
      </c>
      <c t="str" s="588" r="DS80">
        <f>IF((DN80=TRUE),NA(),IF((DS$44=(DK$46-MAX(DL$46:DL$146))),NA(),DS$44))</f>
        <v>#N/A:explicit</v>
      </c>
      <c s="588" r="DT80">
        <f>IF((ISNA(((DQ80*DP80)*DQ79))),0,(IF((DP80&lt;DP79),-1,1)*(IF((DN79=FALSE),IF((DN80=FALSE),IF(ISNA(DQ80),0,IF((DQ79&lt;DS$44),IF((DQ80&lt;DS$44),(((DP80-DP79)^2)^0.5),(((((DS$44-DQ79)*(DP80-DP79))/(DQ80-DQ79))^2)^0.5)),IF((DQ80&lt;DS$44),(((((DS$44-DQ80)*(DP80-DP79))/(DQ79-DQ80))^2)^0.5),0))),0),0))))</f>
        <v>0</v>
      </c>
      <c s="588" r="DU80">
        <f>IF(ISNA((DQ80*DQ79)),0,IF((DN79=FALSE),IF((DN80=FALSE),IF(ISNA(DM80),0,IF((DQ79&lt;DS$44),IF((DQ80&lt;DS$44),((DS$44-((DQ79+DQ80)*0.5))*DT80),(((DS$44-DQ79)*0.5)*DT80)),IF((DQ80&lt;DS$44),(((DS$44-DQ80)*0.5)*DT80),0))),0),0))</f>
        <v>0</v>
      </c>
      <c s="588" r="DV80">
        <f>IF(ISNA((DQ80*DQ79)),0,IF((DN79=FALSE),IF((DN80=FALSE),IF(ISNA(DQ80),0,IF((DQ79&lt;DS$44),IF((DQ80&lt;DS$44),(((DT80^2)+((DQ80-DQ79)^2))^0.5),(((DT80^2)+((DS$44-DQ79)^2))^0.5)),IF((DQ80&lt;DS$44),(((DT80^2)+((DS$44-DQ80)^2))^0.5),0))),0),0))</f>
        <v>0</v>
      </c>
      <c s="588" r="DW80">
        <f>IF(ISNUMBER((DQ80*DQ79)),IF((DQ79&gt;=DC$148),IF((DQ80&lt;DC$148),1,0),IF((DQ80&gt;=DC$148),IF((DQ79&lt;DC$148),1,0),0)),0)</f>
        <v>0</v>
      </c>
      <c s="588" r="DX80">
        <f>IF(ISNA((DQ80*DQ79)),0,(IF((DP80&lt;DP79),-1,1)*(IF(ISNA(DQ80),0,IF((DQ79&lt;DC$148),IF((DQ80&lt;DC$148),(((DP80-DP79)^2)^0.5),(((((DC$148-DQ79)*(DP80-DP79))/(DQ80-DQ79))^2)^0.5)),IF((DQ80&lt;DC$148),(((((DC$148-DQ80)*(DP80-DP79))/(DQ79-DQ80))^2)^0.5),0))))))</f>
        <v>0</v>
      </c>
      <c s="441" r="DY80">
        <f>IF((DU80&gt;0),(MAX(DY$47:DY79)+1),0)</f>
        <v>0</v>
      </c>
      <c s="388" r="DZ80"/>
      <c s="406" r="EA80"/>
      <c s="886" r="EB80"/>
      <c s="886" r="EC80"/>
      <c s="886" r="ED80"/>
      <c s="886" r="EE80"/>
      <c s="418" r="EF80"/>
      <c s="550" r="EG80"/>
      <c s="550" r="EH80"/>
      <c t="str" s="620" r="EI80">
        <f>IF((COUNT(EH80:EH$146,EJ80:EJ$146)=0),NA(),IF(ISBLANK(EH80),EI79,(EI79+(EH80-EJ79))))</f>
        <v>#N/A:explicit</v>
      </c>
      <c s="550" r="EJ80"/>
      <c t="str" s="620" r="EK80">
        <f>IF(OR(ISBLANK(EJ80),ISNUMBER(EH81)),NA(),(EI80-EJ80))</f>
        <v>#N/A:explicit</v>
      </c>
      <c t="b" s="895" r="EL80">
        <v>0</v>
      </c>
      <c s="631" r="EM80"/>
      <c t="str" s="309" r="EN80">
        <f>IF((COUNT(EG80:EG$146)=0),NA(),IF(ISBLANK(EG80),IF(ISBLANK(EG79),MAX(EG$46:EG80),EG79),EG80))</f>
        <v>#N/A:explicit</v>
      </c>
      <c t="str" s="861" r="EO80">
        <f>IF(ISNA(EK80),IF(ISNUMBER(EN80),EO79,NA()),EK80)</f>
        <v>#N/A:explicit</v>
      </c>
      <c s="861" r="EP80">
        <f>IF(ISNUMBER(EO80),EO80,(EI$46+1000))</f>
        <v>1000</v>
      </c>
      <c t="str" s="588" r="EQ80">
        <f>IF((EL80=TRUE),NA(),IF((EQ$44=(EI$46-MAX(EJ$46:EJ$146))),NA(),EQ$44))</f>
        <v>#N/A:explicit</v>
      </c>
      <c s="588" r="ER80">
        <f>IF((ISNA(((EO80*EN80)*EO79))),0,(IF((EN80&lt;EN79),-1,1)*(IF((EL79=FALSE),IF((EL80=FALSE),IF(ISNA(EO80),0,IF((EO79&lt;EQ$44),IF((EO80&lt;EQ$44),(((EN80-EN79)^2)^0.5),(((((EQ$44-EO79)*(EN80-EN79))/(EO80-EO79))^2)^0.5)),IF((EO80&lt;EQ$44),(((((EQ$44-EO80)*(EN80-EN79))/(EO79-EO80))^2)^0.5),0))),0),0))))</f>
        <v>0</v>
      </c>
      <c s="588" r="ES80">
        <f>IF(ISNA((EO80*EO79)),0,IF((EL79=FALSE),IF((EL80=FALSE),IF(ISNA(EK80),0,IF((EO79&lt;EQ$44),IF((EO80&lt;EQ$44),((EQ$44-((EO79+EO80)*0.5))*ER80),(((EQ$44-EO79)*0.5)*ER80)),IF((EO80&lt;EQ$44),(((EQ$44-EO80)*0.5)*ER80),0))),0),0))</f>
        <v>0</v>
      </c>
      <c s="588" r="ET80">
        <f>IF(ISNA((EO80*EO79)),0,IF((EL79=FALSE),IF((EL80=FALSE),IF(ISNA(EO80),0,IF((EO79&lt;EQ$44),IF((EO80&lt;EQ$44),(((ER80^2)+((EO80-EO79)^2))^0.5),(((ER80^2)+((EQ$44-EO79)^2))^0.5)),IF((EO80&lt;EQ$44),(((ER80^2)+((EQ$44-EO80)^2))^0.5),0))),0),0))</f>
        <v>0</v>
      </c>
      <c s="588" r="EU80">
        <f>IF(ISNUMBER((EO80*EO79)),IF((EO79&gt;=EA$148),IF((EO80&lt;EA$148),1,0),IF((EO80&gt;=EA$148),IF((EO79&lt;EA$148),1,0),0)),0)</f>
        <v>0</v>
      </c>
      <c s="588" r="EV80">
        <f>IF(ISNA((EO80*EO79)),0,(IF((EN80&lt;EN79),-1,1)*(IF(ISNA(EO80),0,IF((EO79&lt;EA$148),IF((EO80&lt;EA$148),(((EN80-EN79)^2)^0.5),(((((EA$148-EO79)*(EN80-EN79))/(EO80-EO79))^2)^0.5)),IF((EO80&lt;EA$148),(((((EA$148-EO80)*(EN80-EN79))/(EO79-EO80))^2)^0.5),0))))))</f>
        <v>0</v>
      </c>
      <c s="441" r="EW80">
        <f>IF((ES80&gt;0),(MAX(EW$47:EW79)+1),0)</f>
        <v>0</v>
      </c>
      <c s="388" r="EX80"/>
      <c s="406" r="EY80"/>
      <c s="886" r="EZ80"/>
      <c s="886" r="FA80"/>
      <c s="886" r="FB80"/>
      <c s="886" r="FC80"/>
      <c s="418" r="FD80"/>
      <c s="550" r="FE80"/>
      <c s="550" r="FF80"/>
      <c t="str" s="620" r="FG80">
        <f>IF((COUNT(FF80:FF$146,FH80:FH$146)=0),NA(),IF(ISBLANK(FF80),FG79,(FG79+(FF80-FH79))))</f>
        <v>#N/A:explicit</v>
      </c>
      <c s="550" r="FH80"/>
      <c t="str" s="620" r="FI80">
        <f>IF(OR(ISBLANK(FH80),ISNUMBER(FF81)),NA(),(FG80-FH80))</f>
        <v>#N/A:explicit</v>
      </c>
      <c t="b" s="895" r="FJ80">
        <v>0</v>
      </c>
      <c s="631" r="FK80"/>
      <c t="str" s="309" r="FL80">
        <f>IF((COUNT(FE80:FE$146)=0),NA(),IF(ISBLANK(FE80),IF(ISBLANK(FE79),MAX(FE$46:FE80),FE79),FE80))</f>
        <v>#N/A:explicit</v>
      </c>
      <c t="str" s="861" r="FM80">
        <f>IF(ISNA(FI80),IF(ISNUMBER(FL80),FM79,NA()),FI80)</f>
        <v>#N/A:explicit</v>
      </c>
      <c s="861" r="FN80">
        <f>IF(ISNUMBER(FM80),FM80,(FG$46+1000))</f>
        <v>1000</v>
      </c>
      <c t="str" s="588" r="FO80">
        <f>IF((FJ80=TRUE),NA(),IF((FO$44=(FG$46-MAX(FH$46:FH$146))),NA(),FO$44))</f>
        <v>#N/A:explicit</v>
      </c>
      <c s="588" r="FP80">
        <f>IF((ISNA(((FM80*FL80)*FM79))),0,(IF((FL80&lt;FL79),-1,1)*(IF((FJ79=FALSE),IF((FJ80=FALSE),IF(ISNA(FM80),0,IF((FM79&lt;FO$44),IF((FM80&lt;FO$44),(((FL80-FL79)^2)^0.5),(((((FO$44-FM79)*(FL80-FL79))/(FM80-FM79))^2)^0.5)),IF((FM80&lt;FO$44),(((((FO$44-FM80)*(FL80-FL79))/(FM79-FM80))^2)^0.5),0))),0),0))))</f>
        <v>0</v>
      </c>
      <c s="588" r="FQ80">
        <f>IF(ISNA((FM80*FM79)),0,IF((FJ79=FALSE),IF((FJ80=FALSE),IF(ISNA(FI80),0,IF((FM79&lt;FO$44),IF((FM80&lt;FO$44),((FO$44-((FM79+FM80)*0.5))*FP80),(((FO$44-FM79)*0.5)*FP80)),IF((FM80&lt;FO$44),(((FO$44-FM80)*0.5)*FP80),0))),0),0))</f>
        <v>0</v>
      </c>
      <c s="588" r="FR80">
        <f>IF(ISNA((FM80*FM79)),0,IF((FJ79=FALSE),IF((FJ80=FALSE),IF(ISNA(FM80),0,IF((FM79&lt;FO$44),IF((FM80&lt;FO$44),(((FP80^2)+((FM80-FM79)^2))^0.5),(((FP80^2)+((FO$44-FM79)^2))^0.5)),IF((FM80&lt;FO$44),(((FP80^2)+((FO$44-FM80)^2))^0.5),0))),0),0))</f>
        <v>0</v>
      </c>
      <c s="588" r="FS80">
        <f>IF(ISNUMBER((FM80*FM79)),IF((FM79&gt;=EY$148),IF((FM80&lt;EY$148),1,0),IF((FM80&gt;=EY$148),IF((FM79&lt;EY$148),1,0),0)),0)</f>
        <v>0</v>
      </c>
      <c s="588" r="FT80">
        <f>IF(ISNA((FM80*FM79)),0,(IF((FL80&lt;FL79),-1,1)*(IF(ISNA(FM80),0,IF((FM79&lt;EY$148),IF((FM80&lt;EY$148),(((FL80-FL79)^2)^0.5),(((((EY$148-FM79)*(FL80-FL79))/(FM80-FM79))^2)^0.5)),IF((FM80&lt;EY$148),(((((EY$148-FM80)*(FL80-FL79))/(FM79-FM80))^2)^0.5),0))))))</f>
        <v>0</v>
      </c>
      <c s="441" r="FU80">
        <f>IF((FQ80&gt;0),(MAX(FU$47:FU79)+1),0)</f>
        <v>0</v>
      </c>
      <c s="222" r="FV80"/>
      <c s="125" r="FW80"/>
      <c s="125" r="FX80"/>
      <c s="125" r="FY80"/>
      <c s="125" r="FZ80"/>
      <c s="125" r="GA80"/>
      <c s="125" r="GB80"/>
      <c s="125" r="GC80"/>
      <c s="125" r="GD80"/>
      <c s="125" r="GE80"/>
      <c s="125" r="GF80"/>
      <c s="125" r="GG80"/>
      <c s="125" r="GH80"/>
      <c s="125" r="GI80"/>
      <c s="125" r="GJ80"/>
      <c s="125" r="GK80"/>
      <c s="125" r="GL80"/>
      <c s="125" r="GM80"/>
      <c s="125" r="GN80"/>
      <c s="125" r="GO80"/>
      <c s="125" r="GP80"/>
      <c s="125" r="GQ80"/>
      <c s="125" r="GR80"/>
      <c s="125" r="GS80"/>
      <c s="125" r="GT80"/>
      <c s="125" r="GU80"/>
      <c s="125" r="GV80"/>
      <c s="125" r="GW80"/>
      <c s="125" r="GX80"/>
      <c s="125" r="GY80"/>
      <c s="125" r="GZ80"/>
      <c s="125" r="HA80"/>
      <c s="125" r="HB80"/>
    </row>
    <row customHeight="1" r="81" ht="13.5">
      <c s="822" r="A81"/>
      <c s="908" r="B81"/>
      <c t="s" s="812" r="C81">
        <v>34</v>
      </c>
      <c t="str" s="717" r="D81">
        <f>Summary!$N$15</f>
        <v>---</v>
      </c>
      <c s="335" r="E81"/>
      <c s="335" r="F81"/>
      <c s="335" r="G81"/>
      <c s="326" r="H81"/>
      <c s="51" r="I81"/>
      <c s="822" r="J81"/>
      <c s="406" r="K81"/>
      <c s="886" r="L81"/>
      <c s="886" r="M81"/>
      <c s="886" r="N81"/>
      <c s="886" r="O81"/>
      <c s="418" r="P81"/>
      <c s="550" r="Q81"/>
      <c s="550" r="R81"/>
      <c t="str" s="620" r="S81">
        <f>IF((COUNT(R81:R$146,T81:T$146)=0),NA(),IF(ISBLANK(R81),S80,(S80+(R81-T80))))</f>
        <v>#N/A:explicit</v>
      </c>
      <c s="550" r="T81"/>
      <c t="str" s="620" r="U81">
        <f>IF(OR(ISBLANK(T81),ISNUMBER(R82)),NA(),(S81-T81))</f>
        <v>#N/A:explicit</v>
      </c>
      <c t="b" s="895" r="V81">
        <v>0</v>
      </c>
      <c s="631" r="W81"/>
      <c t="str" s="309" r="X81">
        <f>IF((COUNT(Q81:Q$146)=0),NA(),IF(ISBLANK(Q81),IF(ISBLANK(Q80),MAX(Q$46:Q81),Q80),Q81))</f>
        <v>#N/A:explicit</v>
      </c>
      <c t="str" s="861" r="Y81">
        <f>IF(ISNA(U81),IF(ISNUMBER(X81),Y80,NA()),U81)</f>
        <v>#N/A:explicit</v>
      </c>
      <c s="861" r="Z81">
        <f>IF(ISNUMBER(Y81),Y81,(S$46+1000))</f>
        <v>1000</v>
      </c>
      <c t="str" s="588" r="AA81">
        <f>IF((V81=TRUE),NA(),IF((AA$44=(S$46-MAX(T$46:T$146))),NA(),AA$44))</f>
        <v>#N/A:explicit</v>
      </c>
      <c s="588" r="AB81">
        <f>IF((ISNA(((Y81*X81)*Y80))),0,(IF((X81&lt;X80),-1,1)*(IF((V80=FALSE),IF((V81=FALSE),IF(ISNA(Y81),0,IF((Y80&lt;AA$44),IF((Y81&lt;AA$44),(((X81-X80)^2)^0.5),(((((AA$44-Y80)*(X81-X80))/(Y81-Y80))^2)^0.5)),IF((Y81&lt;AA$44),(((((AA$44-Y81)*(X81-X80))/(Y80-Y81))^2)^0.5),0))),0),0))))</f>
        <v>0</v>
      </c>
      <c s="588" r="AC81">
        <f>IF(ISNA((Y81*Y80)),0,IF((V80=FALSE),IF((V81=FALSE),IF(ISNA(U81),0,IF((Y80&lt;AA$44),IF((Y81&lt;AA$44),((AA$44-((Y80+Y81)*0.5))*AB81),(((AA$44-Y80)*0.5)*AB81)),IF((Y81&lt;AA$44),(((AA$44-Y81)*0.5)*AB81),0))),0),0))</f>
        <v>0</v>
      </c>
      <c s="588" r="AD81">
        <f>IF(ISNA((Y81*Y80)),0,IF((V80=FALSE),IF((V81=FALSE),IF(ISNA(Y81),0,IF((Y80&lt;AA$44),IF((Y81&lt;AA$44),(((AB81^2)+((Y81-Y80)^2))^0.5),(((AB81^2)+((AA$44-Y80)^2))^0.5)),IF((Y81&lt;AA$44),(((AB81^2)+((AA$44-Y81)^2))^0.5),0))),0),0))</f>
        <v>0</v>
      </c>
      <c s="588" r="AE81">
        <f>IF(ISNUMBER((Y81*Y80)),IF((Y80&gt;=K$148),IF((Y81&lt;K$148),1,0),IF((Y81&gt;=K$148),IF((Y80&lt;K$148),1,0),0)),0)</f>
        <v>0</v>
      </c>
      <c s="588" r="AF81">
        <f>IF(ISNA((Y81*Y80)),0,(IF((X81&lt;X80),-1,1)*(IF(ISNA(Y81),0,IF((Y80&lt;K$148),IF((Y81&lt;K$148),(((X81-X80)^2)^0.5),(((((K$148-Y80)*(X81-X80))/(Y81-Y80))^2)^0.5)),IF((Y81&lt;K$148),(((((K$148-Y81)*(X81-X80))/(Y80-Y81))^2)^0.5),0))))))</f>
        <v>0</v>
      </c>
      <c s="441" r="AG81">
        <f>IF((AC81&gt;0),(MAX(AG$47:AG80)+1),0)</f>
        <v>0</v>
      </c>
      <c s="388" r="AH81"/>
      <c s="406" r="AI81"/>
      <c s="886" r="AJ81"/>
      <c s="886" r="AK81"/>
      <c s="886" r="AL81"/>
      <c s="886" r="AM81"/>
      <c s="418" r="AN81"/>
      <c s="550" r="AO81"/>
      <c s="550" r="AP81"/>
      <c t="str" s="620" r="AQ81">
        <f>IF((COUNT(AP81:AP$146,AR81:AR$146)=0),NA(),IF(ISBLANK(AP81),AQ80,(AQ80+(AP81-AR80))))</f>
        <v>#N/A:explicit</v>
      </c>
      <c s="550" r="AR81"/>
      <c t="str" s="620" r="AS81">
        <f>IF(OR(ISBLANK(AR81),ISNUMBER(AP82)),NA(),(AQ81-AR81))</f>
        <v>#N/A:explicit</v>
      </c>
      <c t="b" s="895" r="AT81">
        <v>0</v>
      </c>
      <c s="631" r="AU81"/>
      <c t="str" s="309" r="AV81">
        <f>IF((COUNT(AO81:AO$146)=0),NA(),IF(ISBLANK(AO81),IF(ISBLANK(AO80),MAX(AO$46:AO81),AO80),AO81))</f>
        <v>#N/A:explicit</v>
      </c>
      <c t="str" s="861" r="AW81">
        <f>IF(ISNA(AS81),IF(ISNUMBER(AV81),AW80,NA()),AS81)</f>
        <v>#N/A:explicit</v>
      </c>
      <c s="861" r="AX81">
        <f>IF(ISNUMBER(AW81),AW81,(AQ$46+1000))</f>
        <v>1000</v>
      </c>
      <c t="str" s="588" r="AY81">
        <f>IF((AT81=TRUE),NA(),IF((AY$44=(AQ$46-MAX(AR$46:AR$146))),NA(),AY$44))</f>
        <v>#N/A:explicit</v>
      </c>
      <c s="588" r="AZ81">
        <f>IF((ISNA(((AW81*AV81)*AW80))),0,(IF((AV81&lt;AV80),-1,1)*(IF((AT80=FALSE),IF((AT81=FALSE),IF(ISNA(AW81),0,IF((AW80&lt;AY$44),IF((AW81&lt;AY$44),(((AV81-AV80)^2)^0.5),(((((AY$44-AW80)*(AV81-AV80))/(AW81-AW80))^2)^0.5)),IF((AW81&lt;AY$44),(((((AY$44-AW81)*(AV81-AV80))/(AW80-AW81))^2)^0.5),0))),0),0))))</f>
        <v>0</v>
      </c>
      <c s="588" r="BA81">
        <f>IF(ISNA((AW81*AW80)),0,IF((AT80=FALSE),IF((AT81=FALSE),IF(ISNA(AS81),0,IF((AW80&lt;AY$44),IF((AW81&lt;AY$44),((AY$44-((AW80+AW81)*0.5))*AZ81),(((AY$44-AW80)*0.5)*AZ81)),IF((AW81&lt;AY$44),(((AY$44-AW81)*0.5)*AZ81),0))),0),0))</f>
        <v>0</v>
      </c>
      <c s="588" r="BB81">
        <f>IF(ISNA((AW81*AW80)),0,IF((AT80=FALSE),IF((AT81=FALSE),IF(ISNA(AW81),0,IF((AW80&lt;AY$44),IF((AW81&lt;AY$44),(((AZ81^2)+((AW81-AW80)^2))^0.5),(((AZ81^2)+((AY$44-AW80)^2))^0.5)),IF((AW81&lt;AY$44),(((AZ81^2)+((AY$44-AW81)^2))^0.5),0))),0),0))</f>
        <v>0</v>
      </c>
      <c s="588" r="BC81">
        <f>IF(ISNUMBER((AW81*AW80)),IF((AW80&gt;=AI$148),IF((AW81&lt;AI$148),1,0),IF((AW81&gt;=AI$148),IF((AW80&lt;AI$148),1,0),0)),0)</f>
        <v>0</v>
      </c>
      <c s="588" r="BD81">
        <f>IF(ISNA((AW81*AW80)),0,(IF((AV81&lt;AV80),-1,1)*(IF(ISNA(AW81),0,IF((AW80&lt;AI$148),IF((AW81&lt;AI$148),(((AV81-AV80)^2)^0.5),(((((AI$148-AW80)*(AV81-AV80))/(AW81-AW80))^2)^0.5)),IF((AW81&lt;AI$148),(((((AI$148-AW81)*(AV81-AV80))/(AW80-AW81))^2)^0.5),0))))))</f>
        <v>0</v>
      </c>
      <c s="441" r="BE81">
        <f>IF((BA81&gt;0),(MAX(BE$47:BE80)+1),0)</f>
        <v>0</v>
      </c>
      <c s="388" r="BF81"/>
      <c s="406" r="BG81"/>
      <c s="886" r="BH81"/>
      <c s="886" r="BI81"/>
      <c s="886" r="BJ81"/>
      <c s="886" r="BK81"/>
      <c s="418" r="BL81"/>
      <c s="550" r="BM81"/>
      <c s="550" r="BN81"/>
      <c t="str" s="620" r="BO81">
        <f>IF((COUNT(BN81:BN$146,BP81:BP$146)=0),NA(),IF(ISBLANK(BN81),BO80,(BO80+(BN81-BP80))))</f>
        <v>#N/A:explicit</v>
      </c>
      <c s="550" r="BP81"/>
      <c t="str" s="620" r="BQ81">
        <f>IF(OR(ISBLANK(BP81),ISNUMBER(BN82)),NA(),(BO81-BP81))</f>
        <v>#N/A:explicit</v>
      </c>
      <c t="b" s="895" r="BR81">
        <v>0</v>
      </c>
      <c s="631" r="BS81"/>
      <c t="str" s="309" r="BT81">
        <f>IF((COUNT(BM81:BM$146)=0),NA(),IF(ISBLANK(BM81),IF(ISBLANK(BM80),MAX(BM$46:BM81),BM80),BM81))</f>
        <v>#N/A:explicit</v>
      </c>
      <c t="str" s="861" r="BU81">
        <f>IF(ISNA(BQ81),IF(ISNUMBER(BT81),BU80,NA()),BQ81)</f>
        <v>#N/A:explicit</v>
      </c>
      <c s="861" r="BV81">
        <f>IF(ISNUMBER(BU81),BU81,(BO$46+1000))</f>
        <v>1000</v>
      </c>
      <c t="str" s="588" r="BW81">
        <f>IF((BR81=TRUE),NA(),IF((BW$44=(BO$46-MAX(BP$46:BP$146))),NA(),BW$44))</f>
        <v>#N/A:explicit</v>
      </c>
      <c s="588" r="BX81">
        <f>IF((ISNA(((BU81*BT81)*BU80))),0,(IF((BT81&lt;BT80),-1,1)*(IF((BR80=FALSE),IF((BR81=FALSE),IF(ISNA(BU81),0,IF((BU80&lt;BW$44),IF((BU81&lt;BW$44),(((BT81-BT80)^2)^0.5),(((((BW$44-BU80)*(BT81-BT80))/(BU81-BU80))^2)^0.5)),IF((BU81&lt;BW$44),(((((BW$44-BU81)*(BT81-BT80))/(BU80-BU81))^2)^0.5),0))),0),0))))</f>
        <v>0</v>
      </c>
      <c s="588" r="BY81">
        <f>IF(ISNA((BU81*BU80)),0,IF((BR80=FALSE),IF((BR81=FALSE),IF(ISNA(BQ81),0,IF((BU80&lt;BW$44),IF((BU81&lt;BW$44),((BW$44-((BU80+BU81)*0.5))*BX81),(((BW$44-BU80)*0.5)*BX81)),IF((BU81&lt;BW$44),(((BW$44-BU81)*0.5)*BX81),0))),0),0))</f>
        <v>0</v>
      </c>
      <c s="588" r="BZ81">
        <f>IF(ISNA((BU81*BU80)),0,IF((BR80=FALSE),IF((BR81=FALSE),IF(ISNA(BU81),0,IF((BU80&lt;BW$44),IF((BU81&lt;BW$44),(((BX81^2)+((BU81-BU80)^2))^0.5),(((BX81^2)+((BW$44-BU80)^2))^0.5)),IF((BU81&lt;BW$44),(((BX81^2)+((BW$44-BU81)^2))^0.5),0))),0),0))</f>
        <v>0</v>
      </c>
      <c s="588" r="CA81">
        <f>IF(ISNUMBER((BU81*BU80)),IF((BU80&gt;=BG$148),IF((BU81&lt;BG$148),1,0),IF((BU81&gt;=BG$148),IF((BU80&lt;BG$148),1,0),0)),0)</f>
        <v>0</v>
      </c>
      <c s="588" r="CB81">
        <f>IF(ISNA((BU81*BU80)),0,(IF((BT81&lt;BT80),-1,1)*(IF(ISNA(BU81),0,IF((BU80&lt;BG$148),IF((BU81&lt;BG$148),(((BT81-BT80)^2)^0.5),(((((BG$148-BU80)*(BT81-BT80))/(BU81-BU80))^2)^0.5)),IF((BU81&lt;BG$148),(((((BG$148-BU81)*(BT81-BT80))/(BU80-BU81))^2)^0.5),0))))))</f>
        <v>0</v>
      </c>
      <c s="441" r="CC81">
        <f>IF((BY81&gt;0),(MAX(CC$47:CC80)+1),0)</f>
        <v>0</v>
      </c>
      <c s="388" r="CD81"/>
      <c s="406" r="CE81"/>
      <c s="886" r="CF81"/>
      <c s="886" r="CG81"/>
      <c s="886" r="CH81"/>
      <c s="886" r="CI81"/>
      <c s="418" r="CJ81"/>
      <c s="550" r="CK81"/>
      <c s="550" r="CL81"/>
      <c t="str" s="620" r="CM81">
        <f>IF((COUNT(CL81:CL$146,CN81:CN$146)=0),NA(),IF(ISBLANK(CL81),CM80,(CM80+(CL81-CN80))))</f>
        <v>#N/A:explicit</v>
      </c>
      <c s="550" r="CN81"/>
      <c t="str" s="620" r="CO81">
        <f>IF(OR(ISBLANK(CN81),ISNUMBER(CL82)),NA(),(CM81-CN81))</f>
        <v>#N/A:explicit</v>
      </c>
      <c t="b" s="895" r="CP81">
        <v>0</v>
      </c>
      <c s="631" r="CQ81"/>
      <c t="str" s="309" r="CR81">
        <f>IF((COUNT(CK81:CK$146)=0),NA(),IF(ISBLANK(CK81),IF(ISBLANK(CK80),MAX(CK$46:CK81),CK80),CK81))</f>
        <v>#N/A:explicit</v>
      </c>
      <c t="str" s="861" r="CS81">
        <f>IF(ISNA(CO81),IF(ISNUMBER(CR81),CS80,NA()),CO81)</f>
        <v>#N/A:explicit</v>
      </c>
      <c s="861" r="CT81">
        <f>IF(ISNUMBER(CS81),CS81,(CM$46+1000))</f>
        <v>1000</v>
      </c>
      <c t="str" s="588" r="CU81">
        <f>IF((CP81=TRUE),NA(),IF((CU$44=(CM$46-MAX(CN$46:CN$146))),NA(),CU$44))</f>
        <v>#N/A:explicit</v>
      </c>
      <c s="588" r="CV81">
        <f>IF((ISNA(((CS81*CR81)*CS80))),0,(IF((CR81&lt;CR80),-1,1)*(IF((CP80=FALSE),IF((CP81=FALSE),IF(ISNA(CS81),0,IF((CS80&lt;CU$44),IF((CS81&lt;CU$44),(((CR81-CR80)^2)^0.5),(((((CU$44-CS80)*(CR81-CR80))/(CS81-CS80))^2)^0.5)),IF((CS81&lt;CU$44),(((((CU$44-CS81)*(CR81-CR80))/(CS80-CS81))^2)^0.5),0))),0),0))))</f>
        <v>0</v>
      </c>
      <c s="588" r="CW81">
        <f>IF(ISNA((CS81*CS80)),0,IF((CP80=FALSE),IF((CP81=FALSE),IF(ISNA(CO81),0,IF((CS80&lt;CU$44),IF((CS81&lt;CU$44),((CU$44-((CS80+CS81)*0.5))*CV81),(((CU$44-CS80)*0.5)*CV81)),IF((CS81&lt;CU$44),(((CU$44-CS81)*0.5)*CV81),0))),0),0))</f>
        <v>0</v>
      </c>
      <c s="588" r="CX81">
        <f>IF(ISNA((CS81*CS80)),0,IF((CP80=FALSE),IF((CP81=FALSE),IF(ISNA(CS81),0,IF((CS80&lt;CU$44),IF((CS81&lt;CU$44),(((CV81^2)+((CS81-CS80)^2))^0.5),(((CV81^2)+((CU$44-CS80)^2))^0.5)),IF((CS81&lt;CU$44),(((CV81^2)+((CU$44-CS81)^2))^0.5),0))),0),0))</f>
        <v>0</v>
      </c>
      <c s="588" r="CY81">
        <f>IF(ISNUMBER((CS81*CS80)),IF((CS80&gt;=CE$148),IF((CS81&lt;CE$148),1,0),IF((CS81&gt;=CE$148),IF((CS80&lt;CE$148),1,0),0)),0)</f>
        <v>0</v>
      </c>
      <c s="588" r="CZ81">
        <f>IF(ISNA((CS81*CS80)),0,(IF((CR81&lt;CR80),-1,1)*(IF(ISNA(CS81),0,IF((CS80&lt;CE$148),IF((CS81&lt;CE$148),(((CR81-CR80)^2)^0.5),(((((CE$148-CS80)*(CR81-CR80))/(CS81-CS80))^2)^0.5)),IF((CS81&lt;CE$148),(((((CE$148-CS81)*(CR81-CR80))/(CS80-CS81))^2)^0.5),0))))))</f>
        <v>0</v>
      </c>
      <c s="441" r="DA81">
        <f>IF((CW81&gt;0),(MAX(DA$47:DA80)+1),0)</f>
        <v>0</v>
      </c>
      <c s="388" r="DB81"/>
      <c s="406" r="DC81"/>
      <c s="886" r="DD81"/>
      <c s="886" r="DE81"/>
      <c s="886" r="DF81"/>
      <c s="886" r="DG81"/>
      <c s="418" r="DH81"/>
      <c s="550" r="DI81"/>
      <c s="550" r="DJ81"/>
      <c t="str" s="620" r="DK81">
        <f>IF((COUNT(DJ81:DJ$146,DL81:DL$146)=0),NA(),IF(ISBLANK(DJ81),DK80,(DK80+(DJ81-DL80))))</f>
        <v>#N/A:explicit</v>
      </c>
      <c s="550" r="DL81"/>
      <c t="str" s="620" r="DM81">
        <f>IF(OR(ISBLANK(DL81),ISNUMBER(DJ82)),NA(),(DK81-DL81))</f>
        <v>#N/A:explicit</v>
      </c>
      <c t="b" s="895" r="DN81">
        <v>0</v>
      </c>
      <c s="631" r="DO81"/>
      <c t="str" s="309" r="DP81">
        <f>IF((COUNT(DI81:DI$146)=0),NA(),IF(ISBLANK(DI81),IF(ISBLANK(DI80),MAX(DI$46:DI81),DI80),DI81))</f>
        <v>#N/A:explicit</v>
      </c>
      <c t="str" s="861" r="DQ81">
        <f>IF(ISNA(DM81),IF(ISNUMBER(DP81),DQ80,NA()),DM81)</f>
        <v>#N/A:explicit</v>
      </c>
      <c s="861" r="DR81">
        <f>IF(ISNUMBER(DQ81),DQ81,(DK$46+1000))</f>
        <v>1000</v>
      </c>
      <c t="str" s="588" r="DS81">
        <f>IF((DN81=TRUE),NA(),IF((DS$44=(DK$46-MAX(DL$46:DL$146))),NA(),DS$44))</f>
        <v>#N/A:explicit</v>
      </c>
      <c s="588" r="DT81">
        <f>IF((ISNA(((DQ81*DP81)*DQ80))),0,(IF((DP81&lt;DP80),-1,1)*(IF((DN80=FALSE),IF((DN81=FALSE),IF(ISNA(DQ81),0,IF((DQ80&lt;DS$44),IF((DQ81&lt;DS$44),(((DP81-DP80)^2)^0.5),(((((DS$44-DQ80)*(DP81-DP80))/(DQ81-DQ80))^2)^0.5)),IF((DQ81&lt;DS$44),(((((DS$44-DQ81)*(DP81-DP80))/(DQ80-DQ81))^2)^0.5),0))),0),0))))</f>
        <v>0</v>
      </c>
      <c s="588" r="DU81">
        <f>IF(ISNA((DQ81*DQ80)),0,IF((DN80=FALSE),IF((DN81=FALSE),IF(ISNA(DM81),0,IF((DQ80&lt;DS$44),IF((DQ81&lt;DS$44),((DS$44-((DQ80+DQ81)*0.5))*DT81),(((DS$44-DQ80)*0.5)*DT81)),IF((DQ81&lt;DS$44),(((DS$44-DQ81)*0.5)*DT81),0))),0),0))</f>
        <v>0</v>
      </c>
      <c s="588" r="DV81">
        <f>IF(ISNA((DQ81*DQ80)),0,IF((DN80=FALSE),IF((DN81=FALSE),IF(ISNA(DQ81),0,IF((DQ80&lt;DS$44),IF((DQ81&lt;DS$44),(((DT81^2)+((DQ81-DQ80)^2))^0.5),(((DT81^2)+((DS$44-DQ80)^2))^0.5)),IF((DQ81&lt;DS$44),(((DT81^2)+((DS$44-DQ81)^2))^0.5),0))),0),0))</f>
        <v>0</v>
      </c>
      <c s="588" r="DW81">
        <f>IF(ISNUMBER((DQ81*DQ80)),IF((DQ80&gt;=DC$148),IF((DQ81&lt;DC$148),1,0),IF((DQ81&gt;=DC$148),IF((DQ80&lt;DC$148),1,0),0)),0)</f>
        <v>0</v>
      </c>
      <c s="588" r="DX81">
        <f>IF(ISNA((DQ81*DQ80)),0,(IF((DP81&lt;DP80),-1,1)*(IF(ISNA(DQ81),0,IF((DQ80&lt;DC$148),IF((DQ81&lt;DC$148),(((DP81-DP80)^2)^0.5),(((((DC$148-DQ80)*(DP81-DP80))/(DQ81-DQ80))^2)^0.5)),IF((DQ81&lt;DC$148),(((((DC$148-DQ81)*(DP81-DP80))/(DQ80-DQ81))^2)^0.5),0))))))</f>
        <v>0</v>
      </c>
      <c s="441" r="DY81">
        <f>IF((DU81&gt;0),(MAX(DY$47:DY80)+1),0)</f>
        <v>0</v>
      </c>
      <c s="388" r="DZ81"/>
      <c s="406" r="EA81"/>
      <c s="886" r="EB81"/>
      <c s="886" r="EC81"/>
      <c s="886" r="ED81"/>
      <c s="886" r="EE81"/>
      <c s="418" r="EF81"/>
      <c s="550" r="EG81"/>
      <c s="550" r="EH81"/>
      <c t="str" s="620" r="EI81">
        <f>IF((COUNT(EH81:EH$146,EJ81:EJ$146)=0),NA(),IF(ISBLANK(EH81),EI80,(EI80+(EH81-EJ80))))</f>
        <v>#N/A:explicit</v>
      </c>
      <c s="550" r="EJ81"/>
      <c t="str" s="620" r="EK81">
        <f>IF(OR(ISBLANK(EJ81),ISNUMBER(EH82)),NA(),(EI81-EJ81))</f>
        <v>#N/A:explicit</v>
      </c>
      <c t="b" s="895" r="EL81">
        <v>0</v>
      </c>
      <c s="631" r="EM81"/>
      <c t="str" s="309" r="EN81">
        <f>IF((COUNT(EG81:EG$146)=0),NA(),IF(ISBLANK(EG81),IF(ISBLANK(EG80),MAX(EG$46:EG81),EG80),EG81))</f>
        <v>#N/A:explicit</v>
      </c>
      <c t="str" s="861" r="EO81">
        <f>IF(ISNA(EK81),IF(ISNUMBER(EN81),EO80,NA()),EK81)</f>
        <v>#N/A:explicit</v>
      </c>
      <c s="861" r="EP81">
        <f>IF(ISNUMBER(EO81),EO81,(EI$46+1000))</f>
        <v>1000</v>
      </c>
      <c t="str" s="588" r="EQ81">
        <f>IF((EL81=TRUE),NA(),IF((EQ$44=(EI$46-MAX(EJ$46:EJ$146))),NA(),EQ$44))</f>
        <v>#N/A:explicit</v>
      </c>
      <c s="588" r="ER81">
        <f>IF((ISNA(((EO81*EN81)*EO80))),0,(IF((EN81&lt;EN80),-1,1)*(IF((EL80=FALSE),IF((EL81=FALSE),IF(ISNA(EO81),0,IF((EO80&lt;EQ$44),IF((EO81&lt;EQ$44),(((EN81-EN80)^2)^0.5),(((((EQ$44-EO80)*(EN81-EN80))/(EO81-EO80))^2)^0.5)),IF((EO81&lt;EQ$44),(((((EQ$44-EO81)*(EN81-EN80))/(EO80-EO81))^2)^0.5),0))),0),0))))</f>
        <v>0</v>
      </c>
      <c s="588" r="ES81">
        <f>IF(ISNA((EO81*EO80)),0,IF((EL80=FALSE),IF((EL81=FALSE),IF(ISNA(EK81),0,IF((EO80&lt;EQ$44),IF((EO81&lt;EQ$44),((EQ$44-((EO80+EO81)*0.5))*ER81),(((EQ$44-EO80)*0.5)*ER81)),IF((EO81&lt;EQ$44),(((EQ$44-EO81)*0.5)*ER81),0))),0),0))</f>
        <v>0</v>
      </c>
      <c s="588" r="ET81">
        <f>IF(ISNA((EO81*EO80)),0,IF((EL80=FALSE),IF((EL81=FALSE),IF(ISNA(EO81),0,IF((EO80&lt;EQ$44),IF((EO81&lt;EQ$44),(((ER81^2)+((EO81-EO80)^2))^0.5),(((ER81^2)+((EQ$44-EO80)^2))^0.5)),IF((EO81&lt;EQ$44),(((ER81^2)+((EQ$44-EO81)^2))^0.5),0))),0),0))</f>
        <v>0</v>
      </c>
      <c s="588" r="EU81">
        <f>IF(ISNUMBER((EO81*EO80)),IF((EO80&gt;=EA$148),IF((EO81&lt;EA$148),1,0),IF((EO81&gt;=EA$148),IF((EO80&lt;EA$148),1,0),0)),0)</f>
        <v>0</v>
      </c>
      <c s="588" r="EV81">
        <f>IF(ISNA((EO81*EO80)),0,(IF((EN81&lt;EN80),-1,1)*(IF(ISNA(EO81),0,IF((EO80&lt;EA$148),IF((EO81&lt;EA$148),(((EN81-EN80)^2)^0.5),(((((EA$148-EO80)*(EN81-EN80))/(EO81-EO80))^2)^0.5)),IF((EO81&lt;EA$148),(((((EA$148-EO81)*(EN81-EN80))/(EO80-EO81))^2)^0.5),0))))))</f>
        <v>0</v>
      </c>
      <c s="441" r="EW81">
        <f>IF((ES81&gt;0),(MAX(EW$47:EW80)+1),0)</f>
        <v>0</v>
      </c>
      <c s="388" r="EX81"/>
      <c s="406" r="EY81"/>
      <c s="886" r="EZ81"/>
      <c s="886" r="FA81"/>
      <c s="886" r="FB81"/>
      <c s="886" r="FC81"/>
      <c s="418" r="FD81"/>
      <c s="550" r="FE81"/>
      <c s="550" r="FF81"/>
      <c t="str" s="620" r="FG81">
        <f>IF((COUNT(FF81:FF$146,FH81:FH$146)=0),NA(),IF(ISBLANK(FF81),FG80,(FG80+(FF81-FH80))))</f>
        <v>#N/A:explicit</v>
      </c>
      <c s="550" r="FH81"/>
      <c t="str" s="620" r="FI81">
        <f>IF(OR(ISBLANK(FH81),ISNUMBER(FF82)),NA(),(FG81-FH81))</f>
        <v>#N/A:explicit</v>
      </c>
      <c t="b" s="895" r="FJ81">
        <v>0</v>
      </c>
      <c s="631" r="FK81"/>
      <c t="str" s="309" r="FL81">
        <f>IF((COUNT(FE81:FE$146)=0),NA(),IF(ISBLANK(FE81),IF(ISBLANK(FE80),MAX(FE$46:FE81),FE80),FE81))</f>
        <v>#N/A:explicit</v>
      </c>
      <c t="str" s="861" r="FM81">
        <f>IF(ISNA(FI81),IF(ISNUMBER(FL81),FM80,NA()),FI81)</f>
        <v>#N/A:explicit</v>
      </c>
      <c s="861" r="FN81">
        <f>IF(ISNUMBER(FM81),FM81,(FG$46+1000))</f>
        <v>1000</v>
      </c>
      <c t="str" s="588" r="FO81">
        <f>IF((FJ81=TRUE),NA(),IF((FO$44=(FG$46-MAX(FH$46:FH$146))),NA(),FO$44))</f>
        <v>#N/A:explicit</v>
      </c>
      <c s="588" r="FP81">
        <f>IF((ISNA(((FM81*FL81)*FM80))),0,(IF((FL81&lt;FL80),-1,1)*(IF((FJ80=FALSE),IF((FJ81=FALSE),IF(ISNA(FM81),0,IF((FM80&lt;FO$44),IF((FM81&lt;FO$44),(((FL81-FL80)^2)^0.5),(((((FO$44-FM80)*(FL81-FL80))/(FM81-FM80))^2)^0.5)),IF((FM81&lt;FO$44),(((((FO$44-FM81)*(FL81-FL80))/(FM80-FM81))^2)^0.5),0))),0),0))))</f>
        <v>0</v>
      </c>
      <c s="588" r="FQ81">
        <f>IF(ISNA((FM81*FM80)),0,IF((FJ80=FALSE),IF((FJ81=FALSE),IF(ISNA(FI81),0,IF((FM80&lt;FO$44),IF((FM81&lt;FO$44),((FO$44-((FM80+FM81)*0.5))*FP81),(((FO$44-FM80)*0.5)*FP81)),IF((FM81&lt;FO$44),(((FO$44-FM81)*0.5)*FP81),0))),0),0))</f>
        <v>0</v>
      </c>
      <c s="588" r="FR81">
        <f>IF(ISNA((FM81*FM80)),0,IF((FJ80=FALSE),IF((FJ81=FALSE),IF(ISNA(FM81),0,IF((FM80&lt;FO$44),IF((FM81&lt;FO$44),(((FP81^2)+((FM81-FM80)^2))^0.5),(((FP81^2)+((FO$44-FM80)^2))^0.5)),IF((FM81&lt;FO$44),(((FP81^2)+((FO$44-FM81)^2))^0.5),0))),0),0))</f>
        <v>0</v>
      </c>
      <c s="588" r="FS81">
        <f>IF(ISNUMBER((FM81*FM80)),IF((FM80&gt;=EY$148),IF((FM81&lt;EY$148),1,0),IF((FM81&gt;=EY$148),IF((FM80&lt;EY$148),1,0),0)),0)</f>
        <v>0</v>
      </c>
      <c s="588" r="FT81">
        <f>IF(ISNA((FM81*FM80)),0,(IF((FL81&lt;FL80),-1,1)*(IF(ISNA(FM81),0,IF((FM80&lt;EY$148),IF((FM81&lt;EY$148),(((FL81-FL80)^2)^0.5),(((((EY$148-FM80)*(FL81-FL80))/(FM81-FM80))^2)^0.5)),IF((FM81&lt;EY$148),(((((EY$148-FM81)*(FL81-FL80))/(FM80-FM81))^2)^0.5),0))))))</f>
        <v>0</v>
      </c>
      <c s="441" r="FU81">
        <f>IF((FQ81&gt;0),(MAX(FU$47:FU80)+1),0)</f>
        <v>0</v>
      </c>
      <c s="222" r="FV81"/>
      <c s="125" r="FW81"/>
      <c s="125" r="FX81"/>
      <c s="125" r="FY81"/>
      <c s="125" r="FZ81"/>
      <c s="125" r="GA81"/>
      <c s="125" r="GB81"/>
      <c s="125" r="GC81"/>
      <c s="125" r="GD81"/>
      <c s="125" r="GE81"/>
      <c s="125" r="GF81"/>
      <c s="125" r="GG81"/>
      <c s="125" r="GH81"/>
      <c s="125" r="GI81"/>
      <c s="125" r="GJ81"/>
      <c s="125" r="GK81"/>
      <c s="125" r="GL81"/>
      <c s="125" r="GM81"/>
      <c s="125" r="GN81"/>
      <c s="125" r="GO81"/>
      <c s="125" r="GP81"/>
      <c s="125" r="GQ81"/>
      <c s="125" r="GR81"/>
      <c s="125" r="GS81"/>
      <c s="125" r="GT81"/>
      <c s="125" r="GU81"/>
      <c s="125" r="GV81"/>
      <c s="125" r="GW81"/>
      <c s="125" r="GX81"/>
      <c s="125" r="GY81"/>
      <c s="125" r="GZ81"/>
      <c s="125" r="HA81"/>
      <c s="125" r="HB81"/>
    </row>
    <row customHeight="1" r="82" ht="13.5">
      <c s="822" r="A82"/>
      <c s="908" r="B82"/>
      <c t="s" s="812" r="C82">
        <v>37</v>
      </c>
      <c t="str" s="207" r="D82">
        <f>Summary!$N$16</f>
        <v>---</v>
      </c>
      <c s="304" r="E82"/>
      <c s="304" r="F82"/>
      <c s="304" r="G82"/>
      <c s="12" r="H82"/>
      <c s="51" r="I82"/>
      <c s="822" r="J82"/>
      <c s="406" r="K82"/>
      <c s="886" r="L82"/>
      <c s="886" r="M82"/>
      <c s="886" r="N82"/>
      <c s="886" r="O82"/>
      <c s="418" r="P82"/>
      <c s="550" r="Q82"/>
      <c s="550" r="R82"/>
      <c t="str" s="620" r="S82">
        <f>IF((COUNT(R82:R$146,T82:T$146)=0),NA(),IF(ISBLANK(R82),S81,(S81+(R82-T81))))</f>
        <v>#N/A:explicit</v>
      </c>
      <c s="550" r="T82"/>
      <c t="str" s="620" r="U82">
        <f>IF(OR(ISBLANK(T82),ISNUMBER(R83)),NA(),(S82-T82))</f>
        <v>#N/A:explicit</v>
      </c>
      <c t="b" s="895" r="V82">
        <v>0</v>
      </c>
      <c s="631" r="W82"/>
      <c t="str" s="309" r="X82">
        <f>IF((COUNT(Q82:Q$146)=0),NA(),IF(ISBLANK(Q82),IF(ISBLANK(Q81),MAX(Q$46:Q82),Q81),Q82))</f>
        <v>#N/A:explicit</v>
      </c>
      <c t="str" s="861" r="Y82">
        <f>IF(ISNA(U82),IF(ISNUMBER(X82),Y81,NA()),U82)</f>
        <v>#N/A:explicit</v>
      </c>
      <c s="861" r="Z82">
        <f>IF(ISNUMBER(Y82),Y82,(S$46+1000))</f>
        <v>1000</v>
      </c>
      <c t="str" s="588" r="AA82">
        <f>IF((V82=TRUE),NA(),IF((AA$44=(S$46-MAX(T$46:T$146))),NA(),AA$44))</f>
        <v>#N/A:explicit</v>
      </c>
      <c s="588" r="AB82">
        <f>IF((ISNA(((Y82*X82)*Y81))),0,(IF((X82&lt;X81),-1,1)*(IF((V81=FALSE),IF((V82=FALSE),IF(ISNA(Y82),0,IF((Y81&lt;AA$44),IF((Y82&lt;AA$44),(((X82-X81)^2)^0.5),(((((AA$44-Y81)*(X82-X81))/(Y82-Y81))^2)^0.5)),IF((Y82&lt;AA$44),(((((AA$44-Y82)*(X82-X81))/(Y81-Y82))^2)^0.5),0))),0),0))))</f>
        <v>0</v>
      </c>
      <c s="588" r="AC82">
        <f>IF(ISNA((Y82*Y81)),0,IF((V81=FALSE),IF((V82=FALSE),IF(ISNA(U82),0,IF((Y81&lt;AA$44),IF((Y82&lt;AA$44),((AA$44-((Y81+Y82)*0.5))*AB82),(((AA$44-Y81)*0.5)*AB82)),IF((Y82&lt;AA$44),(((AA$44-Y82)*0.5)*AB82),0))),0),0))</f>
        <v>0</v>
      </c>
      <c s="588" r="AD82">
        <f>IF(ISNA((Y82*Y81)),0,IF((V81=FALSE),IF((V82=FALSE),IF(ISNA(Y82),0,IF((Y81&lt;AA$44),IF((Y82&lt;AA$44),(((AB82^2)+((Y82-Y81)^2))^0.5),(((AB82^2)+((AA$44-Y81)^2))^0.5)),IF((Y82&lt;AA$44),(((AB82^2)+((AA$44-Y82)^2))^0.5),0))),0),0))</f>
        <v>0</v>
      </c>
      <c s="588" r="AE82">
        <f>IF(ISNUMBER((Y82*Y81)),IF((Y81&gt;=K$148),IF((Y82&lt;K$148),1,0),IF((Y82&gt;=K$148),IF((Y81&lt;K$148),1,0),0)),0)</f>
        <v>0</v>
      </c>
      <c s="588" r="AF82">
        <f>IF(ISNA((Y82*Y81)),0,(IF((X82&lt;X81),-1,1)*(IF(ISNA(Y82),0,IF((Y81&lt;K$148),IF((Y82&lt;K$148),(((X82-X81)^2)^0.5),(((((K$148-Y81)*(X82-X81))/(Y82-Y81))^2)^0.5)),IF((Y82&lt;K$148),(((((K$148-Y82)*(X82-X81))/(Y81-Y82))^2)^0.5),0))))))</f>
        <v>0</v>
      </c>
      <c s="441" r="AG82">
        <f>IF((AC82&gt;0),(MAX(AG$47:AG81)+1),0)</f>
        <v>0</v>
      </c>
      <c s="388" r="AH82"/>
      <c s="406" r="AI82"/>
      <c s="886" r="AJ82"/>
      <c s="886" r="AK82"/>
      <c s="886" r="AL82"/>
      <c s="886" r="AM82"/>
      <c s="418" r="AN82"/>
      <c s="550" r="AO82"/>
      <c s="550" r="AP82"/>
      <c t="str" s="620" r="AQ82">
        <f>IF((COUNT(AP82:AP$146,AR82:AR$146)=0),NA(),IF(ISBLANK(AP82),AQ81,(AQ81+(AP82-AR81))))</f>
        <v>#N/A:explicit</v>
      </c>
      <c s="550" r="AR82"/>
      <c t="str" s="620" r="AS82">
        <f>IF(OR(ISBLANK(AR82),ISNUMBER(AP83)),NA(),(AQ82-AR82))</f>
        <v>#N/A:explicit</v>
      </c>
      <c t="b" s="895" r="AT82">
        <v>0</v>
      </c>
      <c s="631" r="AU82"/>
      <c t="str" s="309" r="AV82">
        <f>IF((COUNT(AO82:AO$146)=0),NA(),IF(ISBLANK(AO82),IF(ISBLANK(AO81),MAX(AO$46:AO82),AO81),AO82))</f>
        <v>#N/A:explicit</v>
      </c>
      <c t="str" s="861" r="AW82">
        <f>IF(ISNA(AS82),IF(ISNUMBER(AV82),AW81,NA()),AS82)</f>
        <v>#N/A:explicit</v>
      </c>
      <c s="861" r="AX82">
        <f>IF(ISNUMBER(AW82),AW82,(AQ$46+1000))</f>
        <v>1000</v>
      </c>
      <c t="str" s="588" r="AY82">
        <f>IF((AT82=TRUE),NA(),IF((AY$44=(AQ$46-MAX(AR$46:AR$146))),NA(),AY$44))</f>
        <v>#N/A:explicit</v>
      </c>
      <c s="588" r="AZ82">
        <f>IF((ISNA(((AW82*AV82)*AW81))),0,(IF((AV82&lt;AV81),-1,1)*(IF((AT81=FALSE),IF((AT82=FALSE),IF(ISNA(AW82),0,IF((AW81&lt;AY$44),IF((AW82&lt;AY$44),(((AV82-AV81)^2)^0.5),(((((AY$44-AW81)*(AV82-AV81))/(AW82-AW81))^2)^0.5)),IF((AW82&lt;AY$44),(((((AY$44-AW82)*(AV82-AV81))/(AW81-AW82))^2)^0.5),0))),0),0))))</f>
        <v>0</v>
      </c>
      <c s="588" r="BA82">
        <f>IF(ISNA((AW82*AW81)),0,IF((AT81=FALSE),IF((AT82=FALSE),IF(ISNA(AS82),0,IF((AW81&lt;AY$44),IF((AW82&lt;AY$44),((AY$44-((AW81+AW82)*0.5))*AZ82),(((AY$44-AW81)*0.5)*AZ82)),IF((AW82&lt;AY$44),(((AY$44-AW82)*0.5)*AZ82),0))),0),0))</f>
        <v>0</v>
      </c>
      <c s="588" r="BB82">
        <f>IF(ISNA((AW82*AW81)),0,IF((AT81=FALSE),IF((AT82=FALSE),IF(ISNA(AW82),0,IF((AW81&lt;AY$44),IF((AW82&lt;AY$44),(((AZ82^2)+((AW82-AW81)^2))^0.5),(((AZ82^2)+((AY$44-AW81)^2))^0.5)),IF((AW82&lt;AY$44),(((AZ82^2)+((AY$44-AW82)^2))^0.5),0))),0),0))</f>
        <v>0</v>
      </c>
      <c s="588" r="BC82">
        <f>IF(ISNUMBER((AW82*AW81)),IF((AW81&gt;=AI$148),IF((AW82&lt;AI$148),1,0),IF((AW82&gt;=AI$148),IF((AW81&lt;AI$148),1,0),0)),0)</f>
        <v>0</v>
      </c>
      <c s="588" r="BD82">
        <f>IF(ISNA((AW82*AW81)),0,(IF((AV82&lt;AV81),-1,1)*(IF(ISNA(AW82),0,IF((AW81&lt;AI$148),IF((AW82&lt;AI$148),(((AV82-AV81)^2)^0.5),(((((AI$148-AW81)*(AV82-AV81))/(AW82-AW81))^2)^0.5)),IF((AW82&lt;AI$148),(((((AI$148-AW82)*(AV82-AV81))/(AW81-AW82))^2)^0.5),0))))))</f>
        <v>0</v>
      </c>
      <c s="441" r="BE82">
        <f>IF((BA82&gt;0),(MAX(BE$47:BE81)+1),0)</f>
        <v>0</v>
      </c>
      <c s="388" r="BF82"/>
      <c s="406" r="BG82"/>
      <c s="886" r="BH82"/>
      <c s="886" r="BI82"/>
      <c s="886" r="BJ82"/>
      <c s="886" r="BK82"/>
      <c s="418" r="BL82"/>
      <c s="550" r="BM82"/>
      <c s="550" r="BN82"/>
      <c t="str" s="620" r="BO82">
        <f>IF((COUNT(BN82:BN$146,BP82:BP$146)=0),NA(),IF(ISBLANK(BN82),BO81,(BO81+(BN82-BP81))))</f>
        <v>#N/A:explicit</v>
      </c>
      <c s="550" r="BP82"/>
      <c t="str" s="620" r="BQ82">
        <f>IF(OR(ISBLANK(BP82),ISNUMBER(BN83)),NA(),(BO82-BP82))</f>
        <v>#N/A:explicit</v>
      </c>
      <c t="b" s="895" r="BR82">
        <v>0</v>
      </c>
      <c s="631" r="BS82"/>
      <c t="str" s="309" r="BT82">
        <f>IF((COUNT(BM82:BM$146)=0),NA(),IF(ISBLANK(BM82),IF(ISBLANK(BM81),MAX(BM$46:BM82),BM81),BM82))</f>
        <v>#N/A:explicit</v>
      </c>
      <c t="str" s="861" r="BU82">
        <f>IF(ISNA(BQ82),IF(ISNUMBER(BT82),BU81,NA()),BQ82)</f>
        <v>#N/A:explicit</v>
      </c>
      <c s="861" r="BV82">
        <f>IF(ISNUMBER(BU82),BU82,(BO$46+1000))</f>
        <v>1000</v>
      </c>
      <c t="str" s="588" r="BW82">
        <f>IF((BR82=TRUE),NA(),IF((BW$44=(BO$46-MAX(BP$46:BP$146))),NA(),BW$44))</f>
        <v>#N/A:explicit</v>
      </c>
      <c s="588" r="BX82">
        <f>IF((ISNA(((BU82*BT82)*BU81))),0,(IF((BT82&lt;BT81),-1,1)*(IF((BR81=FALSE),IF((BR82=FALSE),IF(ISNA(BU82),0,IF((BU81&lt;BW$44),IF((BU82&lt;BW$44),(((BT82-BT81)^2)^0.5),(((((BW$44-BU81)*(BT82-BT81))/(BU82-BU81))^2)^0.5)),IF((BU82&lt;BW$44),(((((BW$44-BU82)*(BT82-BT81))/(BU81-BU82))^2)^0.5),0))),0),0))))</f>
        <v>0</v>
      </c>
      <c s="588" r="BY82">
        <f>IF(ISNA((BU82*BU81)),0,IF((BR81=FALSE),IF((BR82=FALSE),IF(ISNA(BQ82),0,IF((BU81&lt;BW$44),IF((BU82&lt;BW$44),((BW$44-((BU81+BU82)*0.5))*BX82),(((BW$44-BU81)*0.5)*BX82)),IF((BU82&lt;BW$44),(((BW$44-BU82)*0.5)*BX82),0))),0),0))</f>
        <v>0</v>
      </c>
      <c s="588" r="BZ82">
        <f>IF(ISNA((BU82*BU81)),0,IF((BR81=FALSE),IF((BR82=FALSE),IF(ISNA(BU82),0,IF((BU81&lt;BW$44),IF((BU82&lt;BW$44),(((BX82^2)+((BU82-BU81)^2))^0.5),(((BX82^2)+((BW$44-BU81)^2))^0.5)),IF((BU82&lt;BW$44),(((BX82^2)+((BW$44-BU82)^2))^0.5),0))),0),0))</f>
        <v>0</v>
      </c>
      <c s="588" r="CA82">
        <f>IF(ISNUMBER((BU82*BU81)),IF((BU81&gt;=BG$148),IF((BU82&lt;BG$148),1,0),IF((BU82&gt;=BG$148),IF((BU81&lt;BG$148),1,0),0)),0)</f>
        <v>0</v>
      </c>
      <c s="588" r="CB82">
        <f>IF(ISNA((BU82*BU81)),0,(IF((BT82&lt;BT81),-1,1)*(IF(ISNA(BU82),0,IF((BU81&lt;BG$148),IF((BU82&lt;BG$148),(((BT82-BT81)^2)^0.5),(((((BG$148-BU81)*(BT82-BT81))/(BU82-BU81))^2)^0.5)),IF((BU82&lt;BG$148),(((((BG$148-BU82)*(BT82-BT81))/(BU81-BU82))^2)^0.5),0))))))</f>
        <v>0</v>
      </c>
      <c s="441" r="CC82">
        <f>IF((BY82&gt;0),(MAX(CC$47:CC81)+1),0)</f>
        <v>0</v>
      </c>
      <c s="388" r="CD82"/>
      <c s="406" r="CE82"/>
      <c s="886" r="CF82"/>
      <c s="886" r="CG82"/>
      <c s="886" r="CH82"/>
      <c s="886" r="CI82"/>
      <c s="418" r="CJ82"/>
      <c s="550" r="CK82"/>
      <c s="550" r="CL82"/>
      <c t="str" s="620" r="CM82">
        <f>IF((COUNT(CL82:CL$146,CN82:CN$146)=0),NA(),IF(ISBLANK(CL82),CM81,(CM81+(CL82-CN81))))</f>
        <v>#N/A:explicit</v>
      </c>
      <c s="550" r="CN82"/>
      <c t="str" s="620" r="CO82">
        <f>IF(OR(ISBLANK(CN82),ISNUMBER(CL83)),NA(),(CM82-CN82))</f>
        <v>#N/A:explicit</v>
      </c>
      <c t="b" s="895" r="CP82">
        <v>0</v>
      </c>
      <c s="631" r="CQ82"/>
      <c t="str" s="309" r="CR82">
        <f>IF((COUNT(CK82:CK$146)=0),NA(),IF(ISBLANK(CK82),IF(ISBLANK(CK81),MAX(CK$46:CK82),CK81),CK82))</f>
        <v>#N/A:explicit</v>
      </c>
      <c t="str" s="861" r="CS82">
        <f>IF(ISNA(CO82),IF(ISNUMBER(CR82),CS81,NA()),CO82)</f>
        <v>#N/A:explicit</v>
      </c>
      <c s="861" r="CT82">
        <f>IF(ISNUMBER(CS82),CS82,(CM$46+1000))</f>
        <v>1000</v>
      </c>
      <c t="str" s="588" r="CU82">
        <f>IF((CP82=TRUE),NA(),IF((CU$44=(CM$46-MAX(CN$46:CN$146))),NA(),CU$44))</f>
        <v>#N/A:explicit</v>
      </c>
      <c s="588" r="CV82">
        <f>IF((ISNA(((CS82*CR82)*CS81))),0,(IF((CR82&lt;CR81),-1,1)*(IF((CP81=FALSE),IF((CP82=FALSE),IF(ISNA(CS82),0,IF((CS81&lt;CU$44),IF((CS82&lt;CU$44),(((CR82-CR81)^2)^0.5),(((((CU$44-CS81)*(CR82-CR81))/(CS82-CS81))^2)^0.5)),IF((CS82&lt;CU$44),(((((CU$44-CS82)*(CR82-CR81))/(CS81-CS82))^2)^0.5),0))),0),0))))</f>
        <v>0</v>
      </c>
      <c s="588" r="CW82">
        <f>IF(ISNA((CS82*CS81)),0,IF((CP81=FALSE),IF((CP82=FALSE),IF(ISNA(CO82),0,IF((CS81&lt;CU$44),IF((CS82&lt;CU$44),((CU$44-((CS81+CS82)*0.5))*CV82),(((CU$44-CS81)*0.5)*CV82)),IF((CS82&lt;CU$44),(((CU$44-CS82)*0.5)*CV82),0))),0),0))</f>
        <v>0</v>
      </c>
      <c s="588" r="CX82">
        <f>IF(ISNA((CS82*CS81)),0,IF((CP81=FALSE),IF((CP82=FALSE),IF(ISNA(CS82),0,IF((CS81&lt;CU$44),IF((CS82&lt;CU$44),(((CV82^2)+((CS82-CS81)^2))^0.5),(((CV82^2)+((CU$44-CS81)^2))^0.5)),IF((CS82&lt;CU$44),(((CV82^2)+((CU$44-CS82)^2))^0.5),0))),0),0))</f>
        <v>0</v>
      </c>
      <c s="588" r="CY82">
        <f>IF(ISNUMBER((CS82*CS81)),IF((CS81&gt;=CE$148),IF((CS82&lt;CE$148),1,0),IF((CS82&gt;=CE$148),IF((CS81&lt;CE$148),1,0),0)),0)</f>
        <v>0</v>
      </c>
      <c s="588" r="CZ82">
        <f>IF(ISNA((CS82*CS81)),0,(IF((CR82&lt;CR81),-1,1)*(IF(ISNA(CS82),0,IF((CS81&lt;CE$148),IF((CS82&lt;CE$148),(((CR82-CR81)^2)^0.5),(((((CE$148-CS81)*(CR82-CR81))/(CS82-CS81))^2)^0.5)),IF((CS82&lt;CE$148),(((((CE$148-CS82)*(CR82-CR81))/(CS81-CS82))^2)^0.5),0))))))</f>
        <v>0</v>
      </c>
      <c s="441" r="DA82">
        <f>IF((CW82&gt;0),(MAX(DA$47:DA81)+1),0)</f>
        <v>0</v>
      </c>
      <c s="388" r="DB82"/>
      <c s="406" r="DC82"/>
      <c s="886" r="DD82"/>
      <c s="886" r="DE82"/>
      <c s="886" r="DF82"/>
      <c s="886" r="DG82"/>
      <c s="418" r="DH82"/>
      <c s="550" r="DI82"/>
      <c s="550" r="DJ82"/>
      <c t="str" s="620" r="DK82">
        <f>IF((COUNT(DJ82:DJ$146,DL82:DL$146)=0),NA(),IF(ISBLANK(DJ82),DK81,(DK81+(DJ82-DL81))))</f>
        <v>#N/A:explicit</v>
      </c>
      <c s="550" r="DL82"/>
      <c t="str" s="620" r="DM82">
        <f>IF(OR(ISBLANK(DL82),ISNUMBER(DJ83)),NA(),(DK82-DL82))</f>
        <v>#N/A:explicit</v>
      </c>
      <c t="b" s="895" r="DN82">
        <v>0</v>
      </c>
      <c s="631" r="DO82"/>
      <c t="str" s="309" r="DP82">
        <f>IF((COUNT(DI82:DI$146)=0),NA(),IF(ISBLANK(DI82),IF(ISBLANK(DI81),MAX(DI$46:DI82),DI81),DI82))</f>
        <v>#N/A:explicit</v>
      </c>
      <c t="str" s="861" r="DQ82">
        <f>IF(ISNA(DM82),IF(ISNUMBER(DP82),DQ81,NA()),DM82)</f>
        <v>#N/A:explicit</v>
      </c>
      <c s="861" r="DR82">
        <f>IF(ISNUMBER(DQ82),DQ82,(DK$46+1000))</f>
        <v>1000</v>
      </c>
      <c t="str" s="588" r="DS82">
        <f>IF((DN82=TRUE),NA(),IF((DS$44=(DK$46-MAX(DL$46:DL$146))),NA(),DS$44))</f>
        <v>#N/A:explicit</v>
      </c>
      <c s="588" r="DT82">
        <f>IF((ISNA(((DQ82*DP82)*DQ81))),0,(IF((DP82&lt;DP81),-1,1)*(IF((DN81=FALSE),IF((DN82=FALSE),IF(ISNA(DQ82),0,IF((DQ81&lt;DS$44),IF((DQ82&lt;DS$44),(((DP82-DP81)^2)^0.5),(((((DS$44-DQ81)*(DP82-DP81))/(DQ82-DQ81))^2)^0.5)),IF((DQ82&lt;DS$44),(((((DS$44-DQ82)*(DP82-DP81))/(DQ81-DQ82))^2)^0.5),0))),0),0))))</f>
        <v>0</v>
      </c>
      <c s="588" r="DU82">
        <f>IF(ISNA((DQ82*DQ81)),0,IF((DN81=FALSE),IF((DN82=FALSE),IF(ISNA(DM82),0,IF((DQ81&lt;DS$44),IF((DQ82&lt;DS$44),((DS$44-((DQ81+DQ82)*0.5))*DT82),(((DS$44-DQ81)*0.5)*DT82)),IF((DQ82&lt;DS$44),(((DS$44-DQ82)*0.5)*DT82),0))),0),0))</f>
        <v>0</v>
      </c>
      <c s="588" r="DV82">
        <f>IF(ISNA((DQ82*DQ81)),0,IF((DN81=FALSE),IF((DN82=FALSE),IF(ISNA(DQ82),0,IF((DQ81&lt;DS$44),IF((DQ82&lt;DS$44),(((DT82^2)+((DQ82-DQ81)^2))^0.5),(((DT82^2)+((DS$44-DQ81)^2))^0.5)),IF((DQ82&lt;DS$44),(((DT82^2)+((DS$44-DQ82)^2))^0.5),0))),0),0))</f>
        <v>0</v>
      </c>
      <c s="588" r="DW82">
        <f>IF(ISNUMBER((DQ82*DQ81)),IF((DQ81&gt;=DC$148),IF((DQ82&lt;DC$148),1,0),IF((DQ82&gt;=DC$148),IF((DQ81&lt;DC$148),1,0),0)),0)</f>
        <v>0</v>
      </c>
      <c s="588" r="DX82">
        <f>IF(ISNA((DQ82*DQ81)),0,(IF((DP82&lt;DP81),-1,1)*(IF(ISNA(DQ82),0,IF((DQ81&lt;DC$148),IF((DQ82&lt;DC$148),(((DP82-DP81)^2)^0.5),(((((DC$148-DQ81)*(DP82-DP81))/(DQ82-DQ81))^2)^0.5)),IF((DQ82&lt;DC$148),(((((DC$148-DQ82)*(DP82-DP81))/(DQ81-DQ82))^2)^0.5),0))))))</f>
        <v>0</v>
      </c>
      <c s="441" r="DY82">
        <f>IF((DU82&gt;0),(MAX(DY$47:DY81)+1),0)</f>
        <v>0</v>
      </c>
      <c s="388" r="DZ82"/>
      <c s="406" r="EA82"/>
      <c s="886" r="EB82"/>
      <c s="886" r="EC82"/>
      <c s="886" r="ED82"/>
      <c s="886" r="EE82"/>
      <c s="418" r="EF82"/>
      <c s="550" r="EG82"/>
      <c s="550" r="EH82"/>
      <c t="str" s="620" r="EI82">
        <f>IF((COUNT(EH82:EH$146,EJ82:EJ$146)=0),NA(),IF(ISBLANK(EH82),EI81,(EI81+(EH82-EJ81))))</f>
        <v>#N/A:explicit</v>
      </c>
      <c s="550" r="EJ82"/>
      <c t="str" s="620" r="EK82">
        <f>IF(OR(ISBLANK(EJ82),ISNUMBER(EH83)),NA(),(EI82-EJ82))</f>
        <v>#N/A:explicit</v>
      </c>
      <c t="b" s="895" r="EL82">
        <v>0</v>
      </c>
      <c s="631" r="EM82"/>
      <c t="str" s="309" r="EN82">
        <f>IF((COUNT(EG82:EG$146)=0),NA(),IF(ISBLANK(EG82),IF(ISBLANK(EG81),MAX(EG$46:EG82),EG81),EG82))</f>
        <v>#N/A:explicit</v>
      </c>
      <c t="str" s="861" r="EO82">
        <f>IF(ISNA(EK82),IF(ISNUMBER(EN82),EO81,NA()),EK82)</f>
        <v>#N/A:explicit</v>
      </c>
      <c s="861" r="EP82">
        <f>IF(ISNUMBER(EO82),EO82,(EI$46+1000))</f>
        <v>1000</v>
      </c>
      <c t="str" s="588" r="EQ82">
        <f>IF((EL82=TRUE),NA(),IF((EQ$44=(EI$46-MAX(EJ$46:EJ$146))),NA(),EQ$44))</f>
        <v>#N/A:explicit</v>
      </c>
      <c s="588" r="ER82">
        <f>IF((ISNA(((EO82*EN82)*EO81))),0,(IF((EN82&lt;EN81),-1,1)*(IF((EL81=FALSE),IF((EL82=FALSE),IF(ISNA(EO82),0,IF((EO81&lt;EQ$44),IF((EO82&lt;EQ$44),(((EN82-EN81)^2)^0.5),(((((EQ$44-EO81)*(EN82-EN81))/(EO82-EO81))^2)^0.5)),IF((EO82&lt;EQ$44),(((((EQ$44-EO82)*(EN82-EN81))/(EO81-EO82))^2)^0.5),0))),0),0))))</f>
        <v>0</v>
      </c>
      <c s="588" r="ES82">
        <f>IF(ISNA((EO82*EO81)),0,IF((EL81=FALSE),IF((EL82=FALSE),IF(ISNA(EK82),0,IF((EO81&lt;EQ$44),IF((EO82&lt;EQ$44),((EQ$44-((EO81+EO82)*0.5))*ER82),(((EQ$44-EO81)*0.5)*ER82)),IF((EO82&lt;EQ$44),(((EQ$44-EO82)*0.5)*ER82),0))),0),0))</f>
        <v>0</v>
      </c>
      <c s="588" r="ET82">
        <f>IF(ISNA((EO82*EO81)),0,IF((EL81=FALSE),IF((EL82=FALSE),IF(ISNA(EO82),0,IF((EO81&lt;EQ$44),IF((EO82&lt;EQ$44),(((ER82^2)+((EO82-EO81)^2))^0.5),(((ER82^2)+((EQ$44-EO81)^2))^0.5)),IF((EO82&lt;EQ$44),(((ER82^2)+((EQ$44-EO82)^2))^0.5),0))),0),0))</f>
        <v>0</v>
      </c>
      <c s="588" r="EU82">
        <f>IF(ISNUMBER((EO82*EO81)),IF((EO81&gt;=EA$148),IF((EO82&lt;EA$148),1,0),IF((EO82&gt;=EA$148),IF((EO81&lt;EA$148),1,0),0)),0)</f>
        <v>0</v>
      </c>
      <c s="588" r="EV82">
        <f>IF(ISNA((EO82*EO81)),0,(IF((EN82&lt;EN81),-1,1)*(IF(ISNA(EO82),0,IF((EO81&lt;EA$148),IF((EO82&lt;EA$148),(((EN82-EN81)^2)^0.5),(((((EA$148-EO81)*(EN82-EN81))/(EO82-EO81))^2)^0.5)),IF((EO82&lt;EA$148),(((((EA$148-EO82)*(EN82-EN81))/(EO81-EO82))^2)^0.5),0))))))</f>
        <v>0</v>
      </c>
      <c s="441" r="EW82">
        <f>IF((ES82&gt;0),(MAX(EW$47:EW81)+1),0)</f>
        <v>0</v>
      </c>
      <c s="388" r="EX82"/>
      <c s="406" r="EY82"/>
      <c s="886" r="EZ82"/>
      <c s="886" r="FA82"/>
      <c s="886" r="FB82"/>
      <c s="886" r="FC82"/>
      <c s="418" r="FD82"/>
      <c s="550" r="FE82"/>
      <c s="550" r="FF82"/>
      <c t="str" s="620" r="FG82">
        <f>IF((COUNT(FF82:FF$146,FH82:FH$146)=0),NA(),IF(ISBLANK(FF82),FG81,(FG81+(FF82-FH81))))</f>
        <v>#N/A:explicit</v>
      </c>
      <c s="550" r="FH82"/>
      <c t="str" s="620" r="FI82">
        <f>IF(OR(ISBLANK(FH82),ISNUMBER(FF83)),NA(),(FG82-FH82))</f>
        <v>#N/A:explicit</v>
      </c>
      <c t="b" s="895" r="FJ82">
        <v>0</v>
      </c>
      <c s="631" r="FK82"/>
      <c t="str" s="309" r="FL82">
        <f>IF((COUNT(FE82:FE$146)=0),NA(),IF(ISBLANK(FE82),IF(ISBLANK(FE81),MAX(FE$46:FE82),FE81),FE82))</f>
        <v>#N/A:explicit</v>
      </c>
      <c t="str" s="861" r="FM82">
        <f>IF(ISNA(FI82),IF(ISNUMBER(FL82),FM81,NA()),FI82)</f>
        <v>#N/A:explicit</v>
      </c>
      <c s="861" r="FN82">
        <f>IF(ISNUMBER(FM82),FM82,(FG$46+1000))</f>
        <v>1000</v>
      </c>
      <c t="str" s="588" r="FO82">
        <f>IF((FJ82=TRUE),NA(),IF((FO$44=(FG$46-MAX(FH$46:FH$146))),NA(),FO$44))</f>
        <v>#N/A:explicit</v>
      </c>
      <c s="588" r="FP82">
        <f>IF((ISNA(((FM82*FL82)*FM81))),0,(IF((FL82&lt;FL81),-1,1)*(IF((FJ81=FALSE),IF((FJ82=FALSE),IF(ISNA(FM82),0,IF((FM81&lt;FO$44),IF((FM82&lt;FO$44),(((FL82-FL81)^2)^0.5),(((((FO$44-FM81)*(FL82-FL81))/(FM82-FM81))^2)^0.5)),IF((FM82&lt;FO$44),(((((FO$44-FM82)*(FL82-FL81))/(FM81-FM82))^2)^0.5),0))),0),0))))</f>
        <v>0</v>
      </c>
      <c s="588" r="FQ82">
        <f>IF(ISNA((FM82*FM81)),0,IF((FJ81=FALSE),IF((FJ82=FALSE),IF(ISNA(FI82),0,IF((FM81&lt;FO$44),IF((FM82&lt;FO$44),((FO$44-((FM81+FM82)*0.5))*FP82),(((FO$44-FM81)*0.5)*FP82)),IF((FM82&lt;FO$44),(((FO$44-FM82)*0.5)*FP82),0))),0),0))</f>
        <v>0</v>
      </c>
      <c s="588" r="FR82">
        <f>IF(ISNA((FM82*FM81)),0,IF((FJ81=FALSE),IF((FJ82=FALSE),IF(ISNA(FM82),0,IF((FM81&lt;FO$44),IF((FM82&lt;FO$44),(((FP82^2)+((FM82-FM81)^2))^0.5),(((FP82^2)+((FO$44-FM81)^2))^0.5)),IF((FM82&lt;FO$44),(((FP82^2)+((FO$44-FM82)^2))^0.5),0))),0),0))</f>
        <v>0</v>
      </c>
      <c s="588" r="FS82">
        <f>IF(ISNUMBER((FM82*FM81)),IF((FM81&gt;=EY$148),IF((FM82&lt;EY$148),1,0),IF((FM82&gt;=EY$148),IF((FM81&lt;EY$148),1,0),0)),0)</f>
        <v>0</v>
      </c>
      <c s="588" r="FT82">
        <f>IF(ISNA((FM82*FM81)),0,(IF((FL82&lt;FL81),-1,1)*(IF(ISNA(FM82),0,IF((FM81&lt;EY$148),IF((FM82&lt;EY$148),(((FL82-FL81)^2)^0.5),(((((EY$148-FM81)*(FL82-FL81))/(FM82-FM81))^2)^0.5)),IF((FM82&lt;EY$148),(((((EY$148-FM82)*(FL82-FL81))/(FM81-FM82))^2)^0.5),0))))))</f>
        <v>0</v>
      </c>
      <c s="441" r="FU82">
        <f>IF((FQ82&gt;0),(MAX(FU$47:FU81)+1),0)</f>
        <v>0</v>
      </c>
      <c s="222" r="FV82"/>
      <c s="125" r="FW82"/>
      <c s="125" r="FX82"/>
      <c s="125" r="FY82"/>
      <c s="125" r="FZ82"/>
      <c s="125" r="GA82"/>
      <c s="125" r="GB82"/>
      <c s="125" r="GC82"/>
      <c s="125" r="GD82"/>
      <c s="125" r="GE82"/>
      <c s="125" r="GF82"/>
      <c s="125" r="GG82"/>
      <c s="125" r="GH82"/>
      <c s="125" r="GI82"/>
      <c s="125" r="GJ82"/>
      <c s="125" r="GK82"/>
      <c s="761" r="GL82"/>
      <c s="125" r="GM82"/>
      <c s="761" r="GN82"/>
      <c s="761" r="GO82"/>
      <c s="761" r="GP82"/>
      <c s="125" r="GQ82"/>
      <c s="125" r="GR82"/>
      <c s="125" r="GS82"/>
      <c s="125" r="GT82"/>
      <c s="125" r="GU82"/>
      <c s="125" r="GV82"/>
      <c s="125" r="GW82"/>
      <c s="125" r="GX82"/>
      <c s="125" r="GY82"/>
      <c s="125" r="GZ82"/>
      <c s="125" r="HA82"/>
      <c s="125" r="HB82"/>
    </row>
    <row customHeight="1" r="83" ht="13.5">
      <c s="822" r="A83"/>
      <c s="908" r="B83"/>
      <c s="812" r="C83"/>
      <c s="207" r="D83"/>
      <c s="304" r="E83"/>
      <c s="304" r="F83"/>
      <c s="304" r="G83"/>
      <c s="12" r="H83"/>
      <c s="51" r="I83"/>
      <c s="822" r="J83"/>
      <c s="406" r="K83"/>
      <c s="886" r="L83"/>
      <c s="886" r="M83"/>
      <c s="886" r="N83"/>
      <c s="886" r="O83"/>
      <c s="418" r="P83"/>
      <c s="550" r="Q83"/>
      <c s="550" r="R83"/>
      <c t="str" s="620" r="S83">
        <f>IF((COUNT(R83:R$146,T83:T$146)=0),NA(),IF(ISBLANK(R83),S82,(S82+(R83-T82))))</f>
        <v>#N/A:explicit</v>
      </c>
      <c s="550" r="T83"/>
      <c t="str" s="620" r="U83">
        <f>IF(OR(ISBLANK(T83),ISNUMBER(R84)),NA(),(S83-T83))</f>
        <v>#N/A:explicit</v>
      </c>
      <c t="b" s="895" r="V83">
        <v>0</v>
      </c>
      <c s="631" r="W83"/>
      <c t="str" s="309" r="X83">
        <f>IF((COUNT(Q83:Q$146)=0),NA(),IF(ISBLANK(Q83),IF(ISBLANK(Q82),MAX(Q$46:Q83),Q82),Q83))</f>
        <v>#N/A:explicit</v>
      </c>
      <c t="str" s="861" r="Y83">
        <f>IF(ISNA(U83),IF(ISNUMBER(X83),Y82,NA()),U83)</f>
        <v>#N/A:explicit</v>
      </c>
      <c s="861" r="Z83">
        <f>IF(ISNUMBER(Y83),Y83,(S$46+1000))</f>
        <v>1000</v>
      </c>
      <c t="str" s="588" r="AA83">
        <f>IF((V83=TRUE),NA(),IF((AA$44=(S$46-MAX(T$46:T$146))),NA(),AA$44))</f>
        <v>#N/A:explicit</v>
      </c>
      <c s="588" r="AB83">
        <f>IF((ISNA(((Y83*X83)*Y82))),0,(IF((X83&lt;X82),-1,1)*(IF((V82=FALSE),IF((V83=FALSE),IF(ISNA(Y83),0,IF((Y82&lt;AA$44),IF((Y83&lt;AA$44),(((X83-X82)^2)^0.5),(((((AA$44-Y82)*(X83-X82))/(Y83-Y82))^2)^0.5)),IF((Y83&lt;AA$44),(((((AA$44-Y83)*(X83-X82))/(Y82-Y83))^2)^0.5),0))),0),0))))</f>
        <v>0</v>
      </c>
      <c s="588" r="AC83">
        <f>IF(ISNA((Y83*Y82)),0,IF((V82=FALSE),IF((V83=FALSE),IF(ISNA(U83),0,IF((Y82&lt;AA$44),IF((Y83&lt;AA$44),((AA$44-((Y82+Y83)*0.5))*AB83),(((AA$44-Y82)*0.5)*AB83)),IF((Y83&lt;AA$44),(((AA$44-Y83)*0.5)*AB83),0))),0),0))</f>
        <v>0</v>
      </c>
      <c s="588" r="AD83">
        <f>IF(ISNA((Y83*Y82)),0,IF((V82=FALSE),IF((V83=FALSE),IF(ISNA(Y83),0,IF((Y82&lt;AA$44),IF((Y83&lt;AA$44),(((AB83^2)+((Y83-Y82)^2))^0.5),(((AB83^2)+((AA$44-Y82)^2))^0.5)),IF((Y83&lt;AA$44),(((AB83^2)+((AA$44-Y83)^2))^0.5),0))),0),0))</f>
        <v>0</v>
      </c>
      <c s="588" r="AE83">
        <f>IF(ISNUMBER((Y83*Y82)),IF((Y82&gt;=K$148),IF((Y83&lt;K$148),1,0),IF((Y83&gt;=K$148),IF((Y82&lt;K$148),1,0),0)),0)</f>
        <v>0</v>
      </c>
      <c s="588" r="AF83">
        <f>IF(ISNA((Y83*Y82)),0,(IF((X83&lt;X82),-1,1)*(IF(ISNA(Y83),0,IF((Y82&lt;K$148),IF((Y83&lt;K$148),(((X83-X82)^2)^0.5),(((((K$148-Y82)*(X83-X82))/(Y83-Y82))^2)^0.5)),IF((Y83&lt;K$148),(((((K$148-Y83)*(X83-X82))/(Y82-Y83))^2)^0.5),0))))))</f>
        <v>0</v>
      </c>
      <c s="441" r="AG83">
        <f>IF((AC83&gt;0),(MAX(AG$47:AG82)+1),0)</f>
        <v>0</v>
      </c>
      <c s="388" r="AH83"/>
      <c s="406" r="AI83"/>
      <c s="886" r="AJ83"/>
      <c s="886" r="AK83"/>
      <c s="886" r="AL83"/>
      <c s="886" r="AM83"/>
      <c s="418" r="AN83"/>
      <c s="550" r="AO83"/>
      <c s="550" r="AP83"/>
      <c t="str" s="620" r="AQ83">
        <f>IF((COUNT(AP83:AP$146,AR83:AR$146)=0),NA(),IF(ISBLANK(AP83),AQ82,(AQ82+(AP83-AR82))))</f>
        <v>#N/A:explicit</v>
      </c>
      <c s="550" r="AR83"/>
      <c t="str" s="620" r="AS83">
        <f>IF(OR(ISBLANK(AR83),ISNUMBER(AP84)),NA(),(AQ83-AR83))</f>
        <v>#N/A:explicit</v>
      </c>
      <c t="b" s="895" r="AT83">
        <v>0</v>
      </c>
      <c s="631" r="AU83"/>
      <c t="str" s="309" r="AV83">
        <f>IF((COUNT(AO83:AO$146)=0),NA(),IF(ISBLANK(AO83),IF(ISBLANK(AO82),MAX(AO$46:AO83),AO82),AO83))</f>
        <v>#N/A:explicit</v>
      </c>
      <c t="str" s="861" r="AW83">
        <f>IF(ISNA(AS83),IF(ISNUMBER(AV83),AW82,NA()),AS83)</f>
        <v>#N/A:explicit</v>
      </c>
      <c s="861" r="AX83">
        <f>IF(ISNUMBER(AW83),AW83,(AQ$46+1000))</f>
        <v>1000</v>
      </c>
      <c t="str" s="588" r="AY83">
        <f>IF((AT83=TRUE),NA(),IF((AY$44=(AQ$46-MAX(AR$46:AR$146))),NA(),AY$44))</f>
        <v>#N/A:explicit</v>
      </c>
      <c s="588" r="AZ83">
        <f>IF((ISNA(((AW83*AV83)*AW82))),0,(IF((AV83&lt;AV82),-1,1)*(IF((AT82=FALSE),IF((AT83=FALSE),IF(ISNA(AW83),0,IF((AW82&lt;AY$44),IF((AW83&lt;AY$44),(((AV83-AV82)^2)^0.5),(((((AY$44-AW82)*(AV83-AV82))/(AW83-AW82))^2)^0.5)),IF((AW83&lt;AY$44),(((((AY$44-AW83)*(AV83-AV82))/(AW82-AW83))^2)^0.5),0))),0),0))))</f>
        <v>0</v>
      </c>
      <c s="588" r="BA83">
        <f>IF(ISNA((AW83*AW82)),0,IF((AT82=FALSE),IF((AT83=FALSE),IF(ISNA(AS83),0,IF((AW82&lt;AY$44),IF((AW83&lt;AY$44),((AY$44-((AW82+AW83)*0.5))*AZ83),(((AY$44-AW82)*0.5)*AZ83)),IF((AW83&lt;AY$44),(((AY$44-AW83)*0.5)*AZ83),0))),0),0))</f>
        <v>0</v>
      </c>
      <c s="588" r="BB83">
        <f>IF(ISNA((AW83*AW82)),0,IF((AT82=FALSE),IF((AT83=FALSE),IF(ISNA(AW83),0,IF((AW82&lt;AY$44),IF((AW83&lt;AY$44),(((AZ83^2)+((AW83-AW82)^2))^0.5),(((AZ83^2)+((AY$44-AW82)^2))^0.5)),IF((AW83&lt;AY$44),(((AZ83^2)+((AY$44-AW83)^2))^0.5),0))),0),0))</f>
        <v>0</v>
      </c>
      <c s="588" r="BC83">
        <f>IF(ISNUMBER((AW83*AW82)),IF((AW82&gt;=AI$148),IF((AW83&lt;AI$148),1,0),IF((AW83&gt;=AI$148),IF((AW82&lt;AI$148),1,0),0)),0)</f>
        <v>0</v>
      </c>
      <c s="588" r="BD83">
        <f>IF(ISNA((AW83*AW82)),0,(IF((AV83&lt;AV82),-1,1)*(IF(ISNA(AW83),0,IF((AW82&lt;AI$148),IF((AW83&lt;AI$148),(((AV83-AV82)^2)^0.5),(((((AI$148-AW82)*(AV83-AV82))/(AW83-AW82))^2)^0.5)),IF((AW83&lt;AI$148),(((((AI$148-AW83)*(AV83-AV82))/(AW82-AW83))^2)^0.5),0))))))</f>
        <v>0</v>
      </c>
      <c s="441" r="BE83">
        <f>IF((BA83&gt;0),(MAX(BE$47:BE82)+1),0)</f>
        <v>0</v>
      </c>
      <c s="388" r="BF83"/>
      <c s="406" r="BG83"/>
      <c s="886" r="BH83"/>
      <c s="886" r="BI83"/>
      <c s="886" r="BJ83"/>
      <c s="886" r="BK83"/>
      <c s="418" r="BL83"/>
      <c s="550" r="BM83"/>
      <c s="550" r="BN83"/>
      <c t="str" s="620" r="BO83">
        <f>IF((COUNT(BN83:BN$146,BP83:BP$146)=0),NA(),IF(ISBLANK(BN83),BO82,(BO82+(BN83-BP82))))</f>
        <v>#N/A:explicit</v>
      </c>
      <c s="550" r="BP83"/>
      <c t="str" s="620" r="BQ83">
        <f>IF(OR(ISBLANK(BP83),ISNUMBER(BN84)),NA(),(BO83-BP83))</f>
        <v>#N/A:explicit</v>
      </c>
      <c t="b" s="895" r="BR83">
        <v>0</v>
      </c>
      <c s="631" r="BS83"/>
      <c t="str" s="309" r="BT83">
        <f>IF((COUNT(BM83:BM$146)=0),NA(),IF(ISBLANK(BM83),IF(ISBLANK(BM82),MAX(BM$46:BM83),BM82),BM83))</f>
        <v>#N/A:explicit</v>
      </c>
      <c t="str" s="861" r="BU83">
        <f>IF(ISNA(BQ83),IF(ISNUMBER(BT83),BU82,NA()),BQ83)</f>
        <v>#N/A:explicit</v>
      </c>
      <c s="861" r="BV83">
        <f>IF(ISNUMBER(BU83),BU83,(BO$46+1000))</f>
        <v>1000</v>
      </c>
      <c t="str" s="588" r="BW83">
        <f>IF((BR83=TRUE),NA(),IF((BW$44=(BO$46-MAX(BP$46:BP$146))),NA(),BW$44))</f>
        <v>#N/A:explicit</v>
      </c>
      <c s="588" r="BX83">
        <f>IF((ISNA(((BU83*BT83)*BU82))),0,(IF((BT83&lt;BT82),-1,1)*(IF((BR82=FALSE),IF((BR83=FALSE),IF(ISNA(BU83),0,IF((BU82&lt;BW$44),IF((BU83&lt;BW$44),(((BT83-BT82)^2)^0.5),(((((BW$44-BU82)*(BT83-BT82))/(BU83-BU82))^2)^0.5)),IF((BU83&lt;BW$44),(((((BW$44-BU83)*(BT83-BT82))/(BU82-BU83))^2)^0.5),0))),0),0))))</f>
        <v>0</v>
      </c>
      <c s="588" r="BY83">
        <f>IF(ISNA((BU83*BU82)),0,IF((BR82=FALSE),IF((BR83=FALSE),IF(ISNA(BQ83),0,IF((BU82&lt;BW$44),IF((BU83&lt;BW$44),((BW$44-((BU82+BU83)*0.5))*BX83),(((BW$44-BU82)*0.5)*BX83)),IF((BU83&lt;BW$44),(((BW$44-BU83)*0.5)*BX83),0))),0),0))</f>
        <v>0</v>
      </c>
      <c s="588" r="BZ83">
        <f>IF(ISNA((BU83*BU82)),0,IF((BR82=FALSE),IF((BR83=FALSE),IF(ISNA(BU83),0,IF((BU82&lt;BW$44),IF((BU83&lt;BW$44),(((BX83^2)+((BU83-BU82)^2))^0.5),(((BX83^2)+((BW$44-BU82)^2))^0.5)),IF((BU83&lt;BW$44),(((BX83^2)+((BW$44-BU83)^2))^0.5),0))),0),0))</f>
        <v>0</v>
      </c>
      <c s="588" r="CA83">
        <f>IF(ISNUMBER((BU83*BU82)),IF((BU82&gt;=BG$148),IF((BU83&lt;BG$148),1,0),IF((BU83&gt;=BG$148),IF((BU82&lt;BG$148),1,0),0)),0)</f>
        <v>0</v>
      </c>
      <c s="588" r="CB83">
        <f>IF(ISNA((BU83*BU82)),0,(IF((BT83&lt;BT82),-1,1)*(IF(ISNA(BU83),0,IF((BU82&lt;BG$148),IF((BU83&lt;BG$148),(((BT83-BT82)^2)^0.5),(((((BG$148-BU82)*(BT83-BT82))/(BU83-BU82))^2)^0.5)),IF((BU83&lt;BG$148),(((((BG$148-BU83)*(BT83-BT82))/(BU82-BU83))^2)^0.5),0))))))</f>
        <v>0</v>
      </c>
      <c s="441" r="CC83">
        <f>IF((BY83&gt;0),(MAX(CC$47:CC82)+1),0)</f>
        <v>0</v>
      </c>
      <c s="388" r="CD83"/>
      <c s="406" r="CE83"/>
      <c s="886" r="CF83"/>
      <c s="886" r="CG83"/>
      <c s="886" r="CH83"/>
      <c s="886" r="CI83"/>
      <c s="418" r="CJ83"/>
      <c s="550" r="CK83"/>
      <c s="550" r="CL83"/>
      <c t="str" s="620" r="CM83">
        <f>IF((COUNT(CL83:CL$146,CN83:CN$146)=0),NA(),IF(ISBLANK(CL83),CM82,(CM82+(CL83-CN82))))</f>
        <v>#N/A:explicit</v>
      </c>
      <c s="550" r="CN83"/>
      <c t="str" s="620" r="CO83">
        <f>IF(OR(ISBLANK(CN83),ISNUMBER(CL84)),NA(),(CM83-CN83))</f>
        <v>#N/A:explicit</v>
      </c>
      <c t="b" s="895" r="CP83">
        <v>0</v>
      </c>
      <c s="631" r="CQ83"/>
      <c t="str" s="309" r="CR83">
        <f>IF((COUNT(CK83:CK$146)=0),NA(),IF(ISBLANK(CK83),IF(ISBLANK(CK82),MAX(CK$46:CK83),CK82),CK83))</f>
        <v>#N/A:explicit</v>
      </c>
      <c t="str" s="861" r="CS83">
        <f>IF(ISNA(CO83),IF(ISNUMBER(CR83),CS82,NA()),CO83)</f>
        <v>#N/A:explicit</v>
      </c>
      <c s="861" r="CT83">
        <f>IF(ISNUMBER(CS83),CS83,(CM$46+1000))</f>
        <v>1000</v>
      </c>
      <c t="str" s="588" r="CU83">
        <f>IF((CP83=TRUE),NA(),IF((CU$44=(CM$46-MAX(CN$46:CN$146))),NA(),CU$44))</f>
        <v>#N/A:explicit</v>
      </c>
      <c s="588" r="CV83">
        <f>IF((ISNA(((CS83*CR83)*CS82))),0,(IF((CR83&lt;CR82),-1,1)*(IF((CP82=FALSE),IF((CP83=FALSE),IF(ISNA(CS83),0,IF((CS82&lt;CU$44),IF((CS83&lt;CU$44),(((CR83-CR82)^2)^0.5),(((((CU$44-CS82)*(CR83-CR82))/(CS83-CS82))^2)^0.5)),IF((CS83&lt;CU$44),(((((CU$44-CS83)*(CR83-CR82))/(CS82-CS83))^2)^0.5),0))),0),0))))</f>
        <v>0</v>
      </c>
      <c s="588" r="CW83">
        <f>IF(ISNA((CS83*CS82)),0,IF((CP82=FALSE),IF((CP83=FALSE),IF(ISNA(CO83),0,IF((CS82&lt;CU$44),IF((CS83&lt;CU$44),((CU$44-((CS82+CS83)*0.5))*CV83),(((CU$44-CS82)*0.5)*CV83)),IF((CS83&lt;CU$44),(((CU$44-CS83)*0.5)*CV83),0))),0),0))</f>
        <v>0</v>
      </c>
      <c s="588" r="CX83">
        <f>IF(ISNA((CS83*CS82)),0,IF((CP82=FALSE),IF((CP83=FALSE),IF(ISNA(CS83),0,IF((CS82&lt;CU$44),IF((CS83&lt;CU$44),(((CV83^2)+((CS83-CS82)^2))^0.5),(((CV83^2)+((CU$44-CS82)^2))^0.5)),IF((CS83&lt;CU$44),(((CV83^2)+((CU$44-CS83)^2))^0.5),0))),0),0))</f>
        <v>0</v>
      </c>
      <c s="588" r="CY83">
        <f>IF(ISNUMBER((CS83*CS82)),IF((CS82&gt;=CE$148),IF((CS83&lt;CE$148),1,0),IF((CS83&gt;=CE$148),IF((CS82&lt;CE$148),1,0),0)),0)</f>
        <v>0</v>
      </c>
      <c s="588" r="CZ83">
        <f>IF(ISNA((CS83*CS82)),0,(IF((CR83&lt;CR82),-1,1)*(IF(ISNA(CS83),0,IF((CS82&lt;CE$148),IF((CS83&lt;CE$148),(((CR83-CR82)^2)^0.5),(((((CE$148-CS82)*(CR83-CR82))/(CS83-CS82))^2)^0.5)),IF((CS83&lt;CE$148),(((((CE$148-CS83)*(CR83-CR82))/(CS82-CS83))^2)^0.5),0))))))</f>
        <v>0</v>
      </c>
      <c s="441" r="DA83">
        <f>IF((CW83&gt;0),(MAX(DA$47:DA82)+1),0)</f>
        <v>0</v>
      </c>
      <c s="388" r="DB83"/>
      <c s="406" r="DC83"/>
      <c s="886" r="DD83"/>
      <c s="886" r="DE83"/>
      <c s="886" r="DF83"/>
      <c s="886" r="DG83"/>
      <c s="418" r="DH83"/>
      <c s="550" r="DI83"/>
      <c s="550" r="DJ83"/>
      <c t="str" s="620" r="DK83">
        <f>IF((COUNT(DJ83:DJ$146,DL83:DL$146)=0),NA(),IF(ISBLANK(DJ83),DK82,(DK82+(DJ83-DL82))))</f>
        <v>#N/A:explicit</v>
      </c>
      <c s="550" r="DL83"/>
      <c t="str" s="620" r="DM83">
        <f>IF(OR(ISBLANK(DL83),ISNUMBER(DJ84)),NA(),(DK83-DL83))</f>
        <v>#N/A:explicit</v>
      </c>
      <c t="b" s="895" r="DN83">
        <v>0</v>
      </c>
      <c s="631" r="DO83"/>
      <c t="str" s="309" r="DP83">
        <f>IF((COUNT(DI83:DI$146)=0),NA(),IF(ISBLANK(DI83),IF(ISBLANK(DI82),MAX(DI$46:DI83),DI82),DI83))</f>
        <v>#N/A:explicit</v>
      </c>
      <c t="str" s="861" r="DQ83">
        <f>IF(ISNA(DM83),IF(ISNUMBER(DP83),DQ82,NA()),DM83)</f>
        <v>#N/A:explicit</v>
      </c>
      <c s="861" r="DR83">
        <f>IF(ISNUMBER(DQ83),DQ83,(DK$46+1000))</f>
        <v>1000</v>
      </c>
      <c t="str" s="588" r="DS83">
        <f>IF((DN83=TRUE),NA(),IF((DS$44=(DK$46-MAX(DL$46:DL$146))),NA(),DS$44))</f>
        <v>#N/A:explicit</v>
      </c>
      <c s="588" r="DT83">
        <f>IF((ISNA(((DQ83*DP83)*DQ82))),0,(IF((DP83&lt;DP82),-1,1)*(IF((DN82=FALSE),IF((DN83=FALSE),IF(ISNA(DQ83),0,IF((DQ82&lt;DS$44),IF((DQ83&lt;DS$44),(((DP83-DP82)^2)^0.5),(((((DS$44-DQ82)*(DP83-DP82))/(DQ83-DQ82))^2)^0.5)),IF((DQ83&lt;DS$44),(((((DS$44-DQ83)*(DP83-DP82))/(DQ82-DQ83))^2)^0.5),0))),0),0))))</f>
        <v>0</v>
      </c>
      <c s="588" r="DU83">
        <f>IF(ISNA((DQ83*DQ82)),0,IF((DN82=FALSE),IF((DN83=FALSE),IF(ISNA(DM83),0,IF((DQ82&lt;DS$44),IF((DQ83&lt;DS$44),((DS$44-((DQ82+DQ83)*0.5))*DT83),(((DS$44-DQ82)*0.5)*DT83)),IF((DQ83&lt;DS$44),(((DS$44-DQ83)*0.5)*DT83),0))),0),0))</f>
        <v>0</v>
      </c>
      <c s="588" r="DV83">
        <f>IF(ISNA((DQ83*DQ82)),0,IF((DN82=FALSE),IF((DN83=FALSE),IF(ISNA(DQ83),0,IF((DQ82&lt;DS$44),IF((DQ83&lt;DS$44),(((DT83^2)+((DQ83-DQ82)^2))^0.5),(((DT83^2)+((DS$44-DQ82)^2))^0.5)),IF((DQ83&lt;DS$44),(((DT83^2)+((DS$44-DQ83)^2))^0.5),0))),0),0))</f>
        <v>0</v>
      </c>
      <c s="588" r="DW83">
        <f>IF(ISNUMBER((DQ83*DQ82)),IF((DQ82&gt;=DC$148),IF((DQ83&lt;DC$148),1,0),IF((DQ83&gt;=DC$148),IF((DQ82&lt;DC$148),1,0),0)),0)</f>
        <v>0</v>
      </c>
      <c s="588" r="DX83">
        <f>IF(ISNA((DQ83*DQ82)),0,(IF((DP83&lt;DP82),-1,1)*(IF(ISNA(DQ83),0,IF((DQ82&lt;DC$148),IF((DQ83&lt;DC$148),(((DP83-DP82)^2)^0.5),(((((DC$148-DQ82)*(DP83-DP82))/(DQ83-DQ82))^2)^0.5)),IF((DQ83&lt;DC$148),(((((DC$148-DQ83)*(DP83-DP82))/(DQ82-DQ83))^2)^0.5),0))))))</f>
        <v>0</v>
      </c>
      <c s="441" r="DY83">
        <f>IF((DU83&gt;0),(MAX(DY$47:DY82)+1),0)</f>
        <v>0</v>
      </c>
      <c s="388" r="DZ83"/>
      <c s="406" r="EA83"/>
      <c s="886" r="EB83"/>
      <c s="886" r="EC83"/>
      <c s="886" r="ED83"/>
      <c s="886" r="EE83"/>
      <c s="418" r="EF83"/>
      <c s="550" r="EG83"/>
      <c s="550" r="EH83"/>
      <c t="str" s="620" r="EI83">
        <f>IF((COUNT(EH83:EH$146,EJ83:EJ$146)=0),NA(),IF(ISBLANK(EH83),EI82,(EI82+(EH83-EJ82))))</f>
        <v>#N/A:explicit</v>
      </c>
      <c s="550" r="EJ83"/>
      <c t="str" s="620" r="EK83">
        <f>IF(OR(ISBLANK(EJ83),ISNUMBER(EH84)),NA(),(EI83-EJ83))</f>
        <v>#N/A:explicit</v>
      </c>
      <c t="b" s="895" r="EL83">
        <v>0</v>
      </c>
      <c s="631" r="EM83"/>
      <c t="str" s="309" r="EN83">
        <f>IF((COUNT(EG83:EG$146)=0),NA(),IF(ISBLANK(EG83),IF(ISBLANK(EG82),MAX(EG$46:EG83),EG82),EG83))</f>
        <v>#N/A:explicit</v>
      </c>
      <c t="str" s="861" r="EO83">
        <f>IF(ISNA(EK83),IF(ISNUMBER(EN83),EO82,NA()),EK83)</f>
        <v>#N/A:explicit</v>
      </c>
      <c s="861" r="EP83">
        <f>IF(ISNUMBER(EO83),EO83,(EI$46+1000))</f>
        <v>1000</v>
      </c>
      <c t="str" s="588" r="EQ83">
        <f>IF((EL83=TRUE),NA(),IF((EQ$44=(EI$46-MAX(EJ$46:EJ$146))),NA(),EQ$44))</f>
        <v>#N/A:explicit</v>
      </c>
      <c s="588" r="ER83">
        <f>IF((ISNA(((EO83*EN83)*EO82))),0,(IF((EN83&lt;EN82),-1,1)*(IF((EL82=FALSE),IF((EL83=FALSE),IF(ISNA(EO83),0,IF((EO82&lt;EQ$44),IF((EO83&lt;EQ$44),(((EN83-EN82)^2)^0.5),(((((EQ$44-EO82)*(EN83-EN82))/(EO83-EO82))^2)^0.5)),IF((EO83&lt;EQ$44),(((((EQ$44-EO83)*(EN83-EN82))/(EO82-EO83))^2)^0.5),0))),0),0))))</f>
        <v>0</v>
      </c>
      <c s="588" r="ES83">
        <f>IF(ISNA((EO83*EO82)),0,IF((EL82=FALSE),IF((EL83=FALSE),IF(ISNA(EK83),0,IF((EO82&lt;EQ$44),IF((EO83&lt;EQ$44),((EQ$44-((EO82+EO83)*0.5))*ER83),(((EQ$44-EO82)*0.5)*ER83)),IF((EO83&lt;EQ$44),(((EQ$44-EO83)*0.5)*ER83),0))),0),0))</f>
        <v>0</v>
      </c>
      <c s="588" r="ET83">
        <f>IF(ISNA((EO83*EO82)),0,IF((EL82=FALSE),IF((EL83=FALSE),IF(ISNA(EO83),0,IF((EO82&lt;EQ$44),IF((EO83&lt;EQ$44),(((ER83^2)+((EO83-EO82)^2))^0.5),(((ER83^2)+((EQ$44-EO82)^2))^0.5)),IF((EO83&lt;EQ$44),(((ER83^2)+((EQ$44-EO83)^2))^0.5),0))),0),0))</f>
        <v>0</v>
      </c>
      <c s="588" r="EU83">
        <f>IF(ISNUMBER((EO83*EO82)),IF((EO82&gt;=EA$148),IF((EO83&lt;EA$148),1,0),IF((EO83&gt;=EA$148),IF((EO82&lt;EA$148),1,0),0)),0)</f>
        <v>0</v>
      </c>
      <c s="588" r="EV83">
        <f>IF(ISNA((EO83*EO82)),0,(IF((EN83&lt;EN82),-1,1)*(IF(ISNA(EO83),0,IF((EO82&lt;EA$148),IF((EO83&lt;EA$148),(((EN83-EN82)^2)^0.5),(((((EA$148-EO82)*(EN83-EN82))/(EO83-EO82))^2)^0.5)),IF((EO83&lt;EA$148),(((((EA$148-EO83)*(EN83-EN82))/(EO82-EO83))^2)^0.5),0))))))</f>
        <v>0</v>
      </c>
      <c s="441" r="EW83">
        <f>IF((ES83&gt;0),(MAX(EW$47:EW82)+1),0)</f>
        <v>0</v>
      </c>
      <c s="388" r="EX83"/>
      <c s="406" r="EY83"/>
      <c s="886" r="EZ83"/>
      <c s="886" r="FA83"/>
      <c s="886" r="FB83"/>
      <c s="886" r="FC83"/>
      <c s="418" r="FD83"/>
      <c s="550" r="FE83"/>
      <c s="550" r="FF83"/>
      <c t="str" s="620" r="FG83">
        <f>IF((COUNT(FF83:FF$146,FH83:FH$146)=0),NA(),IF(ISBLANK(FF83),FG82,(FG82+(FF83-FH82))))</f>
        <v>#N/A:explicit</v>
      </c>
      <c s="550" r="FH83"/>
      <c t="str" s="620" r="FI83">
        <f>IF(OR(ISBLANK(FH83),ISNUMBER(FF84)),NA(),(FG83-FH83))</f>
        <v>#N/A:explicit</v>
      </c>
      <c t="b" s="895" r="FJ83">
        <v>0</v>
      </c>
      <c s="631" r="FK83"/>
      <c t="str" s="309" r="FL83">
        <f>IF((COUNT(FE83:FE$146)=0),NA(),IF(ISBLANK(FE83),IF(ISBLANK(FE82),MAX(FE$46:FE83),FE82),FE83))</f>
        <v>#N/A:explicit</v>
      </c>
      <c t="str" s="861" r="FM83">
        <f>IF(ISNA(FI83),IF(ISNUMBER(FL83),FM82,NA()),FI83)</f>
        <v>#N/A:explicit</v>
      </c>
      <c s="861" r="FN83">
        <f>IF(ISNUMBER(FM83),FM83,(FG$46+1000))</f>
        <v>1000</v>
      </c>
      <c t="str" s="588" r="FO83">
        <f>IF((FJ83=TRUE),NA(),IF((FO$44=(FG$46-MAX(FH$46:FH$146))),NA(),FO$44))</f>
        <v>#N/A:explicit</v>
      </c>
      <c s="588" r="FP83">
        <f>IF((ISNA(((FM83*FL83)*FM82))),0,(IF((FL83&lt;FL82),-1,1)*(IF((FJ82=FALSE),IF((FJ83=FALSE),IF(ISNA(FM83),0,IF((FM82&lt;FO$44),IF((FM83&lt;FO$44),(((FL83-FL82)^2)^0.5),(((((FO$44-FM82)*(FL83-FL82))/(FM83-FM82))^2)^0.5)),IF((FM83&lt;FO$44),(((((FO$44-FM83)*(FL83-FL82))/(FM82-FM83))^2)^0.5),0))),0),0))))</f>
        <v>0</v>
      </c>
      <c s="588" r="FQ83">
        <f>IF(ISNA((FM83*FM82)),0,IF((FJ82=FALSE),IF((FJ83=FALSE),IF(ISNA(FI83),0,IF((FM82&lt;FO$44),IF((FM83&lt;FO$44),((FO$44-((FM82+FM83)*0.5))*FP83),(((FO$44-FM82)*0.5)*FP83)),IF((FM83&lt;FO$44),(((FO$44-FM83)*0.5)*FP83),0))),0),0))</f>
        <v>0</v>
      </c>
      <c s="588" r="FR83">
        <f>IF(ISNA((FM83*FM82)),0,IF((FJ82=FALSE),IF((FJ83=FALSE),IF(ISNA(FM83),0,IF((FM82&lt;FO$44),IF((FM83&lt;FO$44),(((FP83^2)+((FM83-FM82)^2))^0.5),(((FP83^2)+((FO$44-FM82)^2))^0.5)),IF((FM83&lt;FO$44),(((FP83^2)+((FO$44-FM83)^2))^0.5),0))),0),0))</f>
        <v>0</v>
      </c>
      <c s="588" r="FS83">
        <f>IF(ISNUMBER((FM83*FM82)),IF((FM82&gt;=EY$148),IF((FM83&lt;EY$148),1,0),IF((FM83&gt;=EY$148),IF((FM82&lt;EY$148),1,0),0)),0)</f>
        <v>0</v>
      </c>
      <c s="588" r="FT83">
        <f>IF(ISNA((FM83*FM82)),0,(IF((FL83&lt;FL82),-1,1)*(IF(ISNA(FM83),0,IF((FM82&lt;EY$148),IF((FM83&lt;EY$148),(((FL83-FL82)^2)^0.5),(((((EY$148-FM82)*(FL83-FL82))/(FM83-FM82))^2)^0.5)),IF((FM83&lt;EY$148),(((((EY$148-FM83)*(FL83-FL82))/(FM82-FM83))^2)^0.5),0))))))</f>
        <v>0</v>
      </c>
      <c s="441" r="FU83">
        <f>IF((FQ83&gt;0),(MAX(FU$47:FU82)+1),0)</f>
        <v>0</v>
      </c>
      <c s="222" r="FV83"/>
      <c s="125" r="FW83"/>
      <c s="125" r="FX83"/>
      <c s="125" r="FY83"/>
      <c s="125" r="FZ83"/>
      <c s="125" r="GA83"/>
      <c s="125" r="GB83"/>
      <c s="125" r="GC83"/>
      <c s="125" r="GD83"/>
      <c s="125" r="GE83"/>
      <c s="125" r="GF83"/>
      <c s="125" r="GG83"/>
      <c s="125" r="GH83"/>
      <c s="125" r="GI83"/>
      <c s="125" r="GJ83"/>
      <c s="125" r="GK83"/>
      <c s="761" r="GL83"/>
      <c s="125" r="GM83"/>
      <c s="761" r="GN83"/>
      <c s="761" r="GO83"/>
      <c s="761" r="GP83"/>
      <c s="125" r="GQ83"/>
      <c s="125" r="GR83"/>
      <c s="125" r="GS83"/>
      <c s="125" r="GT83"/>
      <c s="125" r="GU83"/>
      <c s="125" r="GV83"/>
      <c s="125" r="GW83"/>
      <c s="125" r="GX83"/>
      <c s="125" r="GY83"/>
      <c s="125" r="GZ83"/>
      <c s="125" r="HA83"/>
      <c s="125" r="HB83"/>
    </row>
    <row customHeight="1" r="84" ht="13.5">
      <c s="822" r="A84"/>
      <c s="908" r="B84"/>
      <c t="s" s="812" r="C84">
        <v>43</v>
      </c>
      <c t="str" s="582" r="D84">
        <f>Summary!$N$20</f>
        <v>---</v>
      </c>
      <c s="551" r="E84"/>
      <c s="551" r="F84"/>
      <c s="551" r="G84"/>
      <c s="671" r="H84"/>
      <c s="51" r="I84"/>
      <c s="822" r="J84"/>
      <c s="406" r="K84"/>
      <c s="886" r="L84"/>
      <c s="886" r="M84"/>
      <c s="886" r="N84"/>
      <c s="886" r="O84"/>
      <c s="418" r="P84"/>
      <c s="550" r="Q84"/>
      <c s="550" r="R84"/>
      <c t="str" s="620" r="S84">
        <f>IF((COUNT(R84:R$146,T84:T$146)=0),NA(),IF(ISBLANK(R84),S83,(S83+(R84-T83))))</f>
        <v>#N/A:explicit</v>
      </c>
      <c s="550" r="T84"/>
      <c t="str" s="620" r="U84">
        <f>IF(OR(ISBLANK(T84),ISNUMBER(R85)),NA(),(S84-T84))</f>
        <v>#N/A:explicit</v>
      </c>
      <c t="b" s="895" r="V84">
        <v>0</v>
      </c>
      <c s="631" r="W84"/>
      <c t="str" s="309" r="X84">
        <f>IF((COUNT(Q84:Q$146)=0),NA(),IF(ISBLANK(Q84),IF(ISBLANK(Q83),MAX(Q$46:Q84),Q83),Q84))</f>
        <v>#N/A:explicit</v>
      </c>
      <c t="str" s="861" r="Y84">
        <f>IF(ISNA(U84),IF(ISNUMBER(X84),Y83,NA()),U84)</f>
        <v>#N/A:explicit</v>
      </c>
      <c s="861" r="Z84">
        <f>IF(ISNUMBER(Y84),Y84,(S$46+1000))</f>
        <v>1000</v>
      </c>
      <c t="str" s="588" r="AA84">
        <f>IF((V84=TRUE),NA(),IF((AA$44=(S$46-MAX(T$46:T$146))),NA(),AA$44))</f>
        <v>#N/A:explicit</v>
      </c>
      <c s="588" r="AB84">
        <f>IF((ISNA(((Y84*X84)*Y83))),0,(IF((X84&lt;X83),-1,1)*(IF((V83=FALSE),IF((V84=FALSE),IF(ISNA(Y84),0,IF((Y83&lt;AA$44),IF((Y84&lt;AA$44),(((X84-X83)^2)^0.5),(((((AA$44-Y83)*(X84-X83))/(Y84-Y83))^2)^0.5)),IF((Y84&lt;AA$44),(((((AA$44-Y84)*(X84-X83))/(Y83-Y84))^2)^0.5),0))),0),0))))</f>
        <v>0</v>
      </c>
      <c s="588" r="AC84">
        <f>IF(ISNA((Y84*Y83)),0,IF((V83=FALSE),IF((V84=FALSE),IF(ISNA(U84),0,IF((Y83&lt;AA$44),IF((Y84&lt;AA$44),((AA$44-((Y83+Y84)*0.5))*AB84),(((AA$44-Y83)*0.5)*AB84)),IF((Y84&lt;AA$44),(((AA$44-Y84)*0.5)*AB84),0))),0),0))</f>
        <v>0</v>
      </c>
      <c s="588" r="AD84">
        <f>IF(ISNA((Y84*Y83)),0,IF((V83=FALSE),IF((V84=FALSE),IF(ISNA(Y84),0,IF((Y83&lt;AA$44),IF((Y84&lt;AA$44),(((AB84^2)+((Y84-Y83)^2))^0.5),(((AB84^2)+((AA$44-Y83)^2))^0.5)),IF((Y84&lt;AA$44),(((AB84^2)+((AA$44-Y84)^2))^0.5),0))),0),0))</f>
        <v>0</v>
      </c>
      <c s="588" r="AE84">
        <f>IF(ISNUMBER((Y84*Y83)),IF((Y83&gt;=K$148),IF((Y84&lt;K$148),1,0),IF((Y84&gt;=K$148),IF((Y83&lt;K$148),1,0),0)),0)</f>
        <v>0</v>
      </c>
      <c s="588" r="AF84">
        <f>IF(ISNA((Y84*Y83)),0,(IF((X84&lt;X83),-1,1)*(IF(ISNA(Y84),0,IF((Y83&lt;K$148),IF((Y84&lt;K$148),(((X84-X83)^2)^0.5),(((((K$148-Y83)*(X84-X83))/(Y84-Y83))^2)^0.5)),IF((Y84&lt;K$148),(((((K$148-Y84)*(X84-X83))/(Y83-Y84))^2)^0.5),0))))))</f>
        <v>0</v>
      </c>
      <c s="441" r="AG84">
        <f>IF((AC84&gt;0),(MAX(AG$47:AG83)+1),0)</f>
        <v>0</v>
      </c>
      <c s="388" r="AH84"/>
      <c s="406" r="AI84"/>
      <c s="886" r="AJ84"/>
      <c s="886" r="AK84"/>
      <c s="886" r="AL84"/>
      <c s="886" r="AM84"/>
      <c s="418" r="AN84"/>
      <c s="550" r="AO84"/>
      <c s="550" r="AP84"/>
      <c t="str" s="620" r="AQ84">
        <f>IF((COUNT(AP84:AP$146,AR84:AR$146)=0),NA(),IF(ISBLANK(AP84),AQ83,(AQ83+(AP84-AR83))))</f>
        <v>#N/A:explicit</v>
      </c>
      <c s="550" r="AR84"/>
      <c t="str" s="620" r="AS84">
        <f>IF(OR(ISBLANK(AR84),ISNUMBER(AP85)),NA(),(AQ84-AR84))</f>
        <v>#N/A:explicit</v>
      </c>
      <c t="b" s="895" r="AT84">
        <v>0</v>
      </c>
      <c s="631" r="AU84"/>
      <c t="str" s="309" r="AV84">
        <f>IF((COUNT(AO84:AO$146)=0),NA(),IF(ISBLANK(AO84),IF(ISBLANK(AO83),MAX(AO$46:AO84),AO83),AO84))</f>
        <v>#N/A:explicit</v>
      </c>
      <c t="str" s="861" r="AW84">
        <f>IF(ISNA(AS84),IF(ISNUMBER(AV84),AW83,NA()),AS84)</f>
        <v>#N/A:explicit</v>
      </c>
      <c s="861" r="AX84">
        <f>IF(ISNUMBER(AW84),AW84,(AQ$46+1000))</f>
        <v>1000</v>
      </c>
      <c t="str" s="588" r="AY84">
        <f>IF((AT84=TRUE),NA(),IF((AY$44=(AQ$46-MAX(AR$46:AR$146))),NA(),AY$44))</f>
        <v>#N/A:explicit</v>
      </c>
      <c s="588" r="AZ84">
        <f>IF((ISNA(((AW84*AV84)*AW83))),0,(IF((AV84&lt;AV83),-1,1)*(IF((AT83=FALSE),IF((AT84=FALSE),IF(ISNA(AW84),0,IF((AW83&lt;AY$44),IF((AW84&lt;AY$44),(((AV84-AV83)^2)^0.5),(((((AY$44-AW83)*(AV84-AV83))/(AW84-AW83))^2)^0.5)),IF((AW84&lt;AY$44),(((((AY$44-AW84)*(AV84-AV83))/(AW83-AW84))^2)^0.5),0))),0),0))))</f>
        <v>0</v>
      </c>
      <c s="588" r="BA84">
        <f>IF(ISNA((AW84*AW83)),0,IF((AT83=FALSE),IF((AT84=FALSE),IF(ISNA(AS84),0,IF((AW83&lt;AY$44),IF((AW84&lt;AY$44),((AY$44-((AW83+AW84)*0.5))*AZ84),(((AY$44-AW83)*0.5)*AZ84)),IF((AW84&lt;AY$44),(((AY$44-AW84)*0.5)*AZ84),0))),0),0))</f>
        <v>0</v>
      </c>
      <c s="588" r="BB84">
        <f>IF(ISNA((AW84*AW83)),0,IF((AT83=FALSE),IF((AT84=FALSE),IF(ISNA(AW84),0,IF((AW83&lt;AY$44),IF((AW84&lt;AY$44),(((AZ84^2)+((AW84-AW83)^2))^0.5),(((AZ84^2)+((AY$44-AW83)^2))^0.5)),IF((AW84&lt;AY$44),(((AZ84^2)+((AY$44-AW84)^2))^0.5),0))),0),0))</f>
        <v>0</v>
      </c>
      <c s="588" r="BC84">
        <f>IF(ISNUMBER((AW84*AW83)),IF((AW83&gt;=AI$148),IF((AW84&lt;AI$148),1,0),IF((AW84&gt;=AI$148),IF((AW83&lt;AI$148),1,0),0)),0)</f>
        <v>0</v>
      </c>
      <c s="588" r="BD84">
        <f>IF(ISNA((AW84*AW83)),0,(IF((AV84&lt;AV83),-1,1)*(IF(ISNA(AW84),0,IF((AW83&lt;AI$148),IF((AW84&lt;AI$148),(((AV84-AV83)^2)^0.5),(((((AI$148-AW83)*(AV84-AV83))/(AW84-AW83))^2)^0.5)),IF((AW84&lt;AI$148),(((((AI$148-AW84)*(AV84-AV83))/(AW83-AW84))^2)^0.5),0))))))</f>
        <v>0</v>
      </c>
      <c s="441" r="BE84">
        <f>IF((BA84&gt;0),(MAX(BE$47:BE83)+1),0)</f>
        <v>0</v>
      </c>
      <c s="388" r="BF84"/>
      <c s="406" r="BG84"/>
      <c s="886" r="BH84"/>
      <c s="886" r="BI84"/>
      <c s="886" r="BJ84"/>
      <c s="886" r="BK84"/>
      <c s="418" r="BL84"/>
      <c s="550" r="BM84"/>
      <c s="550" r="BN84"/>
      <c t="str" s="620" r="BO84">
        <f>IF((COUNT(BN84:BN$146,BP84:BP$146)=0),NA(),IF(ISBLANK(BN84),BO83,(BO83+(BN84-BP83))))</f>
        <v>#N/A:explicit</v>
      </c>
      <c s="550" r="BP84"/>
      <c t="str" s="620" r="BQ84">
        <f>IF(OR(ISBLANK(BP84),ISNUMBER(BN85)),NA(),(BO84-BP84))</f>
        <v>#N/A:explicit</v>
      </c>
      <c t="b" s="895" r="BR84">
        <v>0</v>
      </c>
      <c s="631" r="BS84"/>
      <c t="str" s="309" r="BT84">
        <f>IF((COUNT(BM84:BM$146)=0),NA(),IF(ISBLANK(BM84),IF(ISBLANK(BM83),MAX(BM$46:BM84),BM83),BM84))</f>
        <v>#N/A:explicit</v>
      </c>
      <c t="str" s="861" r="BU84">
        <f>IF(ISNA(BQ84),IF(ISNUMBER(BT84),BU83,NA()),BQ84)</f>
        <v>#N/A:explicit</v>
      </c>
      <c s="861" r="BV84">
        <f>IF(ISNUMBER(BU84),BU84,(BO$46+1000))</f>
        <v>1000</v>
      </c>
      <c t="str" s="588" r="BW84">
        <f>IF((BR84=TRUE),NA(),IF((BW$44=(BO$46-MAX(BP$46:BP$146))),NA(),BW$44))</f>
        <v>#N/A:explicit</v>
      </c>
      <c s="588" r="BX84">
        <f>IF((ISNA(((BU84*BT84)*BU83))),0,(IF((BT84&lt;BT83),-1,1)*(IF((BR83=FALSE),IF((BR84=FALSE),IF(ISNA(BU84),0,IF((BU83&lt;BW$44),IF((BU84&lt;BW$44),(((BT84-BT83)^2)^0.5),(((((BW$44-BU83)*(BT84-BT83))/(BU84-BU83))^2)^0.5)),IF((BU84&lt;BW$44),(((((BW$44-BU84)*(BT84-BT83))/(BU83-BU84))^2)^0.5),0))),0),0))))</f>
        <v>0</v>
      </c>
      <c s="588" r="BY84">
        <f>IF(ISNA((BU84*BU83)),0,IF((BR83=FALSE),IF((BR84=FALSE),IF(ISNA(BQ84),0,IF((BU83&lt;BW$44),IF((BU84&lt;BW$44),((BW$44-((BU83+BU84)*0.5))*BX84),(((BW$44-BU83)*0.5)*BX84)),IF((BU84&lt;BW$44),(((BW$44-BU84)*0.5)*BX84),0))),0),0))</f>
        <v>0</v>
      </c>
      <c s="588" r="BZ84">
        <f>IF(ISNA((BU84*BU83)),0,IF((BR83=FALSE),IF((BR84=FALSE),IF(ISNA(BU84),0,IF((BU83&lt;BW$44),IF((BU84&lt;BW$44),(((BX84^2)+((BU84-BU83)^2))^0.5),(((BX84^2)+((BW$44-BU83)^2))^0.5)),IF((BU84&lt;BW$44),(((BX84^2)+((BW$44-BU84)^2))^0.5),0))),0),0))</f>
        <v>0</v>
      </c>
      <c s="588" r="CA84">
        <f>IF(ISNUMBER((BU84*BU83)),IF((BU83&gt;=BG$148),IF((BU84&lt;BG$148),1,0),IF((BU84&gt;=BG$148),IF((BU83&lt;BG$148),1,0),0)),0)</f>
        <v>0</v>
      </c>
      <c s="588" r="CB84">
        <f>IF(ISNA((BU84*BU83)),0,(IF((BT84&lt;BT83),-1,1)*(IF(ISNA(BU84),0,IF((BU83&lt;BG$148),IF((BU84&lt;BG$148),(((BT84-BT83)^2)^0.5),(((((BG$148-BU83)*(BT84-BT83))/(BU84-BU83))^2)^0.5)),IF((BU84&lt;BG$148),(((((BG$148-BU84)*(BT84-BT83))/(BU83-BU84))^2)^0.5),0))))))</f>
        <v>0</v>
      </c>
      <c s="441" r="CC84">
        <f>IF((BY84&gt;0),(MAX(CC$47:CC83)+1),0)</f>
        <v>0</v>
      </c>
      <c s="388" r="CD84"/>
      <c s="406" r="CE84"/>
      <c s="886" r="CF84"/>
      <c s="886" r="CG84"/>
      <c s="886" r="CH84"/>
      <c s="886" r="CI84"/>
      <c s="418" r="CJ84"/>
      <c s="550" r="CK84"/>
      <c s="550" r="CL84"/>
      <c t="str" s="620" r="CM84">
        <f>IF((COUNT(CL84:CL$146,CN84:CN$146)=0),NA(),IF(ISBLANK(CL84),CM83,(CM83+(CL84-CN83))))</f>
        <v>#N/A:explicit</v>
      </c>
      <c s="550" r="CN84"/>
      <c t="str" s="620" r="CO84">
        <f>IF(OR(ISBLANK(CN84),ISNUMBER(CL85)),NA(),(CM84-CN84))</f>
        <v>#N/A:explicit</v>
      </c>
      <c t="b" s="895" r="CP84">
        <v>0</v>
      </c>
      <c s="631" r="CQ84"/>
      <c t="str" s="309" r="CR84">
        <f>IF((COUNT(CK84:CK$146)=0),NA(),IF(ISBLANK(CK84),IF(ISBLANK(CK83),MAX(CK$46:CK84),CK83),CK84))</f>
        <v>#N/A:explicit</v>
      </c>
      <c t="str" s="861" r="CS84">
        <f>IF(ISNA(CO84),IF(ISNUMBER(CR84),CS83,NA()),CO84)</f>
        <v>#N/A:explicit</v>
      </c>
      <c s="861" r="CT84">
        <f>IF(ISNUMBER(CS84),CS84,(CM$46+1000))</f>
        <v>1000</v>
      </c>
      <c t="str" s="588" r="CU84">
        <f>IF((CP84=TRUE),NA(),IF((CU$44=(CM$46-MAX(CN$46:CN$146))),NA(),CU$44))</f>
        <v>#N/A:explicit</v>
      </c>
      <c s="588" r="CV84">
        <f>IF((ISNA(((CS84*CR84)*CS83))),0,(IF((CR84&lt;CR83),-1,1)*(IF((CP83=FALSE),IF((CP84=FALSE),IF(ISNA(CS84),0,IF((CS83&lt;CU$44),IF((CS84&lt;CU$44),(((CR84-CR83)^2)^0.5),(((((CU$44-CS83)*(CR84-CR83))/(CS84-CS83))^2)^0.5)),IF((CS84&lt;CU$44),(((((CU$44-CS84)*(CR84-CR83))/(CS83-CS84))^2)^0.5),0))),0),0))))</f>
        <v>0</v>
      </c>
      <c s="588" r="CW84">
        <f>IF(ISNA((CS84*CS83)),0,IF((CP83=FALSE),IF((CP84=FALSE),IF(ISNA(CO84),0,IF((CS83&lt;CU$44),IF((CS84&lt;CU$44),((CU$44-((CS83+CS84)*0.5))*CV84),(((CU$44-CS83)*0.5)*CV84)),IF((CS84&lt;CU$44),(((CU$44-CS84)*0.5)*CV84),0))),0),0))</f>
        <v>0</v>
      </c>
      <c s="588" r="CX84">
        <f>IF(ISNA((CS84*CS83)),0,IF((CP83=FALSE),IF((CP84=FALSE),IF(ISNA(CS84),0,IF((CS83&lt;CU$44),IF((CS84&lt;CU$44),(((CV84^2)+((CS84-CS83)^2))^0.5),(((CV84^2)+((CU$44-CS83)^2))^0.5)),IF((CS84&lt;CU$44),(((CV84^2)+((CU$44-CS84)^2))^0.5),0))),0),0))</f>
        <v>0</v>
      </c>
      <c s="588" r="CY84">
        <f>IF(ISNUMBER((CS84*CS83)),IF((CS83&gt;=CE$148),IF((CS84&lt;CE$148),1,0),IF((CS84&gt;=CE$148),IF((CS83&lt;CE$148),1,0),0)),0)</f>
        <v>0</v>
      </c>
      <c s="588" r="CZ84">
        <f>IF(ISNA((CS84*CS83)),0,(IF((CR84&lt;CR83),-1,1)*(IF(ISNA(CS84),0,IF((CS83&lt;CE$148),IF((CS84&lt;CE$148),(((CR84-CR83)^2)^0.5),(((((CE$148-CS83)*(CR84-CR83))/(CS84-CS83))^2)^0.5)),IF((CS84&lt;CE$148),(((((CE$148-CS84)*(CR84-CR83))/(CS83-CS84))^2)^0.5),0))))))</f>
        <v>0</v>
      </c>
      <c s="441" r="DA84">
        <f>IF((CW84&gt;0),(MAX(DA$47:DA83)+1),0)</f>
        <v>0</v>
      </c>
      <c s="388" r="DB84"/>
      <c s="406" r="DC84"/>
      <c s="886" r="DD84"/>
      <c s="886" r="DE84"/>
      <c s="886" r="DF84"/>
      <c s="886" r="DG84"/>
      <c s="418" r="DH84"/>
      <c s="550" r="DI84"/>
      <c s="550" r="DJ84"/>
      <c t="str" s="620" r="DK84">
        <f>IF((COUNT(DJ84:DJ$146,DL84:DL$146)=0),NA(),IF(ISBLANK(DJ84),DK83,(DK83+(DJ84-DL83))))</f>
        <v>#N/A:explicit</v>
      </c>
      <c s="550" r="DL84"/>
      <c t="str" s="620" r="DM84">
        <f>IF(OR(ISBLANK(DL84),ISNUMBER(DJ85)),NA(),(DK84-DL84))</f>
        <v>#N/A:explicit</v>
      </c>
      <c t="b" s="895" r="DN84">
        <v>0</v>
      </c>
      <c s="631" r="DO84"/>
      <c t="str" s="309" r="DP84">
        <f>IF((COUNT(DI84:DI$146)=0),NA(),IF(ISBLANK(DI84),IF(ISBLANK(DI83),MAX(DI$46:DI84),DI83),DI84))</f>
        <v>#N/A:explicit</v>
      </c>
      <c t="str" s="861" r="DQ84">
        <f>IF(ISNA(DM84),IF(ISNUMBER(DP84),DQ83,NA()),DM84)</f>
        <v>#N/A:explicit</v>
      </c>
      <c s="861" r="DR84">
        <f>IF(ISNUMBER(DQ84),DQ84,(DK$46+1000))</f>
        <v>1000</v>
      </c>
      <c t="str" s="588" r="DS84">
        <f>IF((DN84=TRUE),NA(),IF((DS$44=(DK$46-MAX(DL$46:DL$146))),NA(),DS$44))</f>
        <v>#N/A:explicit</v>
      </c>
      <c s="588" r="DT84">
        <f>IF((ISNA(((DQ84*DP84)*DQ83))),0,(IF((DP84&lt;DP83),-1,1)*(IF((DN83=FALSE),IF((DN84=FALSE),IF(ISNA(DQ84),0,IF((DQ83&lt;DS$44),IF((DQ84&lt;DS$44),(((DP84-DP83)^2)^0.5),(((((DS$44-DQ83)*(DP84-DP83))/(DQ84-DQ83))^2)^0.5)),IF((DQ84&lt;DS$44),(((((DS$44-DQ84)*(DP84-DP83))/(DQ83-DQ84))^2)^0.5),0))),0),0))))</f>
        <v>0</v>
      </c>
      <c s="588" r="DU84">
        <f>IF(ISNA((DQ84*DQ83)),0,IF((DN83=FALSE),IF((DN84=FALSE),IF(ISNA(DM84),0,IF((DQ83&lt;DS$44),IF((DQ84&lt;DS$44),((DS$44-((DQ83+DQ84)*0.5))*DT84),(((DS$44-DQ83)*0.5)*DT84)),IF((DQ84&lt;DS$44),(((DS$44-DQ84)*0.5)*DT84),0))),0),0))</f>
        <v>0</v>
      </c>
      <c s="588" r="DV84">
        <f>IF(ISNA((DQ84*DQ83)),0,IF((DN83=FALSE),IF((DN84=FALSE),IF(ISNA(DQ84),0,IF((DQ83&lt;DS$44),IF((DQ84&lt;DS$44),(((DT84^2)+((DQ84-DQ83)^2))^0.5),(((DT84^2)+((DS$44-DQ83)^2))^0.5)),IF((DQ84&lt;DS$44),(((DT84^2)+((DS$44-DQ84)^2))^0.5),0))),0),0))</f>
        <v>0</v>
      </c>
      <c s="588" r="DW84">
        <f>IF(ISNUMBER((DQ84*DQ83)),IF((DQ83&gt;=DC$148),IF((DQ84&lt;DC$148),1,0),IF((DQ84&gt;=DC$148),IF((DQ83&lt;DC$148),1,0),0)),0)</f>
        <v>0</v>
      </c>
      <c s="588" r="DX84">
        <f>IF(ISNA((DQ84*DQ83)),0,(IF((DP84&lt;DP83),-1,1)*(IF(ISNA(DQ84),0,IF((DQ83&lt;DC$148),IF((DQ84&lt;DC$148),(((DP84-DP83)^2)^0.5),(((((DC$148-DQ83)*(DP84-DP83))/(DQ84-DQ83))^2)^0.5)),IF((DQ84&lt;DC$148),(((((DC$148-DQ84)*(DP84-DP83))/(DQ83-DQ84))^2)^0.5),0))))))</f>
        <v>0</v>
      </c>
      <c s="441" r="DY84">
        <f>IF((DU84&gt;0),(MAX(DY$47:DY83)+1),0)</f>
        <v>0</v>
      </c>
      <c s="388" r="DZ84"/>
      <c s="406" r="EA84"/>
      <c s="886" r="EB84"/>
      <c s="886" r="EC84"/>
      <c s="886" r="ED84"/>
      <c s="886" r="EE84"/>
      <c s="418" r="EF84"/>
      <c s="550" r="EG84"/>
      <c s="550" r="EH84"/>
      <c t="str" s="620" r="EI84">
        <f>IF((COUNT(EH84:EH$146,EJ84:EJ$146)=0),NA(),IF(ISBLANK(EH84),EI83,(EI83+(EH84-EJ83))))</f>
        <v>#N/A:explicit</v>
      </c>
      <c s="550" r="EJ84"/>
      <c t="str" s="620" r="EK84">
        <f>IF(OR(ISBLANK(EJ84),ISNUMBER(EH85)),NA(),(EI84-EJ84))</f>
        <v>#N/A:explicit</v>
      </c>
      <c t="b" s="895" r="EL84">
        <v>0</v>
      </c>
      <c s="631" r="EM84"/>
      <c t="str" s="309" r="EN84">
        <f>IF((COUNT(EG84:EG$146)=0),NA(),IF(ISBLANK(EG84),IF(ISBLANK(EG83),MAX(EG$46:EG84),EG83),EG84))</f>
        <v>#N/A:explicit</v>
      </c>
      <c t="str" s="861" r="EO84">
        <f>IF(ISNA(EK84),IF(ISNUMBER(EN84),EO83,NA()),EK84)</f>
        <v>#N/A:explicit</v>
      </c>
      <c s="861" r="EP84">
        <f>IF(ISNUMBER(EO84),EO84,(EI$46+1000))</f>
        <v>1000</v>
      </c>
      <c t="str" s="588" r="EQ84">
        <f>IF((EL84=TRUE),NA(),IF((EQ$44=(EI$46-MAX(EJ$46:EJ$146))),NA(),EQ$44))</f>
        <v>#N/A:explicit</v>
      </c>
      <c s="588" r="ER84">
        <f>IF((ISNA(((EO84*EN84)*EO83))),0,(IF((EN84&lt;EN83),-1,1)*(IF((EL83=FALSE),IF((EL84=FALSE),IF(ISNA(EO84),0,IF((EO83&lt;EQ$44),IF((EO84&lt;EQ$44),(((EN84-EN83)^2)^0.5),(((((EQ$44-EO83)*(EN84-EN83))/(EO84-EO83))^2)^0.5)),IF((EO84&lt;EQ$44),(((((EQ$44-EO84)*(EN84-EN83))/(EO83-EO84))^2)^0.5),0))),0),0))))</f>
        <v>0</v>
      </c>
      <c s="588" r="ES84">
        <f>IF(ISNA((EO84*EO83)),0,IF((EL83=FALSE),IF((EL84=FALSE),IF(ISNA(EK84),0,IF((EO83&lt;EQ$44),IF((EO84&lt;EQ$44),((EQ$44-((EO83+EO84)*0.5))*ER84),(((EQ$44-EO83)*0.5)*ER84)),IF((EO84&lt;EQ$44),(((EQ$44-EO84)*0.5)*ER84),0))),0),0))</f>
        <v>0</v>
      </c>
      <c s="588" r="ET84">
        <f>IF(ISNA((EO84*EO83)),0,IF((EL83=FALSE),IF((EL84=FALSE),IF(ISNA(EO84),0,IF((EO83&lt;EQ$44),IF((EO84&lt;EQ$44),(((ER84^2)+((EO84-EO83)^2))^0.5),(((ER84^2)+((EQ$44-EO83)^2))^0.5)),IF((EO84&lt;EQ$44),(((ER84^2)+((EQ$44-EO84)^2))^0.5),0))),0),0))</f>
        <v>0</v>
      </c>
      <c s="588" r="EU84">
        <f>IF(ISNUMBER((EO84*EO83)),IF((EO83&gt;=EA$148),IF((EO84&lt;EA$148),1,0),IF((EO84&gt;=EA$148),IF((EO83&lt;EA$148),1,0),0)),0)</f>
        <v>0</v>
      </c>
      <c s="588" r="EV84">
        <f>IF(ISNA((EO84*EO83)),0,(IF((EN84&lt;EN83),-1,1)*(IF(ISNA(EO84),0,IF((EO83&lt;EA$148),IF((EO84&lt;EA$148),(((EN84-EN83)^2)^0.5),(((((EA$148-EO83)*(EN84-EN83))/(EO84-EO83))^2)^0.5)),IF((EO84&lt;EA$148),(((((EA$148-EO84)*(EN84-EN83))/(EO83-EO84))^2)^0.5),0))))))</f>
        <v>0</v>
      </c>
      <c s="441" r="EW84">
        <f>IF((ES84&gt;0),(MAX(EW$47:EW83)+1),0)</f>
        <v>0</v>
      </c>
      <c s="388" r="EX84"/>
      <c s="406" r="EY84"/>
      <c s="886" r="EZ84"/>
      <c s="886" r="FA84"/>
      <c s="886" r="FB84"/>
      <c s="886" r="FC84"/>
      <c s="418" r="FD84"/>
      <c s="550" r="FE84"/>
      <c s="550" r="FF84"/>
      <c t="str" s="620" r="FG84">
        <f>IF((COUNT(FF84:FF$146,FH84:FH$146)=0),NA(),IF(ISBLANK(FF84),FG83,(FG83+(FF84-FH83))))</f>
        <v>#N/A:explicit</v>
      </c>
      <c s="550" r="FH84"/>
      <c t="str" s="620" r="FI84">
        <f>IF(OR(ISBLANK(FH84),ISNUMBER(FF85)),NA(),(FG84-FH84))</f>
        <v>#N/A:explicit</v>
      </c>
      <c t="b" s="895" r="FJ84">
        <v>0</v>
      </c>
      <c s="631" r="FK84"/>
      <c t="str" s="309" r="FL84">
        <f>IF((COUNT(FE84:FE$146)=0),NA(),IF(ISBLANK(FE84),IF(ISBLANK(FE83),MAX(FE$46:FE84),FE83),FE84))</f>
        <v>#N/A:explicit</v>
      </c>
      <c t="str" s="861" r="FM84">
        <f>IF(ISNA(FI84),IF(ISNUMBER(FL84),FM83,NA()),FI84)</f>
        <v>#N/A:explicit</v>
      </c>
      <c s="861" r="FN84">
        <f>IF(ISNUMBER(FM84),FM84,(FG$46+1000))</f>
        <v>1000</v>
      </c>
      <c t="str" s="588" r="FO84">
        <f>IF((FJ84=TRUE),NA(),IF((FO$44=(FG$46-MAX(FH$46:FH$146))),NA(),FO$44))</f>
        <v>#N/A:explicit</v>
      </c>
      <c s="588" r="FP84">
        <f>IF((ISNA(((FM84*FL84)*FM83))),0,(IF((FL84&lt;FL83),-1,1)*(IF((FJ83=FALSE),IF((FJ84=FALSE),IF(ISNA(FM84),0,IF((FM83&lt;FO$44),IF((FM84&lt;FO$44),(((FL84-FL83)^2)^0.5),(((((FO$44-FM83)*(FL84-FL83))/(FM84-FM83))^2)^0.5)),IF((FM84&lt;FO$44),(((((FO$44-FM84)*(FL84-FL83))/(FM83-FM84))^2)^0.5),0))),0),0))))</f>
        <v>0</v>
      </c>
      <c s="588" r="FQ84">
        <f>IF(ISNA((FM84*FM83)),0,IF((FJ83=FALSE),IF((FJ84=FALSE),IF(ISNA(FI84),0,IF((FM83&lt;FO$44),IF((FM84&lt;FO$44),((FO$44-((FM83+FM84)*0.5))*FP84),(((FO$44-FM83)*0.5)*FP84)),IF((FM84&lt;FO$44),(((FO$44-FM84)*0.5)*FP84),0))),0),0))</f>
        <v>0</v>
      </c>
      <c s="588" r="FR84">
        <f>IF(ISNA((FM84*FM83)),0,IF((FJ83=FALSE),IF((FJ84=FALSE),IF(ISNA(FM84),0,IF((FM83&lt;FO$44),IF((FM84&lt;FO$44),(((FP84^2)+((FM84-FM83)^2))^0.5),(((FP84^2)+((FO$44-FM83)^2))^0.5)),IF((FM84&lt;FO$44),(((FP84^2)+((FO$44-FM84)^2))^0.5),0))),0),0))</f>
        <v>0</v>
      </c>
      <c s="588" r="FS84">
        <f>IF(ISNUMBER((FM84*FM83)),IF((FM83&gt;=EY$148),IF((FM84&lt;EY$148),1,0),IF((FM84&gt;=EY$148),IF((FM83&lt;EY$148),1,0),0)),0)</f>
        <v>0</v>
      </c>
      <c s="588" r="FT84">
        <f>IF(ISNA((FM84*FM83)),0,(IF((FL84&lt;FL83),-1,1)*(IF(ISNA(FM84),0,IF((FM83&lt;EY$148),IF((FM84&lt;EY$148),(((FL84-FL83)^2)^0.5),(((((EY$148-FM83)*(FL84-FL83))/(FM84-FM83))^2)^0.5)),IF((FM84&lt;EY$148),(((((EY$148-FM84)*(FL84-FL83))/(FM83-FM84))^2)^0.5),0))))))</f>
        <v>0</v>
      </c>
      <c s="441" r="FU84">
        <f>IF((FQ84&gt;0),(MAX(FU$47:FU83)+1),0)</f>
        <v>0</v>
      </c>
      <c s="222" r="FV84"/>
      <c s="125" r="FW84"/>
      <c s="125" r="FX84"/>
      <c s="125" r="FY84"/>
      <c s="125" r="FZ84"/>
      <c s="125" r="GA84"/>
      <c s="125" r="GB84"/>
      <c s="125" r="GC84"/>
      <c s="125" r="GD84"/>
      <c s="125" r="GE84"/>
      <c s="125" r="GF84"/>
      <c s="125" r="GG84"/>
      <c s="125" r="GH84"/>
      <c s="125" r="GI84"/>
      <c s="125" r="GJ84"/>
      <c s="125" r="GK84"/>
      <c s="761" r="GL84"/>
      <c s="125" r="GM84"/>
      <c s="761" r="GN84"/>
      <c s="761" r="GO84"/>
      <c s="761" r="GP84"/>
      <c s="125" r="GQ84"/>
      <c s="125" r="GR84"/>
      <c s="125" r="GS84"/>
      <c s="125" r="GT84"/>
      <c s="125" r="GU84"/>
      <c s="125" r="GV84"/>
      <c s="125" r="GW84"/>
      <c s="125" r="GX84"/>
      <c s="125" r="GY84"/>
      <c s="125" r="GZ84"/>
      <c s="125" r="HA84"/>
      <c s="125" r="HB84"/>
    </row>
    <row customHeight="1" r="85" ht="13.5">
      <c s="822" r="A85"/>
      <c s="20" r="B85"/>
      <c t="str" s="393" r="C85">
        <f>"Drainage area "&amp;IF(H4,"(sq.km)","(sq.mi)")</f>
        <v>Drainage area (sq.km)</v>
      </c>
      <c t="str" s="662" r="D85">
        <f>Summary!$N$21</f>
        <v>---</v>
      </c>
      <c s="414" r="E85"/>
      <c s="414" r="F85"/>
      <c s="414" r="G85"/>
      <c s="397" r="H85"/>
      <c s="51" r="I85"/>
      <c s="822" r="J85"/>
      <c s="406" r="K85"/>
      <c s="886" r="L85"/>
      <c s="886" r="M85"/>
      <c s="886" r="N85"/>
      <c s="886" r="O85"/>
      <c s="418" r="P85"/>
      <c s="550" r="Q85"/>
      <c s="550" r="R85"/>
      <c t="str" s="620" r="S85">
        <f>IF((COUNT(R85:R$146,T85:T$146)=0),NA(),IF(ISBLANK(R85),S84,(S84+(R85-T84))))</f>
        <v>#N/A:explicit</v>
      </c>
      <c s="550" r="T85"/>
      <c t="str" s="620" r="U85">
        <f>IF(OR(ISBLANK(T85),ISNUMBER(R86)),NA(),(S85-T85))</f>
        <v>#N/A:explicit</v>
      </c>
      <c t="b" s="895" r="V85">
        <v>0</v>
      </c>
      <c s="631" r="W85"/>
      <c t="str" s="309" r="X85">
        <f>IF((COUNT(Q85:Q$146)=0),NA(),IF(ISBLANK(Q85),IF(ISBLANK(Q84),MAX(Q$46:Q85),Q84),Q85))</f>
        <v>#N/A:explicit</v>
      </c>
      <c t="str" s="861" r="Y85">
        <f>IF(ISNA(U85),IF(ISNUMBER(X85),Y84,NA()),U85)</f>
        <v>#N/A:explicit</v>
      </c>
      <c s="861" r="Z85">
        <f>IF(ISNUMBER(Y85),Y85,(S$46+1000))</f>
        <v>1000</v>
      </c>
      <c t="str" s="588" r="AA85">
        <f>IF((V85=TRUE),NA(),IF((AA$44=(S$46-MAX(T$46:T$146))),NA(),AA$44))</f>
        <v>#N/A:explicit</v>
      </c>
      <c s="588" r="AB85">
        <f>IF((ISNA(((Y85*X85)*Y84))),0,(IF((X85&lt;X84),-1,1)*(IF((V84=FALSE),IF((V85=FALSE),IF(ISNA(Y85),0,IF((Y84&lt;AA$44),IF((Y85&lt;AA$44),(((X85-X84)^2)^0.5),(((((AA$44-Y84)*(X85-X84))/(Y85-Y84))^2)^0.5)),IF((Y85&lt;AA$44),(((((AA$44-Y85)*(X85-X84))/(Y84-Y85))^2)^0.5),0))),0),0))))</f>
        <v>0</v>
      </c>
      <c s="588" r="AC85">
        <f>IF(ISNA((Y85*Y84)),0,IF((V84=FALSE),IF((V85=FALSE),IF(ISNA(U85),0,IF((Y84&lt;AA$44),IF((Y85&lt;AA$44),((AA$44-((Y84+Y85)*0.5))*AB85),(((AA$44-Y84)*0.5)*AB85)),IF((Y85&lt;AA$44),(((AA$44-Y85)*0.5)*AB85),0))),0),0))</f>
        <v>0</v>
      </c>
      <c s="588" r="AD85">
        <f>IF(ISNA((Y85*Y84)),0,IF((V84=FALSE),IF((V85=FALSE),IF(ISNA(Y85),0,IF((Y84&lt;AA$44),IF((Y85&lt;AA$44),(((AB85^2)+((Y85-Y84)^2))^0.5),(((AB85^2)+((AA$44-Y84)^2))^0.5)),IF((Y85&lt;AA$44),(((AB85^2)+((AA$44-Y85)^2))^0.5),0))),0),0))</f>
        <v>0</v>
      </c>
      <c s="588" r="AE85">
        <f>IF(ISNUMBER((Y85*Y84)),IF((Y84&gt;=K$148),IF((Y85&lt;K$148),1,0),IF((Y85&gt;=K$148),IF((Y84&lt;K$148),1,0),0)),0)</f>
        <v>0</v>
      </c>
      <c s="588" r="AF85">
        <f>IF(ISNA((Y85*Y84)),0,(IF((X85&lt;X84),-1,1)*(IF(ISNA(Y85),0,IF((Y84&lt;K$148),IF((Y85&lt;K$148),(((X85-X84)^2)^0.5),(((((K$148-Y84)*(X85-X84))/(Y85-Y84))^2)^0.5)),IF((Y85&lt;K$148),(((((K$148-Y85)*(X85-X84))/(Y84-Y85))^2)^0.5),0))))))</f>
        <v>0</v>
      </c>
      <c s="441" r="AG85">
        <f>IF((AC85&gt;0),(MAX(AG$47:AG84)+1),0)</f>
        <v>0</v>
      </c>
      <c s="388" r="AH85"/>
      <c s="406" r="AI85"/>
      <c s="886" r="AJ85"/>
      <c s="886" r="AK85"/>
      <c s="886" r="AL85"/>
      <c s="886" r="AM85"/>
      <c s="418" r="AN85"/>
      <c s="550" r="AO85"/>
      <c s="550" r="AP85"/>
      <c t="str" s="620" r="AQ85">
        <f>IF((COUNT(AP85:AP$146,AR85:AR$146)=0),NA(),IF(ISBLANK(AP85),AQ84,(AQ84+(AP85-AR84))))</f>
        <v>#N/A:explicit</v>
      </c>
      <c s="550" r="AR85"/>
      <c t="str" s="620" r="AS85">
        <f>IF(OR(ISBLANK(AR85),ISNUMBER(AP86)),NA(),(AQ85-AR85))</f>
        <v>#N/A:explicit</v>
      </c>
      <c t="b" s="895" r="AT85">
        <v>0</v>
      </c>
      <c s="631" r="AU85"/>
      <c t="str" s="309" r="AV85">
        <f>IF((COUNT(AO85:AO$146)=0),NA(),IF(ISBLANK(AO85),IF(ISBLANK(AO84),MAX(AO$46:AO85),AO84),AO85))</f>
        <v>#N/A:explicit</v>
      </c>
      <c t="str" s="861" r="AW85">
        <f>IF(ISNA(AS85),IF(ISNUMBER(AV85),AW84,NA()),AS85)</f>
        <v>#N/A:explicit</v>
      </c>
      <c s="861" r="AX85">
        <f>IF(ISNUMBER(AW85),AW85,(AQ$46+1000))</f>
        <v>1000</v>
      </c>
      <c t="str" s="588" r="AY85">
        <f>IF((AT85=TRUE),NA(),IF((AY$44=(AQ$46-MAX(AR$46:AR$146))),NA(),AY$44))</f>
        <v>#N/A:explicit</v>
      </c>
      <c s="588" r="AZ85">
        <f>IF((ISNA(((AW85*AV85)*AW84))),0,(IF((AV85&lt;AV84),-1,1)*(IF((AT84=FALSE),IF((AT85=FALSE),IF(ISNA(AW85),0,IF((AW84&lt;AY$44),IF((AW85&lt;AY$44),(((AV85-AV84)^2)^0.5),(((((AY$44-AW84)*(AV85-AV84))/(AW85-AW84))^2)^0.5)),IF((AW85&lt;AY$44),(((((AY$44-AW85)*(AV85-AV84))/(AW84-AW85))^2)^0.5),0))),0),0))))</f>
        <v>0</v>
      </c>
      <c s="588" r="BA85">
        <f>IF(ISNA((AW85*AW84)),0,IF((AT84=FALSE),IF((AT85=FALSE),IF(ISNA(AS85),0,IF((AW84&lt;AY$44),IF((AW85&lt;AY$44),((AY$44-((AW84+AW85)*0.5))*AZ85),(((AY$44-AW84)*0.5)*AZ85)),IF((AW85&lt;AY$44),(((AY$44-AW85)*0.5)*AZ85),0))),0),0))</f>
        <v>0</v>
      </c>
      <c s="588" r="BB85">
        <f>IF(ISNA((AW85*AW84)),0,IF((AT84=FALSE),IF((AT85=FALSE),IF(ISNA(AW85),0,IF((AW84&lt;AY$44),IF((AW85&lt;AY$44),(((AZ85^2)+((AW85-AW84)^2))^0.5),(((AZ85^2)+((AY$44-AW84)^2))^0.5)),IF((AW85&lt;AY$44),(((AZ85^2)+((AY$44-AW85)^2))^0.5),0))),0),0))</f>
        <v>0</v>
      </c>
      <c s="588" r="BC85">
        <f>IF(ISNUMBER((AW85*AW84)),IF((AW84&gt;=AI$148),IF((AW85&lt;AI$148),1,0),IF((AW85&gt;=AI$148),IF((AW84&lt;AI$148),1,0),0)),0)</f>
        <v>0</v>
      </c>
      <c s="588" r="BD85">
        <f>IF(ISNA((AW85*AW84)),0,(IF((AV85&lt;AV84),-1,1)*(IF(ISNA(AW85),0,IF((AW84&lt;AI$148),IF((AW85&lt;AI$148),(((AV85-AV84)^2)^0.5),(((((AI$148-AW84)*(AV85-AV84))/(AW85-AW84))^2)^0.5)),IF((AW85&lt;AI$148),(((((AI$148-AW85)*(AV85-AV84))/(AW84-AW85))^2)^0.5),0))))))</f>
        <v>0</v>
      </c>
      <c s="441" r="BE85">
        <f>IF((BA85&gt;0),(MAX(BE$47:BE84)+1),0)</f>
        <v>0</v>
      </c>
      <c s="388" r="BF85"/>
      <c s="406" r="BG85"/>
      <c s="886" r="BH85"/>
      <c s="886" r="BI85"/>
      <c s="886" r="BJ85"/>
      <c s="886" r="BK85"/>
      <c s="418" r="BL85"/>
      <c s="550" r="BM85"/>
      <c s="550" r="BN85"/>
      <c t="str" s="620" r="BO85">
        <f>IF((COUNT(BN85:BN$146,BP85:BP$146)=0),NA(),IF(ISBLANK(BN85),BO84,(BO84+(BN85-BP84))))</f>
        <v>#N/A:explicit</v>
      </c>
      <c s="550" r="BP85"/>
      <c t="str" s="620" r="BQ85">
        <f>IF(OR(ISBLANK(BP85),ISNUMBER(BN86)),NA(),(BO85-BP85))</f>
        <v>#N/A:explicit</v>
      </c>
      <c t="b" s="895" r="BR85">
        <v>0</v>
      </c>
      <c s="631" r="BS85"/>
      <c t="str" s="309" r="BT85">
        <f>IF((COUNT(BM85:BM$146)=0),NA(),IF(ISBLANK(BM85),IF(ISBLANK(BM84),MAX(BM$46:BM85),BM84),BM85))</f>
        <v>#N/A:explicit</v>
      </c>
      <c t="str" s="861" r="BU85">
        <f>IF(ISNA(BQ85),IF(ISNUMBER(BT85),BU84,NA()),BQ85)</f>
        <v>#N/A:explicit</v>
      </c>
      <c s="861" r="BV85">
        <f>IF(ISNUMBER(BU85),BU85,(BO$46+1000))</f>
        <v>1000</v>
      </c>
      <c t="str" s="588" r="BW85">
        <f>IF((BR85=TRUE),NA(),IF((BW$44=(BO$46-MAX(BP$46:BP$146))),NA(),BW$44))</f>
        <v>#N/A:explicit</v>
      </c>
      <c s="588" r="BX85">
        <f>IF((ISNA(((BU85*BT85)*BU84))),0,(IF((BT85&lt;BT84),-1,1)*(IF((BR84=FALSE),IF((BR85=FALSE),IF(ISNA(BU85),0,IF((BU84&lt;BW$44),IF((BU85&lt;BW$44),(((BT85-BT84)^2)^0.5),(((((BW$44-BU84)*(BT85-BT84))/(BU85-BU84))^2)^0.5)),IF((BU85&lt;BW$44),(((((BW$44-BU85)*(BT85-BT84))/(BU84-BU85))^2)^0.5),0))),0),0))))</f>
        <v>0</v>
      </c>
      <c s="588" r="BY85">
        <f>IF(ISNA((BU85*BU84)),0,IF((BR84=FALSE),IF((BR85=FALSE),IF(ISNA(BQ85),0,IF((BU84&lt;BW$44),IF((BU85&lt;BW$44),((BW$44-((BU84+BU85)*0.5))*BX85),(((BW$44-BU84)*0.5)*BX85)),IF((BU85&lt;BW$44),(((BW$44-BU85)*0.5)*BX85),0))),0),0))</f>
        <v>0</v>
      </c>
      <c s="588" r="BZ85">
        <f>IF(ISNA((BU85*BU84)),0,IF((BR84=FALSE),IF((BR85=FALSE),IF(ISNA(BU85),0,IF((BU84&lt;BW$44),IF((BU85&lt;BW$44),(((BX85^2)+((BU85-BU84)^2))^0.5),(((BX85^2)+((BW$44-BU84)^2))^0.5)),IF((BU85&lt;BW$44),(((BX85^2)+((BW$44-BU85)^2))^0.5),0))),0),0))</f>
        <v>0</v>
      </c>
      <c s="588" r="CA85">
        <f>IF(ISNUMBER((BU85*BU84)),IF((BU84&gt;=BG$148),IF((BU85&lt;BG$148),1,0),IF((BU85&gt;=BG$148),IF((BU84&lt;BG$148),1,0),0)),0)</f>
        <v>0</v>
      </c>
      <c s="588" r="CB85">
        <f>IF(ISNA((BU85*BU84)),0,(IF((BT85&lt;BT84),-1,1)*(IF(ISNA(BU85),0,IF((BU84&lt;BG$148),IF((BU85&lt;BG$148),(((BT85-BT84)^2)^0.5),(((((BG$148-BU84)*(BT85-BT84))/(BU85-BU84))^2)^0.5)),IF((BU85&lt;BG$148),(((((BG$148-BU85)*(BT85-BT84))/(BU84-BU85))^2)^0.5),0))))))</f>
        <v>0</v>
      </c>
      <c s="441" r="CC85">
        <f>IF((BY85&gt;0),(MAX(CC$47:CC84)+1),0)</f>
        <v>0</v>
      </c>
      <c s="388" r="CD85"/>
      <c s="406" r="CE85"/>
      <c s="886" r="CF85"/>
      <c s="886" r="CG85"/>
      <c s="886" r="CH85"/>
      <c s="886" r="CI85"/>
      <c s="418" r="CJ85"/>
      <c s="550" r="CK85"/>
      <c s="550" r="CL85"/>
      <c t="str" s="620" r="CM85">
        <f>IF((COUNT(CL85:CL$146,CN85:CN$146)=0),NA(),IF(ISBLANK(CL85),CM84,(CM84+(CL85-CN84))))</f>
        <v>#N/A:explicit</v>
      </c>
      <c s="550" r="CN85"/>
      <c t="str" s="620" r="CO85">
        <f>IF(OR(ISBLANK(CN85),ISNUMBER(CL86)),NA(),(CM85-CN85))</f>
        <v>#N/A:explicit</v>
      </c>
      <c t="b" s="895" r="CP85">
        <v>0</v>
      </c>
      <c s="631" r="CQ85"/>
      <c t="str" s="309" r="CR85">
        <f>IF((COUNT(CK85:CK$146)=0),NA(),IF(ISBLANK(CK85),IF(ISBLANK(CK84),MAX(CK$46:CK85),CK84),CK85))</f>
        <v>#N/A:explicit</v>
      </c>
      <c t="str" s="861" r="CS85">
        <f>IF(ISNA(CO85),IF(ISNUMBER(CR85),CS84,NA()),CO85)</f>
        <v>#N/A:explicit</v>
      </c>
      <c s="861" r="CT85">
        <f>IF(ISNUMBER(CS85),CS85,(CM$46+1000))</f>
        <v>1000</v>
      </c>
      <c t="str" s="588" r="CU85">
        <f>IF((CP85=TRUE),NA(),IF((CU$44=(CM$46-MAX(CN$46:CN$146))),NA(),CU$44))</f>
        <v>#N/A:explicit</v>
      </c>
      <c s="588" r="CV85">
        <f>IF((ISNA(((CS85*CR85)*CS84))),0,(IF((CR85&lt;CR84),-1,1)*(IF((CP84=FALSE),IF((CP85=FALSE),IF(ISNA(CS85),0,IF((CS84&lt;CU$44),IF((CS85&lt;CU$44),(((CR85-CR84)^2)^0.5),(((((CU$44-CS84)*(CR85-CR84))/(CS85-CS84))^2)^0.5)),IF((CS85&lt;CU$44),(((((CU$44-CS85)*(CR85-CR84))/(CS84-CS85))^2)^0.5),0))),0),0))))</f>
        <v>0</v>
      </c>
      <c s="588" r="CW85">
        <f>IF(ISNA((CS85*CS84)),0,IF((CP84=FALSE),IF((CP85=FALSE),IF(ISNA(CO85),0,IF((CS84&lt;CU$44),IF((CS85&lt;CU$44),((CU$44-((CS84+CS85)*0.5))*CV85),(((CU$44-CS84)*0.5)*CV85)),IF((CS85&lt;CU$44),(((CU$44-CS85)*0.5)*CV85),0))),0),0))</f>
        <v>0</v>
      </c>
      <c s="588" r="CX85">
        <f>IF(ISNA((CS85*CS84)),0,IF((CP84=FALSE),IF((CP85=FALSE),IF(ISNA(CS85),0,IF((CS84&lt;CU$44),IF((CS85&lt;CU$44),(((CV85^2)+((CS85-CS84)^2))^0.5),(((CV85^2)+((CU$44-CS84)^2))^0.5)),IF((CS85&lt;CU$44),(((CV85^2)+((CU$44-CS85)^2))^0.5),0))),0),0))</f>
        <v>0</v>
      </c>
      <c s="588" r="CY85">
        <f>IF(ISNUMBER((CS85*CS84)),IF((CS84&gt;=CE$148),IF((CS85&lt;CE$148),1,0),IF((CS85&gt;=CE$148),IF((CS84&lt;CE$148),1,0),0)),0)</f>
        <v>0</v>
      </c>
      <c s="588" r="CZ85">
        <f>IF(ISNA((CS85*CS84)),0,(IF((CR85&lt;CR84),-1,1)*(IF(ISNA(CS85),0,IF((CS84&lt;CE$148),IF((CS85&lt;CE$148),(((CR85-CR84)^2)^0.5),(((((CE$148-CS84)*(CR85-CR84))/(CS85-CS84))^2)^0.5)),IF((CS85&lt;CE$148),(((((CE$148-CS85)*(CR85-CR84))/(CS84-CS85))^2)^0.5),0))))))</f>
        <v>0</v>
      </c>
      <c s="441" r="DA85">
        <f>IF((CW85&gt;0),(MAX(DA$47:DA84)+1),0)</f>
        <v>0</v>
      </c>
      <c s="388" r="DB85"/>
      <c s="406" r="DC85"/>
      <c s="886" r="DD85"/>
      <c s="886" r="DE85"/>
      <c s="886" r="DF85"/>
      <c s="886" r="DG85"/>
      <c s="418" r="DH85"/>
      <c s="550" r="DI85"/>
      <c s="550" r="DJ85"/>
      <c t="str" s="620" r="DK85">
        <f>IF((COUNT(DJ85:DJ$146,DL85:DL$146)=0),NA(),IF(ISBLANK(DJ85),DK84,(DK84+(DJ85-DL84))))</f>
        <v>#N/A:explicit</v>
      </c>
      <c s="550" r="DL85"/>
      <c t="str" s="620" r="DM85">
        <f>IF(OR(ISBLANK(DL85),ISNUMBER(DJ86)),NA(),(DK85-DL85))</f>
        <v>#N/A:explicit</v>
      </c>
      <c t="b" s="895" r="DN85">
        <v>0</v>
      </c>
      <c s="631" r="DO85"/>
      <c t="str" s="309" r="DP85">
        <f>IF((COUNT(DI85:DI$146)=0),NA(),IF(ISBLANK(DI85),IF(ISBLANK(DI84),MAX(DI$46:DI85),DI84),DI85))</f>
        <v>#N/A:explicit</v>
      </c>
      <c t="str" s="861" r="DQ85">
        <f>IF(ISNA(DM85),IF(ISNUMBER(DP85),DQ84,NA()),DM85)</f>
        <v>#N/A:explicit</v>
      </c>
      <c s="861" r="DR85">
        <f>IF(ISNUMBER(DQ85),DQ85,(DK$46+1000))</f>
        <v>1000</v>
      </c>
      <c t="str" s="588" r="DS85">
        <f>IF((DN85=TRUE),NA(),IF((DS$44=(DK$46-MAX(DL$46:DL$146))),NA(),DS$44))</f>
        <v>#N/A:explicit</v>
      </c>
      <c s="588" r="DT85">
        <f>IF((ISNA(((DQ85*DP85)*DQ84))),0,(IF((DP85&lt;DP84),-1,1)*(IF((DN84=FALSE),IF((DN85=FALSE),IF(ISNA(DQ85),0,IF((DQ84&lt;DS$44),IF((DQ85&lt;DS$44),(((DP85-DP84)^2)^0.5),(((((DS$44-DQ84)*(DP85-DP84))/(DQ85-DQ84))^2)^0.5)),IF((DQ85&lt;DS$44),(((((DS$44-DQ85)*(DP85-DP84))/(DQ84-DQ85))^2)^0.5),0))),0),0))))</f>
        <v>0</v>
      </c>
      <c s="588" r="DU85">
        <f>IF(ISNA((DQ85*DQ84)),0,IF((DN84=FALSE),IF((DN85=FALSE),IF(ISNA(DM85),0,IF((DQ84&lt;DS$44),IF((DQ85&lt;DS$44),((DS$44-((DQ84+DQ85)*0.5))*DT85),(((DS$44-DQ84)*0.5)*DT85)),IF((DQ85&lt;DS$44),(((DS$44-DQ85)*0.5)*DT85),0))),0),0))</f>
        <v>0</v>
      </c>
      <c s="588" r="DV85">
        <f>IF(ISNA((DQ85*DQ84)),0,IF((DN84=FALSE),IF((DN85=FALSE),IF(ISNA(DQ85),0,IF((DQ84&lt;DS$44),IF((DQ85&lt;DS$44),(((DT85^2)+((DQ85-DQ84)^2))^0.5),(((DT85^2)+((DS$44-DQ84)^2))^0.5)),IF((DQ85&lt;DS$44),(((DT85^2)+((DS$44-DQ85)^2))^0.5),0))),0),0))</f>
        <v>0</v>
      </c>
      <c s="588" r="DW85">
        <f>IF(ISNUMBER((DQ85*DQ84)),IF((DQ84&gt;=DC$148),IF((DQ85&lt;DC$148),1,0),IF((DQ85&gt;=DC$148),IF((DQ84&lt;DC$148),1,0),0)),0)</f>
        <v>0</v>
      </c>
      <c s="588" r="DX85">
        <f>IF(ISNA((DQ85*DQ84)),0,(IF((DP85&lt;DP84),-1,1)*(IF(ISNA(DQ85),0,IF((DQ84&lt;DC$148),IF((DQ85&lt;DC$148),(((DP85-DP84)^2)^0.5),(((((DC$148-DQ84)*(DP85-DP84))/(DQ85-DQ84))^2)^0.5)),IF((DQ85&lt;DC$148),(((((DC$148-DQ85)*(DP85-DP84))/(DQ84-DQ85))^2)^0.5),0))))))</f>
        <v>0</v>
      </c>
      <c s="441" r="DY85">
        <f>IF((DU85&gt;0),(MAX(DY$47:DY84)+1),0)</f>
        <v>0</v>
      </c>
      <c s="388" r="DZ85"/>
      <c s="406" r="EA85"/>
      <c s="886" r="EB85"/>
      <c s="886" r="EC85"/>
      <c s="886" r="ED85"/>
      <c s="886" r="EE85"/>
      <c s="418" r="EF85"/>
      <c s="550" r="EG85"/>
      <c s="550" r="EH85"/>
      <c t="str" s="620" r="EI85">
        <f>IF((COUNT(EH85:EH$146,EJ85:EJ$146)=0),NA(),IF(ISBLANK(EH85),EI84,(EI84+(EH85-EJ84))))</f>
        <v>#N/A:explicit</v>
      </c>
      <c s="550" r="EJ85"/>
      <c t="str" s="620" r="EK85">
        <f>IF(OR(ISBLANK(EJ85),ISNUMBER(EH86)),NA(),(EI85-EJ85))</f>
        <v>#N/A:explicit</v>
      </c>
      <c t="b" s="895" r="EL85">
        <v>0</v>
      </c>
      <c s="631" r="EM85"/>
      <c t="str" s="309" r="EN85">
        <f>IF((COUNT(EG85:EG$146)=0),NA(),IF(ISBLANK(EG85),IF(ISBLANK(EG84),MAX(EG$46:EG85),EG84),EG85))</f>
        <v>#N/A:explicit</v>
      </c>
      <c t="str" s="861" r="EO85">
        <f>IF(ISNA(EK85),IF(ISNUMBER(EN85),EO84,NA()),EK85)</f>
        <v>#N/A:explicit</v>
      </c>
      <c s="861" r="EP85">
        <f>IF(ISNUMBER(EO85),EO85,(EI$46+1000))</f>
        <v>1000</v>
      </c>
      <c t="str" s="588" r="EQ85">
        <f>IF((EL85=TRUE),NA(),IF((EQ$44=(EI$46-MAX(EJ$46:EJ$146))),NA(),EQ$44))</f>
        <v>#N/A:explicit</v>
      </c>
      <c s="588" r="ER85">
        <f>IF((ISNA(((EO85*EN85)*EO84))),0,(IF((EN85&lt;EN84),-1,1)*(IF((EL84=FALSE),IF((EL85=FALSE),IF(ISNA(EO85),0,IF((EO84&lt;EQ$44),IF((EO85&lt;EQ$44),(((EN85-EN84)^2)^0.5),(((((EQ$44-EO84)*(EN85-EN84))/(EO85-EO84))^2)^0.5)),IF((EO85&lt;EQ$44),(((((EQ$44-EO85)*(EN85-EN84))/(EO84-EO85))^2)^0.5),0))),0),0))))</f>
        <v>0</v>
      </c>
      <c s="588" r="ES85">
        <f>IF(ISNA((EO85*EO84)),0,IF((EL84=FALSE),IF((EL85=FALSE),IF(ISNA(EK85),0,IF((EO84&lt;EQ$44),IF((EO85&lt;EQ$44),((EQ$44-((EO84+EO85)*0.5))*ER85),(((EQ$44-EO84)*0.5)*ER85)),IF((EO85&lt;EQ$44),(((EQ$44-EO85)*0.5)*ER85),0))),0),0))</f>
        <v>0</v>
      </c>
      <c s="588" r="ET85">
        <f>IF(ISNA((EO85*EO84)),0,IF((EL84=FALSE),IF((EL85=FALSE),IF(ISNA(EO85),0,IF((EO84&lt;EQ$44),IF((EO85&lt;EQ$44),(((ER85^2)+((EO85-EO84)^2))^0.5),(((ER85^2)+((EQ$44-EO84)^2))^0.5)),IF((EO85&lt;EQ$44),(((ER85^2)+((EQ$44-EO85)^2))^0.5),0))),0),0))</f>
        <v>0</v>
      </c>
      <c s="588" r="EU85">
        <f>IF(ISNUMBER((EO85*EO84)),IF((EO84&gt;=EA$148),IF((EO85&lt;EA$148),1,0),IF((EO85&gt;=EA$148),IF((EO84&lt;EA$148),1,0),0)),0)</f>
        <v>0</v>
      </c>
      <c s="588" r="EV85">
        <f>IF(ISNA((EO85*EO84)),0,(IF((EN85&lt;EN84),-1,1)*(IF(ISNA(EO85),0,IF((EO84&lt;EA$148),IF((EO85&lt;EA$148),(((EN85-EN84)^2)^0.5),(((((EA$148-EO84)*(EN85-EN84))/(EO85-EO84))^2)^0.5)),IF((EO85&lt;EA$148),(((((EA$148-EO85)*(EN85-EN84))/(EO84-EO85))^2)^0.5),0))))))</f>
        <v>0</v>
      </c>
      <c s="441" r="EW85">
        <f>IF((ES85&gt;0),(MAX(EW$47:EW84)+1),0)</f>
        <v>0</v>
      </c>
      <c s="388" r="EX85"/>
      <c s="406" r="EY85"/>
      <c s="886" r="EZ85"/>
      <c s="886" r="FA85"/>
      <c s="886" r="FB85"/>
      <c s="886" r="FC85"/>
      <c s="418" r="FD85"/>
      <c s="550" r="FE85"/>
      <c s="550" r="FF85"/>
      <c t="str" s="620" r="FG85">
        <f>IF((COUNT(FF85:FF$146,FH85:FH$146)=0),NA(),IF(ISBLANK(FF85),FG84,(FG84+(FF85-FH84))))</f>
        <v>#N/A:explicit</v>
      </c>
      <c s="550" r="FH85"/>
      <c t="str" s="620" r="FI85">
        <f>IF(OR(ISBLANK(FH85),ISNUMBER(FF86)),NA(),(FG85-FH85))</f>
        <v>#N/A:explicit</v>
      </c>
      <c t="b" s="895" r="FJ85">
        <v>0</v>
      </c>
      <c s="631" r="FK85"/>
      <c t="str" s="309" r="FL85">
        <f>IF((COUNT(FE85:FE$146)=0),NA(),IF(ISBLANK(FE85),IF(ISBLANK(FE84),MAX(FE$46:FE85),FE84),FE85))</f>
        <v>#N/A:explicit</v>
      </c>
      <c t="str" s="861" r="FM85">
        <f>IF(ISNA(FI85),IF(ISNUMBER(FL85),FM84,NA()),FI85)</f>
        <v>#N/A:explicit</v>
      </c>
      <c s="861" r="FN85">
        <f>IF(ISNUMBER(FM85),FM85,(FG$46+1000))</f>
        <v>1000</v>
      </c>
      <c t="str" s="588" r="FO85">
        <f>IF((FJ85=TRUE),NA(),IF((FO$44=(FG$46-MAX(FH$46:FH$146))),NA(),FO$44))</f>
        <v>#N/A:explicit</v>
      </c>
      <c s="588" r="FP85">
        <f>IF((ISNA(((FM85*FL85)*FM84))),0,(IF((FL85&lt;FL84),-1,1)*(IF((FJ84=FALSE),IF((FJ85=FALSE),IF(ISNA(FM85),0,IF((FM84&lt;FO$44),IF((FM85&lt;FO$44),(((FL85-FL84)^2)^0.5),(((((FO$44-FM84)*(FL85-FL84))/(FM85-FM84))^2)^0.5)),IF((FM85&lt;FO$44),(((((FO$44-FM85)*(FL85-FL84))/(FM84-FM85))^2)^0.5),0))),0),0))))</f>
        <v>0</v>
      </c>
      <c s="588" r="FQ85">
        <f>IF(ISNA((FM85*FM84)),0,IF((FJ84=FALSE),IF((FJ85=FALSE),IF(ISNA(FI85),0,IF((FM84&lt;FO$44),IF((FM85&lt;FO$44),((FO$44-((FM84+FM85)*0.5))*FP85),(((FO$44-FM84)*0.5)*FP85)),IF((FM85&lt;FO$44),(((FO$44-FM85)*0.5)*FP85),0))),0),0))</f>
        <v>0</v>
      </c>
      <c s="588" r="FR85">
        <f>IF(ISNA((FM85*FM84)),0,IF((FJ84=FALSE),IF((FJ85=FALSE),IF(ISNA(FM85),0,IF((FM84&lt;FO$44),IF((FM85&lt;FO$44),(((FP85^2)+((FM85-FM84)^2))^0.5),(((FP85^2)+((FO$44-FM84)^2))^0.5)),IF((FM85&lt;FO$44),(((FP85^2)+((FO$44-FM85)^2))^0.5),0))),0),0))</f>
        <v>0</v>
      </c>
      <c s="588" r="FS85">
        <f>IF(ISNUMBER((FM85*FM84)),IF((FM84&gt;=EY$148),IF((FM85&lt;EY$148),1,0),IF((FM85&gt;=EY$148),IF((FM84&lt;EY$148),1,0),0)),0)</f>
        <v>0</v>
      </c>
      <c s="588" r="FT85">
        <f>IF(ISNA((FM85*FM84)),0,(IF((FL85&lt;FL84),-1,1)*(IF(ISNA(FM85),0,IF((FM84&lt;EY$148),IF((FM85&lt;EY$148),(((FL85-FL84)^2)^0.5),(((((EY$148-FM84)*(FL85-FL84))/(FM85-FM84))^2)^0.5)),IF((FM85&lt;EY$148),(((((EY$148-FM85)*(FL85-FL84))/(FM84-FM85))^2)^0.5),0))))))</f>
        <v>0</v>
      </c>
      <c s="441" r="FU85">
        <f>IF((FQ85&gt;0),(MAX(FU$47:FU84)+1),0)</f>
        <v>0</v>
      </c>
      <c s="222" r="FV85"/>
      <c s="125" r="FW85"/>
      <c s="125" r="FX85"/>
      <c s="125" r="FY85"/>
      <c s="125" r="FZ85"/>
      <c s="125" r="GA85"/>
      <c s="125" r="GB85"/>
      <c s="125" r="GC85"/>
      <c s="125" r="GD85"/>
      <c s="125" r="GE85"/>
      <c s="125" r="GF85"/>
      <c s="125" r="GG85"/>
      <c s="125" r="GH85"/>
      <c s="125" r="GI85"/>
      <c s="125" r="GJ85"/>
      <c s="125" r="GK85"/>
      <c s="761" r="GL85"/>
      <c s="125" r="GM85"/>
      <c s="761" r="GN85"/>
      <c s="761" r="GO85"/>
      <c s="761" r="GP85"/>
      <c s="125" r="GQ85"/>
      <c s="125" r="GR85"/>
      <c s="125" r="GS85"/>
      <c s="125" r="GT85"/>
      <c s="125" r="GU85"/>
      <c s="125" r="GV85"/>
      <c s="125" r="GW85"/>
      <c s="125" r="GX85"/>
      <c s="125" r="GY85"/>
      <c s="125" r="GZ85"/>
      <c s="125" r="HA85"/>
      <c s="125" r="HB85"/>
    </row>
    <row customHeight="1" r="86" ht="13.5">
      <c s="822" r="A86"/>
      <c t="s" s="720" r="B86">
        <v>600</v>
      </c>
      <c s="493" r="C86"/>
      <c s="467" r="D86"/>
      <c s="467" r="E86"/>
      <c s="467" r="F86"/>
      <c t="s" s="572" r="G86">
        <v>601</v>
      </c>
      <c s="494" r="H86"/>
      <c s="51" r="I86"/>
      <c s="822" r="J86"/>
      <c s="406" r="K86"/>
      <c s="886" r="L86"/>
      <c s="886" r="M86"/>
      <c s="886" r="N86"/>
      <c s="886" r="O86"/>
      <c s="418" r="P86"/>
      <c s="550" r="Q86"/>
      <c s="550" r="R86"/>
      <c t="str" s="620" r="S86">
        <f>IF((COUNT(R86:R$146,T86:T$146)=0),NA(),IF(ISBLANK(R86),S85,(S85+(R86-T85))))</f>
        <v>#N/A:explicit</v>
      </c>
      <c s="550" r="T86"/>
      <c t="str" s="620" r="U86">
        <f>IF(OR(ISBLANK(T86),ISNUMBER(R87)),NA(),(S86-T86))</f>
        <v>#N/A:explicit</v>
      </c>
      <c t="b" s="895" r="V86">
        <v>0</v>
      </c>
      <c s="631" r="W86"/>
      <c t="str" s="309" r="X86">
        <f>IF((COUNT(Q86:Q$146)=0),NA(),IF(ISBLANK(Q86),IF(ISBLANK(Q85),MAX(Q$46:Q86),Q85),Q86))</f>
        <v>#N/A:explicit</v>
      </c>
      <c t="str" s="861" r="Y86">
        <f>IF(ISNA(U86),IF(ISNUMBER(X86),Y85,NA()),U86)</f>
        <v>#N/A:explicit</v>
      </c>
      <c s="861" r="Z86">
        <f>IF(ISNUMBER(Y86),Y86,(S$46+1000))</f>
        <v>1000</v>
      </c>
      <c t="str" s="588" r="AA86">
        <f>IF((V86=TRUE),NA(),IF((AA$44=(S$46-MAX(T$46:T$146))),NA(),AA$44))</f>
        <v>#N/A:explicit</v>
      </c>
      <c s="588" r="AB86">
        <f>IF((ISNA(((Y86*X86)*Y85))),0,(IF((X86&lt;X85),-1,1)*(IF((V85=FALSE),IF((V86=FALSE),IF(ISNA(Y86),0,IF((Y85&lt;AA$44),IF((Y86&lt;AA$44),(((X86-X85)^2)^0.5),(((((AA$44-Y85)*(X86-X85))/(Y86-Y85))^2)^0.5)),IF((Y86&lt;AA$44),(((((AA$44-Y86)*(X86-X85))/(Y85-Y86))^2)^0.5),0))),0),0))))</f>
        <v>0</v>
      </c>
      <c s="588" r="AC86">
        <f>IF(ISNA((Y86*Y85)),0,IF((V85=FALSE),IF((V86=FALSE),IF(ISNA(U86),0,IF((Y85&lt;AA$44),IF((Y86&lt;AA$44),((AA$44-((Y85+Y86)*0.5))*AB86),(((AA$44-Y85)*0.5)*AB86)),IF((Y86&lt;AA$44),(((AA$44-Y86)*0.5)*AB86),0))),0),0))</f>
        <v>0</v>
      </c>
      <c s="588" r="AD86">
        <f>IF(ISNA((Y86*Y85)),0,IF((V85=FALSE),IF((V86=FALSE),IF(ISNA(Y86),0,IF((Y85&lt;AA$44),IF((Y86&lt;AA$44),(((AB86^2)+((Y86-Y85)^2))^0.5),(((AB86^2)+((AA$44-Y85)^2))^0.5)),IF((Y86&lt;AA$44),(((AB86^2)+((AA$44-Y86)^2))^0.5),0))),0),0))</f>
        <v>0</v>
      </c>
      <c s="588" r="AE86">
        <f>IF(ISNUMBER((Y86*Y85)),IF((Y85&gt;=K$148),IF((Y86&lt;K$148),1,0),IF((Y86&gt;=K$148),IF((Y85&lt;K$148),1,0),0)),0)</f>
        <v>0</v>
      </c>
      <c s="588" r="AF86">
        <f>IF(ISNA((Y86*Y85)),0,(IF((X86&lt;X85),-1,1)*(IF(ISNA(Y86),0,IF((Y85&lt;K$148),IF((Y86&lt;K$148),(((X86-X85)^2)^0.5),(((((K$148-Y85)*(X86-X85))/(Y86-Y85))^2)^0.5)),IF((Y86&lt;K$148),(((((K$148-Y86)*(X86-X85))/(Y85-Y86))^2)^0.5),0))))))</f>
        <v>0</v>
      </c>
      <c s="441" r="AG86">
        <f>IF((AC86&gt;0),(MAX(AG$47:AG85)+1),0)</f>
        <v>0</v>
      </c>
      <c s="388" r="AH86"/>
      <c s="406" r="AI86"/>
      <c s="886" r="AJ86"/>
      <c s="886" r="AK86"/>
      <c s="886" r="AL86"/>
      <c s="886" r="AM86"/>
      <c s="418" r="AN86"/>
      <c s="550" r="AO86"/>
      <c s="550" r="AP86"/>
      <c t="str" s="620" r="AQ86">
        <f>IF((COUNT(AP86:AP$146,AR86:AR$146)=0),NA(),IF(ISBLANK(AP86),AQ85,(AQ85+(AP86-AR85))))</f>
        <v>#N/A:explicit</v>
      </c>
      <c s="550" r="AR86"/>
      <c t="str" s="620" r="AS86">
        <f>IF(OR(ISBLANK(AR86),ISNUMBER(AP87)),NA(),(AQ86-AR86))</f>
        <v>#N/A:explicit</v>
      </c>
      <c t="b" s="895" r="AT86">
        <v>0</v>
      </c>
      <c s="631" r="AU86"/>
      <c t="str" s="309" r="AV86">
        <f>IF((COUNT(AO86:AO$146)=0),NA(),IF(ISBLANK(AO86),IF(ISBLANK(AO85),MAX(AO$46:AO86),AO85),AO86))</f>
        <v>#N/A:explicit</v>
      </c>
      <c t="str" s="861" r="AW86">
        <f>IF(ISNA(AS86),IF(ISNUMBER(AV86),AW85,NA()),AS86)</f>
        <v>#N/A:explicit</v>
      </c>
      <c s="861" r="AX86">
        <f>IF(ISNUMBER(AW86),AW86,(AQ$46+1000))</f>
        <v>1000</v>
      </c>
      <c t="str" s="588" r="AY86">
        <f>IF((AT86=TRUE),NA(),IF((AY$44=(AQ$46-MAX(AR$46:AR$146))),NA(),AY$44))</f>
        <v>#N/A:explicit</v>
      </c>
      <c s="588" r="AZ86">
        <f>IF((ISNA(((AW86*AV86)*AW85))),0,(IF((AV86&lt;AV85),-1,1)*(IF((AT85=FALSE),IF((AT86=FALSE),IF(ISNA(AW86),0,IF((AW85&lt;AY$44),IF((AW86&lt;AY$44),(((AV86-AV85)^2)^0.5),(((((AY$44-AW85)*(AV86-AV85))/(AW86-AW85))^2)^0.5)),IF((AW86&lt;AY$44),(((((AY$44-AW86)*(AV86-AV85))/(AW85-AW86))^2)^0.5),0))),0),0))))</f>
        <v>0</v>
      </c>
      <c s="588" r="BA86">
        <f>IF(ISNA((AW86*AW85)),0,IF((AT85=FALSE),IF((AT86=FALSE),IF(ISNA(AS86),0,IF((AW85&lt;AY$44),IF((AW86&lt;AY$44),((AY$44-((AW85+AW86)*0.5))*AZ86),(((AY$44-AW85)*0.5)*AZ86)),IF((AW86&lt;AY$44),(((AY$44-AW86)*0.5)*AZ86),0))),0),0))</f>
        <v>0</v>
      </c>
      <c s="588" r="BB86">
        <f>IF(ISNA((AW86*AW85)),0,IF((AT85=FALSE),IF((AT86=FALSE),IF(ISNA(AW86),0,IF((AW85&lt;AY$44),IF((AW86&lt;AY$44),(((AZ86^2)+((AW86-AW85)^2))^0.5),(((AZ86^2)+((AY$44-AW85)^2))^0.5)),IF((AW86&lt;AY$44),(((AZ86^2)+((AY$44-AW86)^2))^0.5),0))),0),0))</f>
        <v>0</v>
      </c>
      <c s="588" r="BC86">
        <f>IF(ISNUMBER((AW86*AW85)),IF((AW85&gt;=AI$148),IF((AW86&lt;AI$148),1,0),IF((AW86&gt;=AI$148),IF((AW85&lt;AI$148),1,0),0)),0)</f>
        <v>0</v>
      </c>
      <c s="588" r="BD86">
        <f>IF(ISNA((AW86*AW85)),0,(IF((AV86&lt;AV85),-1,1)*(IF(ISNA(AW86),0,IF((AW85&lt;AI$148),IF((AW86&lt;AI$148),(((AV86-AV85)^2)^0.5),(((((AI$148-AW85)*(AV86-AV85))/(AW86-AW85))^2)^0.5)),IF((AW86&lt;AI$148),(((((AI$148-AW86)*(AV86-AV85))/(AW85-AW86))^2)^0.5),0))))))</f>
        <v>0</v>
      </c>
      <c s="441" r="BE86">
        <f>IF((BA86&gt;0),(MAX(BE$47:BE85)+1),0)</f>
        <v>0</v>
      </c>
      <c s="388" r="BF86"/>
      <c s="406" r="BG86"/>
      <c s="886" r="BH86"/>
      <c s="886" r="BI86"/>
      <c s="886" r="BJ86"/>
      <c s="886" r="BK86"/>
      <c s="418" r="BL86"/>
      <c s="550" r="BM86"/>
      <c s="550" r="BN86"/>
      <c t="str" s="620" r="BO86">
        <f>IF((COUNT(BN86:BN$146,BP86:BP$146)=0),NA(),IF(ISBLANK(BN86),BO85,(BO85+(BN86-BP85))))</f>
        <v>#N/A:explicit</v>
      </c>
      <c s="550" r="BP86"/>
      <c t="str" s="620" r="BQ86">
        <f>IF(OR(ISBLANK(BP86),ISNUMBER(BN87)),NA(),(BO86-BP86))</f>
        <v>#N/A:explicit</v>
      </c>
      <c t="b" s="895" r="BR86">
        <v>0</v>
      </c>
      <c s="631" r="BS86"/>
      <c t="str" s="309" r="BT86">
        <f>IF((COUNT(BM86:BM$146)=0),NA(),IF(ISBLANK(BM86),IF(ISBLANK(BM85),MAX(BM$46:BM86),BM85),BM86))</f>
        <v>#N/A:explicit</v>
      </c>
      <c t="str" s="861" r="BU86">
        <f>IF(ISNA(BQ86),IF(ISNUMBER(BT86),BU85,NA()),BQ86)</f>
        <v>#N/A:explicit</v>
      </c>
      <c s="861" r="BV86">
        <f>IF(ISNUMBER(BU86),BU86,(BO$46+1000))</f>
        <v>1000</v>
      </c>
      <c t="str" s="588" r="BW86">
        <f>IF((BR86=TRUE),NA(),IF((BW$44=(BO$46-MAX(BP$46:BP$146))),NA(),BW$44))</f>
        <v>#N/A:explicit</v>
      </c>
      <c s="588" r="BX86">
        <f>IF((ISNA(((BU86*BT86)*BU85))),0,(IF((BT86&lt;BT85),-1,1)*(IF((BR85=FALSE),IF((BR86=FALSE),IF(ISNA(BU86),0,IF((BU85&lt;BW$44),IF((BU86&lt;BW$44),(((BT86-BT85)^2)^0.5),(((((BW$44-BU85)*(BT86-BT85))/(BU86-BU85))^2)^0.5)),IF((BU86&lt;BW$44),(((((BW$44-BU86)*(BT86-BT85))/(BU85-BU86))^2)^0.5),0))),0),0))))</f>
        <v>0</v>
      </c>
      <c s="588" r="BY86">
        <f>IF(ISNA((BU86*BU85)),0,IF((BR85=FALSE),IF((BR86=FALSE),IF(ISNA(BQ86),0,IF((BU85&lt;BW$44),IF((BU86&lt;BW$44),((BW$44-((BU85+BU86)*0.5))*BX86),(((BW$44-BU85)*0.5)*BX86)),IF((BU86&lt;BW$44),(((BW$44-BU86)*0.5)*BX86),0))),0),0))</f>
        <v>0</v>
      </c>
      <c s="588" r="BZ86">
        <f>IF(ISNA((BU86*BU85)),0,IF((BR85=FALSE),IF((BR86=FALSE),IF(ISNA(BU86),0,IF((BU85&lt;BW$44),IF((BU86&lt;BW$44),(((BX86^2)+((BU86-BU85)^2))^0.5),(((BX86^2)+((BW$44-BU85)^2))^0.5)),IF((BU86&lt;BW$44),(((BX86^2)+((BW$44-BU86)^2))^0.5),0))),0),0))</f>
        <v>0</v>
      </c>
      <c s="588" r="CA86">
        <f>IF(ISNUMBER((BU86*BU85)),IF((BU85&gt;=BG$148),IF((BU86&lt;BG$148),1,0),IF((BU86&gt;=BG$148),IF((BU85&lt;BG$148),1,0),0)),0)</f>
        <v>0</v>
      </c>
      <c s="588" r="CB86">
        <f>IF(ISNA((BU86*BU85)),0,(IF((BT86&lt;BT85),-1,1)*(IF(ISNA(BU86),0,IF((BU85&lt;BG$148),IF((BU86&lt;BG$148),(((BT86-BT85)^2)^0.5),(((((BG$148-BU85)*(BT86-BT85))/(BU86-BU85))^2)^0.5)),IF((BU86&lt;BG$148),(((((BG$148-BU86)*(BT86-BT85))/(BU85-BU86))^2)^0.5),0))))))</f>
        <v>0</v>
      </c>
      <c s="441" r="CC86">
        <f>IF((BY86&gt;0),(MAX(CC$47:CC85)+1),0)</f>
        <v>0</v>
      </c>
      <c s="388" r="CD86"/>
      <c s="406" r="CE86"/>
      <c s="886" r="CF86"/>
      <c s="886" r="CG86"/>
      <c s="886" r="CH86"/>
      <c s="886" r="CI86"/>
      <c s="418" r="CJ86"/>
      <c s="550" r="CK86"/>
      <c s="550" r="CL86"/>
      <c t="str" s="620" r="CM86">
        <f>IF((COUNT(CL86:CL$146,CN86:CN$146)=0),NA(),IF(ISBLANK(CL86),CM85,(CM85+(CL86-CN85))))</f>
        <v>#N/A:explicit</v>
      </c>
      <c s="550" r="CN86"/>
      <c t="str" s="620" r="CO86">
        <f>IF(OR(ISBLANK(CN86),ISNUMBER(CL87)),NA(),(CM86-CN86))</f>
        <v>#N/A:explicit</v>
      </c>
      <c t="b" s="895" r="CP86">
        <v>0</v>
      </c>
      <c s="631" r="CQ86"/>
      <c t="str" s="309" r="CR86">
        <f>IF((COUNT(CK86:CK$146)=0),NA(),IF(ISBLANK(CK86),IF(ISBLANK(CK85),MAX(CK$46:CK86),CK85),CK86))</f>
        <v>#N/A:explicit</v>
      </c>
      <c t="str" s="861" r="CS86">
        <f>IF(ISNA(CO86),IF(ISNUMBER(CR86),CS85,NA()),CO86)</f>
        <v>#N/A:explicit</v>
      </c>
      <c s="861" r="CT86">
        <f>IF(ISNUMBER(CS86),CS86,(CM$46+1000))</f>
        <v>1000</v>
      </c>
      <c t="str" s="588" r="CU86">
        <f>IF((CP86=TRUE),NA(),IF((CU$44=(CM$46-MAX(CN$46:CN$146))),NA(),CU$44))</f>
        <v>#N/A:explicit</v>
      </c>
      <c s="588" r="CV86">
        <f>IF((ISNA(((CS86*CR86)*CS85))),0,(IF((CR86&lt;CR85),-1,1)*(IF((CP85=FALSE),IF((CP86=FALSE),IF(ISNA(CS86),0,IF((CS85&lt;CU$44),IF((CS86&lt;CU$44),(((CR86-CR85)^2)^0.5),(((((CU$44-CS85)*(CR86-CR85))/(CS86-CS85))^2)^0.5)),IF((CS86&lt;CU$44),(((((CU$44-CS86)*(CR86-CR85))/(CS85-CS86))^2)^0.5),0))),0),0))))</f>
        <v>0</v>
      </c>
      <c s="588" r="CW86">
        <f>IF(ISNA((CS86*CS85)),0,IF((CP85=FALSE),IF((CP86=FALSE),IF(ISNA(CO86),0,IF((CS85&lt;CU$44),IF((CS86&lt;CU$44),((CU$44-((CS85+CS86)*0.5))*CV86),(((CU$44-CS85)*0.5)*CV86)),IF((CS86&lt;CU$44),(((CU$44-CS86)*0.5)*CV86),0))),0),0))</f>
        <v>0</v>
      </c>
      <c s="588" r="CX86">
        <f>IF(ISNA((CS86*CS85)),0,IF((CP85=FALSE),IF((CP86=FALSE),IF(ISNA(CS86),0,IF((CS85&lt;CU$44),IF((CS86&lt;CU$44),(((CV86^2)+((CS86-CS85)^2))^0.5),(((CV86^2)+((CU$44-CS85)^2))^0.5)),IF((CS86&lt;CU$44),(((CV86^2)+((CU$44-CS86)^2))^0.5),0))),0),0))</f>
        <v>0</v>
      </c>
      <c s="588" r="CY86">
        <f>IF(ISNUMBER((CS86*CS85)),IF((CS85&gt;=CE$148),IF((CS86&lt;CE$148),1,0),IF((CS86&gt;=CE$148),IF((CS85&lt;CE$148),1,0),0)),0)</f>
        <v>0</v>
      </c>
      <c s="588" r="CZ86">
        <f>IF(ISNA((CS86*CS85)),0,(IF((CR86&lt;CR85),-1,1)*(IF(ISNA(CS86),0,IF((CS85&lt;CE$148),IF((CS86&lt;CE$148),(((CR86-CR85)^2)^0.5),(((((CE$148-CS85)*(CR86-CR85))/(CS86-CS85))^2)^0.5)),IF((CS86&lt;CE$148),(((((CE$148-CS86)*(CR86-CR85))/(CS85-CS86))^2)^0.5),0))))))</f>
        <v>0</v>
      </c>
      <c s="441" r="DA86">
        <f>IF((CW86&gt;0),(MAX(DA$47:DA85)+1),0)</f>
        <v>0</v>
      </c>
      <c s="388" r="DB86"/>
      <c s="406" r="DC86"/>
      <c s="886" r="DD86"/>
      <c s="886" r="DE86"/>
      <c s="886" r="DF86"/>
      <c s="886" r="DG86"/>
      <c s="418" r="DH86"/>
      <c s="550" r="DI86"/>
      <c s="550" r="DJ86"/>
      <c t="str" s="620" r="DK86">
        <f>IF((COUNT(DJ86:DJ$146,DL86:DL$146)=0),NA(),IF(ISBLANK(DJ86),DK85,(DK85+(DJ86-DL85))))</f>
        <v>#N/A:explicit</v>
      </c>
      <c s="550" r="DL86"/>
      <c t="str" s="620" r="DM86">
        <f>IF(OR(ISBLANK(DL86),ISNUMBER(DJ87)),NA(),(DK86-DL86))</f>
        <v>#N/A:explicit</v>
      </c>
      <c t="b" s="895" r="DN86">
        <v>0</v>
      </c>
      <c s="631" r="DO86"/>
      <c t="str" s="309" r="DP86">
        <f>IF((COUNT(DI86:DI$146)=0),NA(),IF(ISBLANK(DI86),IF(ISBLANK(DI85),MAX(DI$46:DI86),DI85),DI86))</f>
        <v>#N/A:explicit</v>
      </c>
      <c t="str" s="861" r="DQ86">
        <f>IF(ISNA(DM86),IF(ISNUMBER(DP86),DQ85,NA()),DM86)</f>
        <v>#N/A:explicit</v>
      </c>
      <c s="861" r="DR86">
        <f>IF(ISNUMBER(DQ86),DQ86,(DK$46+1000))</f>
        <v>1000</v>
      </c>
      <c t="str" s="588" r="DS86">
        <f>IF((DN86=TRUE),NA(),IF((DS$44=(DK$46-MAX(DL$46:DL$146))),NA(),DS$44))</f>
        <v>#N/A:explicit</v>
      </c>
      <c s="588" r="DT86">
        <f>IF((ISNA(((DQ86*DP86)*DQ85))),0,(IF((DP86&lt;DP85),-1,1)*(IF((DN85=FALSE),IF((DN86=FALSE),IF(ISNA(DQ86),0,IF((DQ85&lt;DS$44),IF((DQ86&lt;DS$44),(((DP86-DP85)^2)^0.5),(((((DS$44-DQ85)*(DP86-DP85))/(DQ86-DQ85))^2)^0.5)),IF((DQ86&lt;DS$44),(((((DS$44-DQ86)*(DP86-DP85))/(DQ85-DQ86))^2)^0.5),0))),0),0))))</f>
        <v>0</v>
      </c>
      <c s="588" r="DU86">
        <f>IF(ISNA((DQ86*DQ85)),0,IF((DN85=FALSE),IF((DN86=FALSE),IF(ISNA(DM86),0,IF((DQ85&lt;DS$44),IF((DQ86&lt;DS$44),((DS$44-((DQ85+DQ86)*0.5))*DT86),(((DS$44-DQ85)*0.5)*DT86)),IF((DQ86&lt;DS$44),(((DS$44-DQ86)*0.5)*DT86),0))),0),0))</f>
        <v>0</v>
      </c>
      <c s="588" r="DV86">
        <f>IF(ISNA((DQ86*DQ85)),0,IF((DN85=FALSE),IF((DN86=FALSE),IF(ISNA(DQ86),0,IF((DQ85&lt;DS$44),IF((DQ86&lt;DS$44),(((DT86^2)+((DQ86-DQ85)^2))^0.5),(((DT86^2)+((DS$44-DQ85)^2))^0.5)),IF((DQ86&lt;DS$44),(((DT86^2)+((DS$44-DQ86)^2))^0.5),0))),0),0))</f>
        <v>0</v>
      </c>
      <c s="588" r="DW86">
        <f>IF(ISNUMBER((DQ86*DQ85)),IF((DQ85&gt;=DC$148),IF((DQ86&lt;DC$148),1,0),IF((DQ86&gt;=DC$148),IF((DQ85&lt;DC$148),1,0),0)),0)</f>
        <v>0</v>
      </c>
      <c s="588" r="DX86">
        <f>IF(ISNA((DQ86*DQ85)),0,(IF((DP86&lt;DP85),-1,1)*(IF(ISNA(DQ86),0,IF((DQ85&lt;DC$148),IF((DQ86&lt;DC$148),(((DP86-DP85)^2)^0.5),(((((DC$148-DQ85)*(DP86-DP85))/(DQ86-DQ85))^2)^0.5)),IF((DQ86&lt;DC$148),(((((DC$148-DQ86)*(DP86-DP85))/(DQ85-DQ86))^2)^0.5),0))))))</f>
        <v>0</v>
      </c>
      <c s="441" r="DY86">
        <f>IF((DU86&gt;0),(MAX(DY$47:DY85)+1),0)</f>
        <v>0</v>
      </c>
      <c s="388" r="DZ86"/>
      <c s="406" r="EA86"/>
      <c s="886" r="EB86"/>
      <c s="886" r="EC86"/>
      <c s="886" r="ED86"/>
      <c s="886" r="EE86"/>
      <c s="418" r="EF86"/>
      <c s="550" r="EG86"/>
      <c s="550" r="EH86"/>
      <c t="str" s="620" r="EI86">
        <f>IF((COUNT(EH86:EH$146,EJ86:EJ$146)=0),NA(),IF(ISBLANK(EH86),EI85,(EI85+(EH86-EJ85))))</f>
        <v>#N/A:explicit</v>
      </c>
      <c s="550" r="EJ86"/>
      <c t="str" s="620" r="EK86">
        <f>IF(OR(ISBLANK(EJ86),ISNUMBER(EH87)),NA(),(EI86-EJ86))</f>
        <v>#N/A:explicit</v>
      </c>
      <c t="b" s="895" r="EL86">
        <v>0</v>
      </c>
      <c s="631" r="EM86"/>
      <c t="str" s="309" r="EN86">
        <f>IF((COUNT(EG86:EG$146)=0),NA(),IF(ISBLANK(EG86),IF(ISBLANK(EG85),MAX(EG$46:EG86),EG85),EG86))</f>
        <v>#N/A:explicit</v>
      </c>
      <c t="str" s="861" r="EO86">
        <f>IF(ISNA(EK86),IF(ISNUMBER(EN86),EO85,NA()),EK86)</f>
        <v>#N/A:explicit</v>
      </c>
      <c s="861" r="EP86">
        <f>IF(ISNUMBER(EO86),EO86,(EI$46+1000))</f>
        <v>1000</v>
      </c>
      <c t="str" s="588" r="EQ86">
        <f>IF((EL86=TRUE),NA(),IF((EQ$44=(EI$46-MAX(EJ$46:EJ$146))),NA(),EQ$44))</f>
        <v>#N/A:explicit</v>
      </c>
      <c s="588" r="ER86">
        <f>IF((ISNA(((EO86*EN86)*EO85))),0,(IF((EN86&lt;EN85),-1,1)*(IF((EL85=FALSE),IF((EL86=FALSE),IF(ISNA(EO86),0,IF((EO85&lt;EQ$44),IF((EO86&lt;EQ$44),(((EN86-EN85)^2)^0.5),(((((EQ$44-EO85)*(EN86-EN85))/(EO86-EO85))^2)^0.5)),IF((EO86&lt;EQ$44),(((((EQ$44-EO86)*(EN86-EN85))/(EO85-EO86))^2)^0.5),0))),0),0))))</f>
        <v>0</v>
      </c>
      <c s="588" r="ES86">
        <f>IF(ISNA((EO86*EO85)),0,IF((EL85=FALSE),IF((EL86=FALSE),IF(ISNA(EK86),0,IF((EO85&lt;EQ$44),IF((EO86&lt;EQ$44),((EQ$44-((EO85+EO86)*0.5))*ER86),(((EQ$44-EO85)*0.5)*ER86)),IF((EO86&lt;EQ$44),(((EQ$44-EO86)*0.5)*ER86),0))),0),0))</f>
        <v>0</v>
      </c>
      <c s="588" r="ET86">
        <f>IF(ISNA((EO86*EO85)),0,IF((EL85=FALSE),IF((EL86=FALSE),IF(ISNA(EO86),0,IF((EO85&lt;EQ$44),IF((EO86&lt;EQ$44),(((ER86^2)+((EO86-EO85)^2))^0.5),(((ER86^2)+((EQ$44-EO85)^2))^0.5)),IF((EO86&lt;EQ$44),(((ER86^2)+((EQ$44-EO86)^2))^0.5),0))),0),0))</f>
        <v>0</v>
      </c>
      <c s="588" r="EU86">
        <f>IF(ISNUMBER((EO86*EO85)),IF((EO85&gt;=EA$148),IF((EO86&lt;EA$148),1,0),IF((EO86&gt;=EA$148),IF((EO85&lt;EA$148),1,0),0)),0)</f>
        <v>0</v>
      </c>
      <c s="588" r="EV86">
        <f>IF(ISNA((EO86*EO85)),0,(IF((EN86&lt;EN85),-1,1)*(IF(ISNA(EO86),0,IF((EO85&lt;EA$148),IF((EO86&lt;EA$148),(((EN86-EN85)^2)^0.5),(((((EA$148-EO85)*(EN86-EN85))/(EO86-EO85))^2)^0.5)),IF((EO86&lt;EA$148),(((((EA$148-EO86)*(EN86-EN85))/(EO85-EO86))^2)^0.5),0))))))</f>
        <v>0</v>
      </c>
      <c s="441" r="EW86">
        <f>IF((ES86&gt;0),(MAX(EW$47:EW85)+1),0)</f>
        <v>0</v>
      </c>
      <c s="388" r="EX86"/>
      <c s="406" r="EY86"/>
      <c s="886" r="EZ86"/>
      <c s="886" r="FA86"/>
      <c s="886" r="FB86"/>
      <c s="886" r="FC86"/>
      <c s="418" r="FD86"/>
      <c s="550" r="FE86"/>
      <c s="550" r="FF86"/>
      <c t="str" s="620" r="FG86">
        <f>IF((COUNT(FF86:FF$146,FH86:FH$146)=0),NA(),IF(ISBLANK(FF86),FG85,(FG85+(FF86-FH85))))</f>
        <v>#N/A:explicit</v>
      </c>
      <c s="550" r="FH86"/>
      <c t="str" s="620" r="FI86">
        <f>IF(OR(ISBLANK(FH86),ISNUMBER(FF87)),NA(),(FG86-FH86))</f>
        <v>#N/A:explicit</v>
      </c>
      <c t="b" s="895" r="FJ86">
        <v>0</v>
      </c>
      <c s="631" r="FK86"/>
      <c t="str" s="309" r="FL86">
        <f>IF((COUNT(FE86:FE$146)=0),NA(),IF(ISBLANK(FE86),IF(ISBLANK(FE85),MAX(FE$46:FE86),FE85),FE86))</f>
        <v>#N/A:explicit</v>
      </c>
      <c t="str" s="861" r="FM86">
        <f>IF(ISNA(FI86),IF(ISNUMBER(FL86),FM85,NA()),FI86)</f>
        <v>#N/A:explicit</v>
      </c>
      <c s="861" r="FN86">
        <f>IF(ISNUMBER(FM86),FM86,(FG$46+1000))</f>
        <v>1000</v>
      </c>
      <c t="str" s="588" r="FO86">
        <f>IF((FJ86=TRUE),NA(),IF((FO$44=(FG$46-MAX(FH$46:FH$146))),NA(),FO$44))</f>
        <v>#N/A:explicit</v>
      </c>
      <c s="588" r="FP86">
        <f>IF((ISNA(((FM86*FL86)*FM85))),0,(IF((FL86&lt;FL85),-1,1)*(IF((FJ85=FALSE),IF((FJ86=FALSE),IF(ISNA(FM86),0,IF((FM85&lt;FO$44),IF((FM86&lt;FO$44),(((FL86-FL85)^2)^0.5),(((((FO$44-FM85)*(FL86-FL85))/(FM86-FM85))^2)^0.5)),IF((FM86&lt;FO$44),(((((FO$44-FM86)*(FL86-FL85))/(FM85-FM86))^2)^0.5),0))),0),0))))</f>
        <v>0</v>
      </c>
      <c s="588" r="FQ86">
        <f>IF(ISNA((FM86*FM85)),0,IF((FJ85=FALSE),IF((FJ86=FALSE),IF(ISNA(FI86),0,IF((FM85&lt;FO$44),IF((FM86&lt;FO$44),((FO$44-((FM85+FM86)*0.5))*FP86),(((FO$44-FM85)*0.5)*FP86)),IF((FM86&lt;FO$44),(((FO$44-FM86)*0.5)*FP86),0))),0),0))</f>
        <v>0</v>
      </c>
      <c s="588" r="FR86">
        <f>IF(ISNA((FM86*FM85)),0,IF((FJ85=FALSE),IF((FJ86=FALSE),IF(ISNA(FM86),0,IF((FM85&lt;FO$44),IF((FM86&lt;FO$44),(((FP86^2)+((FM86-FM85)^2))^0.5),(((FP86^2)+((FO$44-FM85)^2))^0.5)),IF((FM86&lt;FO$44),(((FP86^2)+((FO$44-FM86)^2))^0.5),0))),0),0))</f>
        <v>0</v>
      </c>
      <c s="588" r="FS86">
        <f>IF(ISNUMBER((FM86*FM85)),IF((FM85&gt;=EY$148),IF((FM86&lt;EY$148),1,0),IF((FM86&gt;=EY$148),IF((FM85&lt;EY$148),1,0),0)),0)</f>
        <v>0</v>
      </c>
      <c s="588" r="FT86">
        <f>IF(ISNA((FM86*FM85)),0,(IF((FL86&lt;FL85),-1,1)*(IF(ISNA(FM86),0,IF((FM85&lt;EY$148),IF((FM86&lt;EY$148),(((FL86-FL85)^2)^0.5),(((((EY$148-FM85)*(FL86-FL85))/(FM86-FM85))^2)^0.5)),IF((FM86&lt;EY$148),(((((EY$148-FM86)*(FL86-FL85))/(FM85-FM86))^2)^0.5),0))))))</f>
        <v>0</v>
      </c>
      <c s="441" r="FU86">
        <f>IF((FQ86&gt;0),(MAX(FU$47:FU85)+1),0)</f>
        <v>0</v>
      </c>
      <c s="222" r="FV86"/>
      <c s="125" r="FW86"/>
      <c s="125" r="FX86"/>
      <c s="125" r="FY86"/>
      <c s="125" r="FZ86"/>
      <c s="125" r="GA86"/>
      <c s="125" r="GB86"/>
      <c s="125" r="GC86"/>
      <c s="125" r="GD86"/>
      <c s="125" r="GE86"/>
      <c s="125" r="GF86"/>
      <c s="125" r="GG86"/>
      <c s="125" r="GH86"/>
      <c s="125" r="GI86"/>
      <c s="125" r="GJ86"/>
      <c s="125" r="GK86"/>
      <c s="125" r="GL86"/>
      <c s="125" r="GM86"/>
      <c s="125" r="GN86"/>
      <c s="125" r="GO86"/>
      <c s="125" r="GP86"/>
      <c s="125" r="GQ86"/>
      <c s="125" r="GR86"/>
      <c s="125" r="GS86"/>
      <c s="125" r="GT86"/>
      <c s="125" r="GU86"/>
      <c s="125" r="GV86"/>
      <c s="125" r="GW86"/>
      <c s="125" r="GX86"/>
      <c s="125" r="GY86"/>
      <c s="125" r="GZ86"/>
      <c s="125" r="HA86"/>
      <c s="125" r="HB86"/>
    </row>
    <row customHeight="1" r="87" ht="13.5">
      <c s="822" r="A87"/>
      <c s="465" r="B87"/>
      <c s="310" r="C87"/>
      <c s="310" r="D87"/>
      <c s="480" r="E87"/>
      <c t="s" s="209" r="F87">
        <v>75</v>
      </c>
      <c t="s" s="209" r="G87">
        <v>76</v>
      </c>
      <c t="s" s="14" r="H87">
        <v>77</v>
      </c>
      <c s="51" r="I87"/>
      <c s="822" r="J87"/>
      <c s="406" r="K87"/>
      <c s="886" r="L87"/>
      <c s="886" r="M87"/>
      <c s="886" r="N87"/>
      <c s="886" r="O87"/>
      <c s="418" r="P87"/>
      <c s="550" r="Q87"/>
      <c s="550" r="R87"/>
      <c t="str" s="620" r="S87">
        <f>IF((COUNT(R87:R$146,T87:T$146)=0),NA(),IF(ISBLANK(R87),S86,(S86+(R87-T86))))</f>
        <v>#N/A:explicit</v>
      </c>
      <c s="550" r="T87"/>
      <c t="str" s="620" r="U87">
        <f>IF(OR(ISBLANK(T87),ISNUMBER(R88)),NA(),(S87-T87))</f>
        <v>#N/A:explicit</v>
      </c>
      <c t="b" s="895" r="V87">
        <v>0</v>
      </c>
      <c s="631" r="W87"/>
      <c t="str" s="309" r="X87">
        <f>IF((COUNT(Q87:Q$146)=0),NA(),IF(ISBLANK(Q87),IF(ISBLANK(Q86),MAX(Q$46:Q87),Q86),Q87))</f>
        <v>#N/A:explicit</v>
      </c>
      <c t="str" s="861" r="Y87">
        <f>IF(ISNA(U87),IF(ISNUMBER(X87),Y86,NA()),U87)</f>
        <v>#N/A:explicit</v>
      </c>
      <c s="861" r="Z87">
        <f>IF(ISNUMBER(Y87),Y87,(S$46+1000))</f>
        <v>1000</v>
      </c>
      <c t="str" s="588" r="AA87">
        <f>IF((V87=TRUE),NA(),IF((AA$44=(S$46-MAX(T$46:T$146))),NA(),AA$44))</f>
        <v>#N/A:explicit</v>
      </c>
      <c s="588" r="AB87">
        <f>IF((ISNA(((Y87*X87)*Y86))),0,(IF((X87&lt;X86),-1,1)*(IF((V86=FALSE),IF((V87=FALSE),IF(ISNA(Y87),0,IF((Y86&lt;AA$44),IF((Y87&lt;AA$44),(((X87-X86)^2)^0.5),(((((AA$44-Y86)*(X87-X86))/(Y87-Y86))^2)^0.5)),IF((Y87&lt;AA$44),(((((AA$44-Y87)*(X87-X86))/(Y86-Y87))^2)^0.5),0))),0),0))))</f>
        <v>0</v>
      </c>
      <c s="588" r="AC87">
        <f>IF(ISNA((Y87*Y86)),0,IF((V86=FALSE),IF((V87=FALSE),IF(ISNA(U87),0,IF((Y86&lt;AA$44),IF((Y87&lt;AA$44),((AA$44-((Y86+Y87)*0.5))*AB87),(((AA$44-Y86)*0.5)*AB87)),IF((Y87&lt;AA$44),(((AA$44-Y87)*0.5)*AB87),0))),0),0))</f>
        <v>0</v>
      </c>
      <c s="588" r="AD87">
        <f>IF(ISNA((Y87*Y86)),0,IF((V86=FALSE),IF((V87=FALSE),IF(ISNA(Y87),0,IF((Y86&lt;AA$44),IF((Y87&lt;AA$44),(((AB87^2)+((Y87-Y86)^2))^0.5),(((AB87^2)+((AA$44-Y86)^2))^0.5)),IF((Y87&lt;AA$44),(((AB87^2)+((AA$44-Y87)^2))^0.5),0))),0),0))</f>
        <v>0</v>
      </c>
      <c s="588" r="AE87">
        <f>IF(ISNUMBER((Y87*Y86)),IF((Y86&gt;=K$148),IF((Y87&lt;K$148),1,0),IF((Y87&gt;=K$148),IF((Y86&lt;K$148),1,0),0)),0)</f>
        <v>0</v>
      </c>
      <c s="588" r="AF87">
        <f>IF(ISNA((Y87*Y86)),0,(IF((X87&lt;X86),-1,1)*(IF(ISNA(Y87),0,IF((Y86&lt;K$148),IF((Y87&lt;K$148),(((X87-X86)^2)^0.5),(((((K$148-Y86)*(X87-X86))/(Y87-Y86))^2)^0.5)),IF((Y87&lt;K$148),(((((K$148-Y87)*(X87-X86))/(Y86-Y87))^2)^0.5),0))))))</f>
        <v>0</v>
      </c>
      <c s="441" r="AG87">
        <f>IF((AC87&gt;0),(MAX(AG$47:AG86)+1),0)</f>
        <v>0</v>
      </c>
      <c s="388" r="AH87"/>
      <c s="406" r="AI87"/>
      <c s="886" r="AJ87"/>
      <c s="886" r="AK87"/>
      <c s="886" r="AL87"/>
      <c s="886" r="AM87"/>
      <c s="418" r="AN87"/>
      <c s="550" r="AO87"/>
      <c s="550" r="AP87"/>
      <c t="str" s="620" r="AQ87">
        <f>IF((COUNT(AP87:AP$146,AR87:AR$146)=0),NA(),IF(ISBLANK(AP87),AQ86,(AQ86+(AP87-AR86))))</f>
        <v>#N/A:explicit</v>
      </c>
      <c s="550" r="AR87"/>
      <c t="str" s="620" r="AS87">
        <f>IF(OR(ISBLANK(AR87),ISNUMBER(AP88)),NA(),(AQ87-AR87))</f>
        <v>#N/A:explicit</v>
      </c>
      <c t="b" s="895" r="AT87">
        <v>0</v>
      </c>
      <c s="631" r="AU87"/>
      <c t="str" s="309" r="AV87">
        <f>IF((COUNT(AO87:AO$146)=0),NA(),IF(ISBLANK(AO87),IF(ISBLANK(AO86),MAX(AO$46:AO87),AO86),AO87))</f>
        <v>#N/A:explicit</v>
      </c>
      <c t="str" s="861" r="AW87">
        <f>IF(ISNA(AS87),IF(ISNUMBER(AV87),AW86,NA()),AS87)</f>
        <v>#N/A:explicit</v>
      </c>
      <c s="861" r="AX87">
        <f>IF(ISNUMBER(AW87),AW87,(AQ$46+1000))</f>
        <v>1000</v>
      </c>
      <c t="str" s="588" r="AY87">
        <f>IF((AT87=TRUE),NA(),IF((AY$44=(AQ$46-MAX(AR$46:AR$146))),NA(),AY$44))</f>
        <v>#N/A:explicit</v>
      </c>
      <c s="588" r="AZ87">
        <f>IF((ISNA(((AW87*AV87)*AW86))),0,(IF((AV87&lt;AV86),-1,1)*(IF((AT86=FALSE),IF((AT87=FALSE),IF(ISNA(AW87),0,IF((AW86&lt;AY$44),IF((AW87&lt;AY$44),(((AV87-AV86)^2)^0.5),(((((AY$44-AW86)*(AV87-AV86))/(AW87-AW86))^2)^0.5)),IF((AW87&lt;AY$44),(((((AY$44-AW87)*(AV87-AV86))/(AW86-AW87))^2)^0.5),0))),0),0))))</f>
        <v>0</v>
      </c>
      <c s="588" r="BA87">
        <f>IF(ISNA((AW87*AW86)),0,IF((AT86=FALSE),IF((AT87=FALSE),IF(ISNA(AS87),0,IF((AW86&lt;AY$44),IF((AW87&lt;AY$44),((AY$44-((AW86+AW87)*0.5))*AZ87),(((AY$44-AW86)*0.5)*AZ87)),IF((AW87&lt;AY$44),(((AY$44-AW87)*0.5)*AZ87),0))),0),0))</f>
        <v>0</v>
      </c>
      <c s="588" r="BB87">
        <f>IF(ISNA((AW87*AW86)),0,IF((AT86=FALSE),IF((AT87=FALSE),IF(ISNA(AW87),0,IF((AW86&lt;AY$44),IF((AW87&lt;AY$44),(((AZ87^2)+((AW87-AW86)^2))^0.5),(((AZ87^2)+((AY$44-AW86)^2))^0.5)),IF((AW87&lt;AY$44),(((AZ87^2)+((AY$44-AW87)^2))^0.5),0))),0),0))</f>
        <v>0</v>
      </c>
      <c s="588" r="BC87">
        <f>IF(ISNUMBER((AW87*AW86)),IF((AW86&gt;=AI$148),IF((AW87&lt;AI$148),1,0),IF((AW87&gt;=AI$148),IF((AW86&lt;AI$148),1,0),0)),0)</f>
        <v>0</v>
      </c>
      <c s="588" r="BD87">
        <f>IF(ISNA((AW87*AW86)),0,(IF((AV87&lt;AV86),-1,1)*(IF(ISNA(AW87),0,IF((AW86&lt;AI$148),IF((AW87&lt;AI$148),(((AV87-AV86)^2)^0.5),(((((AI$148-AW86)*(AV87-AV86))/(AW87-AW86))^2)^0.5)),IF((AW87&lt;AI$148),(((((AI$148-AW87)*(AV87-AV86))/(AW86-AW87))^2)^0.5),0))))))</f>
        <v>0</v>
      </c>
      <c s="441" r="BE87">
        <f>IF((BA87&gt;0),(MAX(BE$47:BE86)+1),0)</f>
        <v>0</v>
      </c>
      <c s="388" r="BF87"/>
      <c s="406" r="BG87"/>
      <c s="886" r="BH87"/>
      <c s="886" r="BI87"/>
      <c s="886" r="BJ87"/>
      <c s="886" r="BK87"/>
      <c s="418" r="BL87"/>
      <c s="550" r="BM87"/>
      <c s="550" r="BN87"/>
      <c t="str" s="620" r="BO87">
        <f>IF((COUNT(BN87:BN$146,BP87:BP$146)=0),NA(),IF(ISBLANK(BN87),BO86,(BO86+(BN87-BP86))))</f>
        <v>#N/A:explicit</v>
      </c>
      <c s="550" r="BP87"/>
      <c t="str" s="620" r="BQ87">
        <f>IF(OR(ISBLANK(BP87),ISNUMBER(BN88)),NA(),(BO87-BP87))</f>
        <v>#N/A:explicit</v>
      </c>
      <c t="b" s="895" r="BR87">
        <v>0</v>
      </c>
      <c s="631" r="BS87"/>
      <c t="str" s="309" r="BT87">
        <f>IF((COUNT(BM87:BM$146)=0),NA(),IF(ISBLANK(BM87),IF(ISBLANK(BM86),MAX(BM$46:BM87),BM86),BM87))</f>
        <v>#N/A:explicit</v>
      </c>
      <c t="str" s="861" r="BU87">
        <f>IF(ISNA(BQ87),IF(ISNUMBER(BT87),BU86,NA()),BQ87)</f>
        <v>#N/A:explicit</v>
      </c>
      <c s="861" r="BV87">
        <f>IF(ISNUMBER(BU87),BU87,(BO$46+1000))</f>
        <v>1000</v>
      </c>
      <c t="str" s="588" r="BW87">
        <f>IF((BR87=TRUE),NA(),IF((BW$44=(BO$46-MAX(BP$46:BP$146))),NA(),BW$44))</f>
        <v>#N/A:explicit</v>
      </c>
      <c s="588" r="BX87">
        <f>IF((ISNA(((BU87*BT87)*BU86))),0,(IF((BT87&lt;BT86),-1,1)*(IF((BR86=FALSE),IF((BR87=FALSE),IF(ISNA(BU87),0,IF((BU86&lt;BW$44),IF((BU87&lt;BW$44),(((BT87-BT86)^2)^0.5),(((((BW$44-BU86)*(BT87-BT86))/(BU87-BU86))^2)^0.5)),IF((BU87&lt;BW$44),(((((BW$44-BU87)*(BT87-BT86))/(BU86-BU87))^2)^0.5),0))),0),0))))</f>
        <v>0</v>
      </c>
      <c s="588" r="BY87">
        <f>IF(ISNA((BU87*BU86)),0,IF((BR86=FALSE),IF((BR87=FALSE),IF(ISNA(BQ87),0,IF((BU86&lt;BW$44),IF((BU87&lt;BW$44),((BW$44-((BU86+BU87)*0.5))*BX87),(((BW$44-BU86)*0.5)*BX87)),IF((BU87&lt;BW$44),(((BW$44-BU87)*0.5)*BX87),0))),0),0))</f>
        <v>0</v>
      </c>
      <c s="588" r="BZ87">
        <f>IF(ISNA((BU87*BU86)),0,IF((BR86=FALSE),IF((BR87=FALSE),IF(ISNA(BU87),0,IF((BU86&lt;BW$44),IF((BU87&lt;BW$44),(((BX87^2)+((BU87-BU86)^2))^0.5),(((BX87^2)+((BW$44-BU86)^2))^0.5)),IF((BU87&lt;BW$44),(((BX87^2)+((BW$44-BU87)^2))^0.5),0))),0),0))</f>
        <v>0</v>
      </c>
      <c s="588" r="CA87">
        <f>IF(ISNUMBER((BU87*BU86)),IF((BU86&gt;=BG$148),IF((BU87&lt;BG$148),1,0),IF((BU87&gt;=BG$148),IF((BU86&lt;BG$148),1,0),0)),0)</f>
        <v>0</v>
      </c>
      <c s="588" r="CB87">
        <f>IF(ISNA((BU87*BU86)),0,(IF((BT87&lt;BT86),-1,1)*(IF(ISNA(BU87),0,IF((BU86&lt;BG$148),IF((BU87&lt;BG$148),(((BT87-BT86)^2)^0.5),(((((BG$148-BU86)*(BT87-BT86))/(BU87-BU86))^2)^0.5)),IF((BU87&lt;BG$148),(((((BG$148-BU87)*(BT87-BT86))/(BU86-BU87))^2)^0.5),0))))))</f>
        <v>0</v>
      </c>
      <c s="441" r="CC87">
        <f>IF((BY87&gt;0),(MAX(CC$47:CC86)+1),0)</f>
        <v>0</v>
      </c>
      <c s="388" r="CD87"/>
      <c s="406" r="CE87"/>
      <c s="886" r="CF87"/>
      <c s="886" r="CG87"/>
      <c s="886" r="CH87"/>
      <c s="886" r="CI87"/>
      <c s="418" r="CJ87"/>
      <c s="550" r="CK87"/>
      <c s="550" r="CL87"/>
      <c t="str" s="620" r="CM87">
        <f>IF((COUNT(CL87:CL$146,CN87:CN$146)=0),NA(),IF(ISBLANK(CL87),CM86,(CM86+(CL87-CN86))))</f>
        <v>#N/A:explicit</v>
      </c>
      <c s="550" r="CN87"/>
      <c t="str" s="620" r="CO87">
        <f>IF(OR(ISBLANK(CN87),ISNUMBER(CL88)),NA(),(CM87-CN87))</f>
        <v>#N/A:explicit</v>
      </c>
      <c t="b" s="895" r="CP87">
        <v>0</v>
      </c>
      <c s="631" r="CQ87"/>
      <c t="str" s="309" r="CR87">
        <f>IF((COUNT(CK87:CK$146)=0),NA(),IF(ISBLANK(CK87),IF(ISBLANK(CK86),MAX(CK$46:CK87),CK86),CK87))</f>
        <v>#N/A:explicit</v>
      </c>
      <c t="str" s="861" r="CS87">
        <f>IF(ISNA(CO87),IF(ISNUMBER(CR87),CS86,NA()),CO87)</f>
        <v>#N/A:explicit</v>
      </c>
      <c s="861" r="CT87">
        <f>IF(ISNUMBER(CS87),CS87,(CM$46+1000))</f>
        <v>1000</v>
      </c>
      <c t="str" s="588" r="CU87">
        <f>IF((CP87=TRUE),NA(),IF((CU$44=(CM$46-MAX(CN$46:CN$146))),NA(),CU$44))</f>
        <v>#N/A:explicit</v>
      </c>
      <c s="588" r="CV87">
        <f>IF((ISNA(((CS87*CR87)*CS86))),0,(IF((CR87&lt;CR86),-1,1)*(IF((CP86=FALSE),IF((CP87=FALSE),IF(ISNA(CS87),0,IF((CS86&lt;CU$44),IF((CS87&lt;CU$44),(((CR87-CR86)^2)^0.5),(((((CU$44-CS86)*(CR87-CR86))/(CS87-CS86))^2)^0.5)),IF((CS87&lt;CU$44),(((((CU$44-CS87)*(CR87-CR86))/(CS86-CS87))^2)^0.5),0))),0),0))))</f>
        <v>0</v>
      </c>
      <c s="588" r="CW87">
        <f>IF(ISNA((CS87*CS86)),0,IF((CP86=FALSE),IF((CP87=FALSE),IF(ISNA(CO87),0,IF((CS86&lt;CU$44),IF((CS87&lt;CU$44),((CU$44-((CS86+CS87)*0.5))*CV87),(((CU$44-CS86)*0.5)*CV87)),IF((CS87&lt;CU$44),(((CU$44-CS87)*0.5)*CV87),0))),0),0))</f>
        <v>0</v>
      </c>
      <c s="588" r="CX87">
        <f>IF(ISNA((CS87*CS86)),0,IF((CP86=FALSE),IF((CP87=FALSE),IF(ISNA(CS87),0,IF((CS86&lt;CU$44),IF((CS87&lt;CU$44),(((CV87^2)+((CS87-CS86)^2))^0.5),(((CV87^2)+((CU$44-CS86)^2))^0.5)),IF((CS87&lt;CU$44),(((CV87^2)+((CU$44-CS87)^2))^0.5),0))),0),0))</f>
        <v>0</v>
      </c>
      <c s="588" r="CY87">
        <f>IF(ISNUMBER((CS87*CS86)),IF((CS86&gt;=CE$148),IF((CS87&lt;CE$148),1,0),IF((CS87&gt;=CE$148),IF((CS86&lt;CE$148),1,0),0)),0)</f>
        <v>0</v>
      </c>
      <c s="588" r="CZ87">
        <f>IF(ISNA((CS87*CS86)),0,(IF((CR87&lt;CR86),-1,1)*(IF(ISNA(CS87),0,IF((CS86&lt;CE$148),IF((CS87&lt;CE$148),(((CR87-CR86)^2)^0.5),(((((CE$148-CS86)*(CR87-CR86))/(CS87-CS86))^2)^0.5)),IF((CS87&lt;CE$148),(((((CE$148-CS87)*(CR87-CR86))/(CS86-CS87))^2)^0.5),0))))))</f>
        <v>0</v>
      </c>
      <c s="441" r="DA87">
        <f>IF((CW87&gt;0),(MAX(DA$47:DA86)+1),0)</f>
        <v>0</v>
      </c>
      <c s="388" r="DB87"/>
      <c s="406" r="DC87"/>
      <c s="886" r="DD87"/>
      <c s="886" r="DE87"/>
      <c s="886" r="DF87"/>
      <c s="886" r="DG87"/>
      <c s="418" r="DH87"/>
      <c s="550" r="DI87"/>
      <c s="550" r="DJ87"/>
      <c t="str" s="620" r="DK87">
        <f>IF((COUNT(DJ87:DJ$146,DL87:DL$146)=0),NA(),IF(ISBLANK(DJ87),DK86,(DK86+(DJ87-DL86))))</f>
        <v>#N/A:explicit</v>
      </c>
      <c s="550" r="DL87"/>
      <c t="str" s="620" r="DM87">
        <f>IF(OR(ISBLANK(DL87),ISNUMBER(DJ88)),NA(),(DK87-DL87))</f>
        <v>#N/A:explicit</v>
      </c>
      <c t="b" s="895" r="DN87">
        <v>0</v>
      </c>
      <c s="631" r="DO87"/>
      <c t="str" s="309" r="DP87">
        <f>IF((COUNT(DI87:DI$146)=0),NA(),IF(ISBLANK(DI87),IF(ISBLANK(DI86),MAX(DI$46:DI87),DI86),DI87))</f>
        <v>#N/A:explicit</v>
      </c>
      <c t="str" s="861" r="DQ87">
        <f>IF(ISNA(DM87),IF(ISNUMBER(DP87),DQ86,NA()),DM87)</f>
        <v>#N/A:explicit</v>
      </c>
      <c s="861" r="DR87">
        <f>IF(ISNUMBER(DQ87),DQ87,(DK$46+1000))</f>
        <v>1000</v>
      </c>
      <c t="str" s="588" r="DS87">
        <f>IF((DN87=TRUE),NA(),IF((DS$44=(DK$46-MAX(DL$46:DL$146))),NA(),DS$44))</f>
        <v>#N/A:explicit</v>
      </c>
      <c s="588" r="DT87">
        <f>IF((ISNA(((DQ87*DP87)*DQ86))),0,(IF((DP87&lt;DP86),-1,1)*(IF((DN86=FALSE),IF((DN87=FALSE),IF(ISNA(DQ87),0,IF((DQ86&lt;DS$44),IF((DQ87&lt;DS$44),(((DP87-DP86)^2)^0.5),(((((DS$44-DQ86)*(DP87-DP86))/(DQ87-DQ86))^2)^0.5)),IF((DQ87&lt;DS$44),(((((DS$44-DQ87)*(DP87-DP86))/(DQ86-DQ87))^2)^0.5),0))),0),0))))</f>
        <v>0</v>
      </c>
      <c s="588" r="DU87">
        <f>IF(ISNA((DQ87*DQ86)),0,IF((DN86=FALSE),IF((DN87=FALSE),IF(ISNA(DM87),0,IF((DQ86&lt;DS$44),IF((DQ87&lt;DS$44),((DS$44-((DQ86+DQ87)*0.5))*DT87),(((DS$44-DQ86)*0.5)*DT87)),IF((DQ87&lt;DS$44),(((DS$44-DQ87)*0.5)*DT87),0))),0),0))</f>
        <v>0</v>
      </c>
      <c s="588" r="DV87">
        <f>IF(ISNA((DQ87*DQ86)),0,IF((DN86=FALSE),IF((DN87=FALSE),IF(ISNA(DQ87),0,IF((DQ86&lt;DS$44),IF((DQ87&lt;DS$44),(((DT87^2)+((DQ87-DQ86)^2))^0.5),(((DT87^2)+((DS$44-DQ86)^2))^0.5)),IF((DQ87&lt;DS$44),(((DT87^2)+((DS$44-DQ87)^2))^0.5),0))),0),0))</f>
        <v>0</v>
      </c>
      <c s="588" r="DW87">
        <f>IF(ISNUMBER((DQ87*DQ86)),IF((DQ86&gt;=DC$148),IF((DQ87&lt;DC$148),1,0),IF((DQ87&gt;=DC$148),IF((DQ86&lt;DC$148),1,0),0)),0)</f>
        <v>0</v>
      </c>
      <c s="588" r="DX87">
        <f>IF(ISNA((DQ87*DQ86)),0,(IF((DP87&lt;DP86),-1,1)*(IF(ISNA(DQ87),0,IF((DQ86&lt;DC$148),IF((DQ87&lt;DC$148),(((DP87-DP86)^2)^0.5),(((((DC$148-DQ86)*(DP87-DP86))/(DQ87-DQ86))^2)^0.5)),IF((DQ87&lt;DC$148),(((((DC$148-DQ87)*(DP87-DP86))/(DQ86-DQ87))^2)^0.5),0))))))</f>
        <v>0</v>
      </c>
      <c s="441" r="DY87">
        <f>IF((DU87&gt;0),(MAX(DY$47:DY86)+1),0)</f>
        <v>0</v>
      </c>
      <c s="388" r="DZ87"/>
      <c s="406" r="EA87"/>
      <c s="886" r="EB87"/>
      <c s="886" r="EC87"/>
      <c s="886" r="ED87"/>
      <c s="886" r="EE87"/>
      <c s="418" r="EF87"/>
      <c s="550" r="EG87"/>
      <c s="550" r="EH87"/>
      <c t="str" s="620" r="EI87">
        <f>IF((COUNT(EH87:EH$146,EJ87:EJ$146)=0),NA(),IF(ISBLANK(EH87),EI86,(EI86+(EH87-EJ86))))</f>
        <v>#N/A:explicit</v>
      </c>
      <c s="550" r="EJ87"/>
      <c t="str" s="620" r="EK87">
        <f>IF(OR(ISBLANK(EJ87),ISNUMBER(EH88)),NA(),(EI87-EJ87))</f>
        <v>#N/A:explicit</v>
      </c>
      <c t="b" s="895" r="EL87">
        <v>0</v>
      </c>
      <c s="631" r="EM87"/>
      <c t="str" s="309" r="EN87">
        <f>IF((COUNT(EG87:EG$146)=0),NA(),IF(ISBLANK(EG87),IF(ISBLANK(EG86),MAX(EG$46:EG87),EG86),EG87))</f>
        <v>#N/A:explicit</v>
      </c>
      <c t="str" s="861" r="EO87">
        <f>IF(ISNA(EK87),IF(ISNUMBER(EN87),EO86,NA()),EK87)</f>
        <v>#N/A:explicit</v>
      </c>
      <c s="861" r="EP87">
        <f>IF(ISNUMBER(EO87),EO87,(EI$46+1000))</f>
        <v>1000</v>
      </c>
      <c t="str" s="588" r="EQ87">
        <f>IF((EL87=TRUE),NA(),IF((EQ$44=(EI$46-MAX(EJ$46:EJ$146))),NA(),EQ$44))</f>
        <v>#N/A:explicit</v>
      </c>
      <c s="588" r="ER87">
        <f>IF((ISNA(((EO87*EN87)*EO86))),0,(IF((EN87&lt;EN86),-1,1)*(IF((EL86=FALSE),IF((EL87=FALSE),IF(ISNA(EO87),0,IF((EO86&lt;EQ$44),IF((EO87&lt;EQ$44),(((EN87-EN86)^2)^0.5),(((((EQ$44-EO86)*(EN87-EN86))/(EO87-EO86))^2)^0.5)),IF((EO87&lt;EQ$44),(((((EQ$44-EO87)*(EN87-EN86))/(EO86-EO87))^2)^0.5),0))),0),0))))</f>
        <v>0</v>
      </c>
      <c s="588" r="ES87">
        <f>IF(ISNA((EO87*EO86)),0,IF((EL86=FALSE),IF((EL87=FALSE),IF(ISNA(EK87),0,IF((EO86&lt;EQ$44),IF((EO87&lt;EQ$44),((EQ$44-((EO86+EO87)*0.5))*ER87),(((EQ$44-EO86)*0.5)*ER87)),IF((EO87&lt;EQ$44),(((EQ$44-EO87)*0.5)*ER87),0))),0),0))</f>
        <v>0</v>
      </c>
      <c s="588" r="ET87">
        <f>IF(ISNA((EO87*EO86)),0,IF((EL86=FALSE),IF((EL87=FALSE),IF(ISNA(EO87),0,IF((EO86&lt;EQ$44),IF((EO87&lt;EQ$44),(((ER87^2)+((EO87-EO86)^2))^0.5),(((ER87^2)+((EQ$44-EO86)^2))^0.5)),IF((EO87&lt;EQ$44),(((ER87^2)+((EQ$44-EO87)^2))^0.5),0))),0),0))</f>
        <v>0</v>
      </c>
      <c s="588" r="EU87">
        <f>IF(ISNUMBER((EO87*EO86)),IF((EO86&gt;=EA$148),IF((EO87&lt;EA$148),1,0),IF((EO87&gt;=EA$148),IF((EO86&lt;EA$148),1,0),0)),0)</f>
        <v>0</v>
      </c>
      <c s="588" r="EV87">
        <f>IF(ISNA((EO87*EO86)),0,(IF((EN87&lt;EN86),-1,1)*(IF(ISNA(EO87),0,IF((EO86&lt;EA$148),IF((EO87&lt;EA$148),(((EN87-EN86)^2)^0.5),(((((EA$148-EO86)*(EN87-EN86))/(EO87-EO86))^2)^0.5)),IF((EO87&lt;EA$148),(((((EA$148-EO87)*(EN87-EN86))/(EO86-EO87))^2)^0.5),0))))))</f>
        <v>0</v>
      </c>
      <c s="441" r="EW87">
        <f>IF((ES87&gt;0),(MAX(EW$47:EW86)+1),0)</f>
        <v>0</v>
      </c>
      <c s="388" r="EX87"/>
      <c s="406" r="EY87"/>
      <c s="886" r="EZ87"/>
      <c s="886" r="FA87"/>
      <c s="886" r="FB87"/>
      <c s="886" r="FC87"/>
      <c s="418" r="FD87"/>
      <c s="550" r="FE87"/>
      <c s="550" r="FF87"/>
      <c t="str" s="620" r="FG87">
        <f>IF((COUNT(FF87:FF$146,FH87:FH$146)=0),NA(),IF(ISBLANK(FF87),FG86,(FG86+(FF87-FH86))))</f>
        <v>#N/A:explicit</v>
      </c>
      <c s="550" r="FH87"/>
      <c t="str" s="620" r="FI87">
        <f>IF(OR(ISBLANK(FH87),ISNUMBER(FF88)),NA(),(FG87-FH87))</f>
        <v>#N/A:explicit</v>
      </c>
      <c t="b" s="895" r="FJ87">
        <v>0</v>
      </c>
      <c s="631" r="FK87"/>
      <c t="str" s="309" r="FL87">
        <f>IF((COUNT(FE87:FE$146)=0),NA(),IF(ISBLANK(FE87),IF(ISBLANK(FE86),MAX(FE$46:FE87),FE86),FE87))</f>
        <v>#N/A:explicit</v>
      </c>
      <c t="str" s="861" r="FM87">
        <f>IF(ISNA(FI87),IF(ISNUMBER(FL87),FM86,NA()),FI87)</f>
        <v>#N/A:explicit</v>
      </c>
      <c s="861" r="FN87">
        <f>IF(ISNUMBER(FM87),FM87,(FG$46+1000))</f>
        <v>1000</v>
      </c>
      <c t="str" s="588" r="FO87">
        <f>IF((FJ87=TRUE),NA(),IF((FO$44=(FG$46-MAX(FH$46:FH$146))),NA(),FO$44))</f>
        <v>#N/A:explicit</v>
      </c>
      <c s="588" r="FP87">
        <f>IF((ISNA(((FM87*FL87)*FM86))),0,(IF((FL87&lt;FL86),-1,1)*(IF((FJ86=FALSE),IF((FJ87=FALSE),IF(ISNA(FM87),0,IF((FM86&lt;FO$44),IF((FM87&lt;FO$44),(((FL87-FL86)^2)^0.5),(((((FO$44-FM86)*(FL87-FL86))/(FM87-FM86))^2)^0.5)),IF((FM87&lt;FO$44),(((((FO$44-FM87)*(FL87-FL86))/(FM86-FM87))^2)^0.5),0))),0),0))))</f>
        <v>0</v>
      </c>
      <c s="588" r="FQ87">
        <f>IF(ISNA((FM87*FM86)),0,IF((FJ86=FALSE),IF((FJ87=FALSE),IF(ISNA(FI87),0,IF((FM86&lt;FO$44),IF((FM87&lt;FO$44),((FO$44-((FM86+FM87)*0.5))*FP87),(((FO$44-FM86)*0.5)*FP87)),IF((FM87&lt;FO$44),(((FO$44-FM87)*0.5)*FP87),0))),0),0))</f>
        <v>0</v>
      </c>
      <c s="588" r="FR87">
        <f>IF(ISNA((FM87*FM86)),0,IF((FJ86=FALSE),IF((FJ87=FALSE),IF(ISNA(FM87),0,IF((FM86&lt;FO$44),IF((FM87&lt;FO$44),(((FP87^2)+((FM87-FM86)^2))^0.5),(((FP87^2)+((FO$44-FM86)^2))^0.5)),IF((FM87&lt;FO$44),(((FP87^2)+((FO$44-FM87)^2))^0.5),0))),0),0))</f>
        <v>0</v>
      </c>
      <c s="588" r="FS87">
        <f>IF(ISNUMBER((FM87*FM86)),IF((FM86&gt;=EY$148),IF((FM87&lt;EY$148),1,0),IF((FM87&gt;=EY$148),IF((FM86&lt;EY$148),1,0),0)),0)</f>
        <v>0</v>
      </c>
      <c s="588" r="FT87">
        <f>IF(ISNA((FM87*FM86)),0,(IF((FL87&lt;FL86),-1,1)*(IF(ISNA(FM87),0,IF((FM86&lt;EY$148),IF((FM87&lt;EY$148),(((FL87-FL86)^2)^0.5),(((((EY$148-FM86)*(FL87-FL86))/(FM87-FM86))^2)^0.5)),IF((FM87&lt;EY$148),(((((EY$148-FM87)*(FL87-FL86))/(FM86-FM87))^2)^0.5),0))))))</f>
        <v>0</v>
      </c>
      <c s="441" r="FU87">
        <f>IF((FQ87&gt;0),(MAX(FU$47:FU86)+1),0)</f>
        <v>0</v>
      </c>
      <c s="222" r="FV87"/>
      <c s="125" r="FW87"/>
      <c s="125" r="FX87"/>
      <c s="125" r="FY87"/>
      <c s="125" r="FZ87"/>
      <c s="125" r="GA87"/>
      <c s="125" r="GB87"/>
      <c s="125" r="GC87"/>
      <c s="125" r="GD87"/>
      <c s="125" r="GE87"/>
      <c s="125" r="GF87"/>
      <c s="125" r="GG87"/>
      <c s="125" r="GH87"/>
      <c s="125" r="GI87"/>
      <c s="125" r="GJ87"/>
      <c s="125" r="GK87"/>
      <c s="125" r="GL87"/>
      <c s="125" r="GM87"/>
      <c s="125" r="GN87"/>
      <c s="125" r="GO87"/>
      <c s="125" r="GP87"/>
      <c s="125" r="GQ87"/>
      <c s="125" r="GR87"/>
      <c s="125" r="GS87"/>
      <c s="125" r="GT87"/>
      <c s="125" r="GU87"/>
      <c s="125" r="GV87"/>
      <c s="125" r="GW87"/>
      <c s="125" r="GX87"/>
      <c s="125" r="GY87"/>
      <c s="125" r="GZ87"/>
      <c s="125" r="HA87"/>
      <c s="125" r="HB87"/>
    </row>
    <row customHeight="1" r="88" ht="13.5">
      <c s="822" r="A88"/>
      <c t="s" s="738" r="B88">
        <v>57</v>
      </c>
      <c s="664" r="C88"/>
      <c s="664" r="D88"/>
      <c t="str" s="94" r="E88">
        <f>"width flood prone area "&amp;IF((H4=2),"(m)","(ft)")</f>
        <v>width flood prone area (ft)</v>
      </c>
      <c t="str" s="527" r="F88">
        <f>IF(ISBLANK(E29),IF(ISNUMBER(E30),E30,"---"),E29)</f>
        <v>---</v>
      </c>
      <c t="str" s="544" r="G88">
        <f>IF(ISBLANK(G29),IF(ISNUMBER(G30),G30,"---"),G29)</f>
        <v>---</v>
      </c>
      <c t="str" s="346" r="H88">
        <f>IF(ISBLANK(H29),IF(ISNUMBER(H30),H30,"---"),H29)</f>
        <v>---</v>
      </c>
      <c s="51" r="I88"/>
      <c s="822" r="J88"/>
      <c s="406" r="K88"/>
      <c s="886" r="L88"/>
      <c s="886" r="M88"/>
      <c s="886" r="N88"/>
      <c s="886" r="O88"/>
      <c s="418" r="P88"/>
      <c s="550" r="Q88"/>
      <c s="550" r="R88"/>
      <c t="str" s="620" r="S88">
        <f>IF((COUNT(R88:R$146,T88:T$146)=0),NA(),IF(ISBLANK(R88),S87,(S87+(R88-T87))))</f>
        <v>#N/A:explicit</v>
      </c>
      <c s="550" r="T88"/>
      <c t="str" s="620" r="U88">
        <f>IF(OR(ISBLANK(T88),ISNUMBER(R89)),NA(),(S88-T88))</f>
        <v>#N/A:explicit</v>
      </c>
      <c t="b" s="895" r="V88">
        <v>0</v>
      </c>
      <c s="631" r="W88"/>
      <c t="str" s="309" r="X88">
        <f>IF((COUNT(Q88:Q$146)=0),NA(),IF(ISBLANK(Q88),IF(ISBLANK(Q87),MAX(Q$46:Q88),Q87),Q88))</f>
        <v>#N/A:explicit</v>
      </c>
      <c t="str" s="861" r="Y88">
        <f>IF(ISNA(U88),IF(ISNUMBER(X88),Y87,NA()),U88)</f>
        <v>#N/A:explicit</v>
      </c>
      <c s="861" r="Z88">
        <f>IF(ISNUMBER(Y88),Y88,(S$46+1000))</f>
        <v>1000</v>
      </c>
      <c t="str" s="588" r="AA88">
        <f>IF((V88=TRUE),NA(),IF((AA$44=(S$46-MAX(T$46:T$146))),NA(),AA$44))</f>
        <v>#N/A:explicit</v>
      </c>
      <c s="588" r="AB88">
        <f>IF((ISNA(((Y88*X88)*Y87))),0,(IF((X88&lt;X87),-1,1)*(IF((V87=FALSE),IF((V88=FALSE),IF(ISNA(Y88),0,IF((Y87&lt;AA$44),IF((Y88&lt;AA$44),(((X88-X87)^2)^0.5),(((((AA$44-Y87)*(X88-X87))/(Y88-Y87))^2)^0.5)),IF((Y88&lt;AA$44),(((((AA$44-Y88)*(X88-X87))/(Y87-Y88))^2)^0.5),0))),0),0))))</f>
        <v>0</v>
      </c>
      <c s="588" r="AC88">
        <f>IF(ISNA((Y88*Y87)),0,IF((V87=FALSE),IF((V88=FALSE),IF(ISNA(U88),0,IF((Y87&lt;AA$44),IF((Y88&lt;AA$44),((AA$44-((Y87+Y88)*0.5))*AB88),(((AA$44-Y87)*0.5)*AB88)),IF((Y88&lt;AA$44),(((AA$44-Y88)*0.5)*AB88),0))),0),0))</f>
        <v>0</v>
      </c>
      <c s="588" r="AD88">
        <f>IF(ISNA((Y88*Y87)),0,IF((V87=FALSE),IF((V88=FALSE),IF(ISNA(Y88),0,IF((Y87&lt;AA$44),IF((Y88&lt;AA$44),(((AB88^2)+((Y88-Y87)^2))^0.5),(((AB88^2)+((AA$44-Y87)^2))^0.5)),IF((Y88&lt;AA$44),(((AB88^2)+((AA$44-Y88)^2))^0.5),0))),0),0))</f>
        <v>0</v>
      </c>
      <c s="588" r="AE88">
        <f>IF(ISNUMBER((Y88*Y87)),IF((Y87&gt;=K$148),IF((Y88&lt;K$148),1,0),IF((Y88&gt;=K$148),IF((Y87&lt;K$148),1,0),0)),0)</f>
        <v>0</v>
      </c>
      <c s="588" r="AF88">
        <f>IF(ISNA((Y88*Y87)),0,(IF((X88&lt;X87),-1,1)*(IF(ISNA(Y88),0,IF((Y87&lt;K$148),IF((Y88&lt;K$148),(((X88-X87)^2)^0.5),(((((K$148-Y87)*(X88-X87))/(Y88-Y87))^2)^0.5)),IF((Y88&lt;K$148),(((((K$148-Y88)*(X88-X87))/(Y87-Y88))^2)^0.5),0))))))</f>
        <v>0</v>
      </c>
      <c s="441" r="AG88">
        <f>IF((AC88&gt;0),(MAX(AG$47:AG87)+1),0)</f>
        <v>0</v>
      </c>
      <c s="388" r="AH88"/>
      <c s="406" r="AI88"/>
      <c s="886" r="AJ88"/>
      <c s="886" r="AK88"/>
      <c s="886" r="AL88"/>
      <c s="886" r="AM88"/>
      <c s="418" r="AN88"/>
      <c s="550" r="AO88"/>
      <c s="550" r="AP88"/>
      <c t="str" s="620" r="AQ88">
        <f>IF((COUNT(AP88:AP$146,AR88:AR$146)=0),NA(),IF(ISBLANK(AP88),AQ87,(AQ87+(AP88-AR87))))</f>
        <v>#N/A:explicit</v>
      </c>
      <c s="550" r="AR88"/>
      <c t="str" s="620" r="AS88">
        <f>IF(OR(ISBLANK(AR88),ISNUMBER(AP89)),NA(),(AQ88-AR88))</f>
        <v>#N/A:explicit</v>
      </c>
      <c t="b" s="895" r="AT88">
        <v>0</v>
      </c>
      <c s="631" r="AU88"/>
      <c t="str" s="309" r="AV88">
        <f>IF((COUNT(AO88:AO$146)=0),NA(),IF(ISBLANK(AO88),IF(ISBLANK(AO87),MAX(AO$46:AO88),AO87),AO88))</f>
        <v>#N/A:explicit</v>
      </c>
      <c t="str" s="861" r="AW88">
        <f>IF(ISNA(AS88),IF(ISNUMBER(AV88),AW87,NA()),AS88)</f>
        <v>#N/A:explicit</v>
      </c>
      <c s="861" r="AX88">
        <f>IF(ISNUMBER(AW88),AW88,(AQ$46+1000))</f>
        <v>1000</v>
      </c>
      <c t="str" s="588" r="AY88">
        <f>IF((AT88=TRUE),NA(),IF((AY$44=(AQ$46-MAX(AR$46:AR$146))),NA(),AY$44))</f>
        <v>#N/A:explicit</v>
      </c>
      <c s="588" r="AZ88">
        <f>IF((ISNA(((AW88*AV88)*AW87))),0,(IF((AV88&lt;AV87),-1,1)*(IF((AT87=FALSE),IF((AT88=FALSE),IF(ISNA(AW88),0,IF((AW87&lt;AY$44),IF((AW88&lt;AY$44),(((AV88-AV87)^2)^0.5),(((((AY$44-AW87)*(AV88-AV87))/(AW88-AW87))^2)^0.5)),IF((AW88&lt;AY$44),(((((AY$44-AW88)*(AV88-AV87))/(AW87-AW88))^2)^0.5),0))),0),0))))</f>
        <v>0</v>
      </c>
      <c s="588" r="BA88">
        <f>IF(ISNA((AW88*AW87)),0,IF((AT87=FALSE),IF((AT88=FALSE),IF(ISNA(AS88),0,IF((AW87&lt;AY$44),IF((AW88&lt;AY$44),((AY$44-((AW87+AW88)*0.5))*AZ88),(((AY$44-AW87)*0.5)*AZ88)),IF((AW88&lt;AY$44),(((AY$44-AW88)*0.5)*AZ88),0))),0),0))</f>
        <v>0</v>
      </c>
      <c s="588" r="BB88">
        <f>IF(ISNA((AW88*AW87)),0,IF((AT87=FALSE),IF((AT88=FALSE),IF(ISNA(AW88),0,IF((AW87&lt;AY$44),IF((AW88&lt;AY$44),(((AZ88^2)+((AW88-AW87)^2))^0.5),(((AZ88^2)+((AY$44-AW87)^2))^0.5)),IF((AW88&lt;AY$44),(((AZ88^2)+((AY$44-AW88)^2))^0.5),0))),0),0))</f>
        <v>0</v>
      </c>
      <c s="588" r="BC88">
        <f>IF(ISNUMBER((AW88*AW87)),IF((AW87&gt;=AI$148),IF((AW88&lt;AI$148),1,0),IF((AW88&gt;=AI$148),IF((AW87&lt;AI$148),1,0),0)),0)</f>
        <v>0</v>
      </c>
      <c s="588" r="BD88">
        <f>IF(ISNA((AW88*AW87)),0,(IF((AV88&lt;AV87),-1,1)*(IF(ISNA(AW88),0,IF((AW87&lt;AI$148),IF((AW88&lt;AI$148),(((AV88-AV87)^2)^0.5),(((((AI$148-AW87)*(AV88-AV87))/(AW88-AW87))^2)^0.5)),IF((AW88&lt;AI$148),(((((AI$148-AW88)*(AV88-AV87))/(AW87-AW88))^2)^0.5),0))))))</f>
        <v>0</v>
      </c>
      <c s="441" r="BE88">
        <f>IF((BA88&gt;0),(MAX(BE$47:BE87)+1),0)</f>
        <v>0</v>
      </c>
      <c s="388" r="BF88"/>
      <c s="406" r="BG88"/>
      <c s="886" r="BH88"/>
      <c s="886" r="BI88"/>
      <c s="886" r="BJ88"/>
      <c s="886" r="BK88"/>
      <c s="418" r="BL88"/>
      <c s="550" r="BM88"/>
      <c s="550" r="BN88"/>
      <c t="str" s="620" r="BO88">
        <f>IF((COUNT(BN88:BN$146,BP88:BP$146)=0),NA(),IF(ISBLANK(BN88),BO87,(BO87+(BN88-BP87))))</f>
        <v>#N/A:explicit</v>
      </c>
      <c s="550" r="BP88"/>
      <c t="str" s="620" r="BQ88">
        <f>IF(OR(ISBLANK(BP88),ISNUMBER(BN89)),NA(),(BO88-BP88))</f>
        <v>#N/A:explicit</v>
      </c>
      <c t="b" s="895" r="BR88">
        <v>0</v>
      </c>
      <c s="631" r="BS88"/>
      <c t="str" s="309" r="BT88">
        <f>IF((COUNT(BM88:BM$146)=0),NA(),IF(ISBLANK(BM88),IF(ISBLANK(BM87),MAX(BM$46:BM88),BM87),BM88))</f>
        <v>#N/A:explicit</v>
      </c>
      <c t="str" s="861" r="BU88">
        <f>IF(ISNA(BQ88),IF(ISNUMBER(BT88),BU87,NA()),BQ88)</f>
        <v>#N/A:explicit</v>
      </c>
      <c s="861" r="BV88">
        <f>IF(ISNUMBER(BU88),BU88,(BO$46+1000))</f>
        <v>1000</v>
      </c>
      <c t="str" s="588" r="BW88">
        <f>IF((BR88=TRUE),NA(),IF((BW$44=(BO$46-MAX(BP$46:BP$146))),NA(),BW$44))</f>
        <v>#N/A:explicit</v>
      </c>
      <c s="588" r="BX88">
        <f>IF((ISNA(((BU88*BT88)*BU87))),0,(IF((BT88&lt;BT87),-1,1)*(IF((BR87=FALSE),IF((BR88=FALSE),IF(ISNA(BU88),0,IF((BU87&lt;BW$44),IF((BU88&lt;BW$44),(((BT88-BT87)^2)^0.5),(((((BW$44-BU87)*(BT88-BT87))/(BU88-BU87))^2)^0.5)),IF((BU88&lt;BW$44),(((((BW$44-BU88)*(BT88-BT87))/(BU87-BU88))^2)^0.5),0))),0),0))))</f>
        <v>0</v>
      </c>
      <c s="588" r="BY88">
        <f>IF(ISNA((BU88*BU87)),0,IF((BR87=FALSE),IF((BR88=FALSE),IF(ISNA(BQ88),0,IF((BU87&lt;BW$44),IF((BU88&lt;BW$44),((BW$44-((BU87+BU88)*0.5))*BX88),(((BW$44-BU87)*0.5)*BX88)),IF((BU88&lt;BW$44),(((BW$44-BU88)*0.5)*BX88),0))),0),0))</f>
        <v>0</v>
      </c>
      <c s="588" r="BZ88">
        <f>IF(ISNA((BU88*BU87)),0,IF((BR87=FALSE),IF((BR88=FALSE),IF(ISNA(BU88),0,IF((BU87&lt;BW$44),IF((BU88&lt;BW$44),(((BX88^2)+((BU88-BU87)^2))^0.5),(((BX88^2)+((BW$44-BU87)^2))^0.5)),IF((BU88&lt;BW$44),(((BX88^2)+((BW$44-BU88)^2))^0.5),0))),0),0))</f>
        <v>0</v>
      </c>
      <c s="588" r="CA88">
        <f>IF(ISNUMBER((BU88*BU87)),IF((BU87&gt;=BG$148),IF((BU88&lt;BG$148),1,0),IF((BU88&gt;=BG$148),IF((BU87&lt;BG$148),1,0),0)),0)</f>
        <v>0</v>
      </c>
      <c s="588" r="CB88">
        <f>IF(ISNA((BU88*BU87)),0,(IF((BT88&lt;BT87),-1,1)*(IF(ISNA(BU88),0,IF((BU87&lt;BG$148),IF((BU88&lt;BG$148),(((BT88-BT87)^2)^0.5),(((((BG$148-BU87)*(BT88-BT87))/(BU88-BU87))^2)^0.5)),IF((BU88&lt;BG$148),(((((BG$148-BU88)*(BT88-BT87))/(BU87-BU88))^2)^0.5),0))))))</f>
        <v>0</v>
      </c>
      <c s="441" r="CC88">
        <f>IF((BY88&gt;0),(MAX(CC$47:CC87)+1),0)</f>
        <v>0</v>
      </c>
      <c s="388" r="CD88"/>
      <c s="406" r="CE88"/>
      <c s="886" r="CF88"/>
      <c s="886" r="CG88"/>
      <c s="886" r="CH88"/>
      <c s="886" r="CI88"/>
      <c s="418" r="CJ88"/>
      <c s="550" r="CK88"/>
      <c s="550" r="CL88"/>
      <c t="str" s="620" r="CM88">
        <f>IF((COUNT(CL88:CL$146,CN88:CN$146)=0),NA(),IF(ISBLANK(CL88),CM87,(CM87+(CL88-CN87))))</f>
        <v>#N/A:explicit</v>
      </c>
      <c s="550" r="CN88"/>
      <c t="str" s="620" r="CO88">
        <f>IF(OR(ISBLANK(CN88),ISNUMBER(CL89)),NA(),(CM88-CN88))</f>
        <v>#N/A:explicit</v>
      </c>
      <c t="b" s="895" r="CP88">
        <v>0</v>
      </c>
      <c s="631" r="CQ88"/>
      <c t="str" s="309" r="CR88">
        <f>IF((COUNT(CK88:CK$146)=0),NA(),IF(ISBLANK(CK88),IF(ISBLANK(CK87),MAX(CK$46:CK88),CK87),CK88))</f>
        <v>#N/A:explicit</v>
      </c>
      <c t="str" s="861" r="CS88">
        <f>IF(ISNA(CO88),IF(ISNUMBER(CR88),CS87,NA()),CO88)</f>
        <v>#N/A:explicit</v>
      </c>
      <c s="861" r="CT88">
        <f>IF(ISNUMBER(CS88),CS88,(CM$46+1000))</f>
        <v>1000</v>
      </c>
      <c t="str" s="588" r="CU88">
        <f>IF((CP88=TRUE),NA(),IF((CU$44=(CM$46-MAX(CN$46:CN$146))),NA(),CU$44))</f>
        <v>#N/A:explicit</v>
      </c>
      <c s="588" r="CV88">
        <f>IF((ISNA(((CS88*CR88)*CS87))),0,(IF((CR88&lt;CR87),-1,1)*(IF((CP87=FALSE),IF((CP88=FALSE),IF(ISNA(CS88),0,IF((CS87&lt;CU$44),IF((CS88&lt;CU$44),(((CR88-CR87)^2)^0.5),(((((CU$44-CS87)*(CR88-CR87))/(CS88-CS87))^2)^0.5)),IF((CS88&lt;CU$44),(((((CU$44-CS88)*(CR88-CR87))/(CS87-CS88))^2)^0.5),0))),0),0))))</f>
        <v>0</v>
      </c>
      <c s="588" r="CW88">
        <f>IF(ISNA((CS88*CS87)),0,IF((CP87=FALSE),IF((CP88=FALSE),IF(ISNA(CO88),0,IF((CS87&lt;CU$44),IF((CS88&lt;CU$44),((CU$44-((CS87+CS88)*0.5))*CV88),(((CU$44-CS87)*0.5)*CV88)),IF((CS88&lt;CU$44),(((CU$44-CS88)*0.5)*CV88),0))),0),0))</f>
        <v>0</v>
      </c>
      <c s="588" r="CX88">
        <f>IF(ISNA((CS88*CS87)),0,IF((CP87=FALSE),IF((CP88=FALSE),IF(ISNA(CS88),0,IF((CS87&lt;CU$44),IF((CS88&lt;CU$44),(((CV88^2)+((CS88-CS87)^2))^0.5),(((CV88^2)+((CU$44-CS87)^2))^0.5)),IF((CS88&lt;CU$44),(((CV88^2)+((CU$44-CS88)^2))^0.5),0))),0),0))</f>
        <v>0</v>
      </c>
      <c s="588" r="CY88">
        <f>IF(ISNUMBER((CS88*CS87)),IF((CS87&gt;=CE$148),IF((CS88&lt;CE$148),1,0),IF((CS88&gt;=CE$148),IF((CS87&lt;CE$148),1,0),0)),0)</f>
        <v>0</v>
      </c>
      <c s="588" r="CZ88">
        <f>IF(ISNA((CS88*CS87)),0,(IF((CR88&lt;CR87),-1,1)*(IF(ISNA(CS88),0,IF((CS87&lt;CE$148),IF((CS88&lt;CE$148),(((CR88-CR87)^2)^0.5),(((((CE$148-CS87)*(CR88-CR87))/(CS88-CS87))^2)^0.5)),IF((CS88&lt;CE$148),(((((CE$148-CS88)*(CR88-CR87))/(CS87-CS88))^2)^0.5),0))))))</f>
        <v>0</v>
      </c>
      <c s="441" r="DA88">
        <f>IF((CW88&gt;0),(MAX(DA$47:DA87)+1),0)</f>
        <v>0</v>
      </c>
      <c s="388" r="DB88"/>
      <c s="406" r="DC88"/>
      <c s="886" r="DD88"/>
      <c s="886" r="DE88"/>
      <c s="886" r="DF88"/>
      <c s="886" r="DG88"/>
      <c s="418" r="DH88"/>
      <c s="550" r="DI88"/>
      <c s="550" r="DJ88"/>
      <c t="str" s="620" r="DK88">
        <f>IF((COUNT(DJ88:DJ$146,DL88:DL$146)=0),NA(),IF(ISBLANK(DJ88),DK87,(DK87+(DJ88-DL87))))</f>
        <v>#N/A:explicit</v>
      </c>
      <c s="550" r="DL88"/>
      <c t="str" s="620" r="DM88">
        <f>IF(OR(ISBLANK(DL88),ISNUMBER(DJ89)),NA(),(DK88-DL88))</f>
        <v>#N/A:explicit</v>
      </c>
      <c t="b" s="895" r="DN88">
        <v>0</v>
      </c>
      <c s="631" r="DO88"/>
      <c t="str" s="309" r="DP88">
        <f>IF((COUNT(DI88:DI$146)=0),NA(),IF(ISBLANK(DI88),IF(ISBLANK(DI87),MAX(DI$46:DI88),DI87),DI88))</f>
        <v>#N/A:explicit</v>
      </c>
      <c t="str" s="861" r="DQ88">
        <f>IF(ISNA(DM88),IF(ISNUMBER(DP88),DQ87,NA()),DM88)</f>
        <v>#N/A:explicit</v>
      </c>
      <c s="861" r="DR88">
        <f>IF(ISNUMBER(DQ88),DQ88,(DK$46+1000))</f>
        <v>1000</v>
      </c>
      <c t="str" s="588" r="DS88">
        <f>IF((DN88=TRUE),NA(),IF((DS$44=(DK$46-MAX(DL$46:DL$146))),NA(),DS$44))</f>
        <v>#N/A:explicit</v>
      </c>
      <c s="588" r="DT88">
        <f>IF((ISNA(((DQ88*DP88)*DQ87))),0,(IF((DP88&lt;DP87),-1,1)*(IF((DN87=FALSE),IF((DN88=FALSE),IF(ISNA(DQ88),0,IF((DQ87&lt;DS$44),IF((DQ88&lt;DS$44),(((DP88-DP87)^2)^0.5),(((((DS$44-DQ87)*(DP88-DP87))/(DQ88-DQ87))^2)^0.5)),IF((DQ88&lt;DS$44),(((((DS$44-DQ88)*(DP88-DP87))/(DQ87-DQ88))^2)^0.5),0))),0),0))))</f>
        <v>0</v>
      </c>
      <c s="588" r="DU88">
        <f>IF(ISNA((DQ88*DQ87)),0,IF((DN87=FALSE),IF((DN88=FALSE),IF(ISNA(DM88),0,IF((DQ87&lt;DS$44),IF((DQ88&lt;DS$44),((DS$44-((DQ87+DQ88)*0.5))*DT88),(((DS$44-DQ87)*0.5)*DT88)),IF((DQ88&lt;DS$44),(((DS$44-DQ88)*0.5)*DT88),0))),0),0))</f>
        <v>0</v>
      </c>
      <c s="588" r="DV88">
        <f>IF(ISNA((DQ88*DQ87)),0,IF((DN87=FALSE),IF((DN88=FALSE),IF(ISNA(DQ88),0,IF((DQ87&lt;DS$44),IF((DQ88&lt;DS$44),(((DT88^2)+((DQ88-DQ87)^2))^0.5),(((DT88^2)+((DS$44-DQ87)^2))^0.5)),IF((DQ88&lt;DS$44),(((DT88^2)+((DS$44-DQ88)^2))^0.5),0))),0),0))</f>
        <v>0</v>
      </c>
      <c s="588" r="DW88">
        <f>IF(ISNUMBER((DQ88*DQ87)),IF((DQ87&gt;=DC$148),IF((DQ88&lt;DC$148),1,0),IF((DQ88&gt;=DC$148),IF((DQ87&lt;DC$148),1,0),0)),0)</f>
        <v>0</v>
      </c>
      <c s="588" r="DX88">
        <f>IF(ISNA((DQ88*DQ87)),0,(IF((DP88&lt;DP87),-1,1)*(IF(ISNA(DQ88),0,IF((DQ87&lt;DC$148),IF((DQ88&lt;DC$148),(((DP88-DP87)^2)^0.5),(((((DC$148-DQ87)*(DP88-DP87))/(DQ88-DQ87))^2)^0.5)),IF((DQ88&lt;DC$148),(((((DC$148-DQ88)*(DP88-DP87))/(DQ87-DQ88))^2)^0.5),0))))))</f>
        <v>0</v>
      </c>
      <c s="441" r="DY88">
        <f>IF((DU88&gt;0),(MAX(DY$47:DY87)+1),0)</f>
        <v>0</v>
      </c>
      <c s="388" r="DZ88"/>
      <c s="406" r="EA88"/>
      <c s="886" r="EB88"/>
      <c s="886" r="EC88"/>
      <c s="886" r="ED88"/>
      <c s="886" r="EE88"/>
      <c s="418" r="EF88"/>
      <c s="550" r="EG88"/>
      <c s="550" r="EH88"/>
      <c t="str" s="620" r="EI88">
        <f>IF((COUNT(EH88:EH$146,EJ88:EJ$146)=0),NA(),IF(ISBLANK(EH88),EI87,(EI87+(EH88-EJ87))))</f>
        <v>#N/A:explicit</v>
      </c>
      <c s="550" r="EJ88"/>
      <c t="str" s="620" r="EK88">
        <f>IF(OR(ISBLANK(EJ88),ISNUMBER(EH89)),NA(),(EI88-EJ88))</f>
        <v>#N/A:explicit</v>
      </c>
      <c t="b" s="895" r="EL88">
        <v>0</v>
      </c>
      <c s="631" r="EM88"/>
      <c t="str" s="309" r="EN88">
        <f>IF((COUNT(EG88:EG$146)=0),NA(),IF(ISBLANK(EG88),IF(ISBLANK(EG87),MAX(EG$46:EG88),EG87),EG88))</f>
        <v>#N/A:explicit</v>
      </c>
      <c t="str" s="861" r="EO88">
        <f>IF(ISNA(EK88),IF(ISNUMBER(EN88),EO87,NA()),EK88)</f>
        <v>#N/A:explicit</v>
      </c>
      <c s="861" r="EP88">
        <f>IF(ISNUMBER(EO88),EO88,(EI$46+1000))</f>
        <v>1000</v>
      </c>
      <c t="str" s="588" r="EQ88">
        <f>IF((EL88=TRUE),NA(),IF((EQ$44=(EI$46-MAX(EJ$46:EJ$146))),NA(),EQ$44))</f>
        <v>#N/A:explicit</v>
      </c>
      <c s="588" r="ER88">
        <f>IF((ISNA(((EO88*EN88)*EO87))),0,(IF((EN88&lt;EN87),-1,1)*(IF((EL87=FALSE),IF((EL88=FALSE),IF(ISNA(EO88),0,IF((EO87&lt;EQ$44),IF((EO88&lt;EQ$44),(((EN88-EN87)^2)^0.5),(((((EQ$44-EO87)*(EN88-EN87))/(EO88-EO87))^2)^0.5)),IF((EO88&lt;EQ$44),(((((EQ$44-EO88)*(EN88-EN87))/(EO87-EO88))^2)^0.5),0))),0),0))))</f>
        <v>0</v>
      </c>
      <c s="588" r="ES88">
        <f>IF(ISNA((EO88*EO87)),0,IF((EL87=FALSE),IF((EL88=FALSE),IF(ISNA(EK88),0,IF((EO87&lt;EQ$44),IF((EO88&lt;EQ$44),((EQ$44-((EO87+EO88)*0.5))*ER88),(((EQ$44-EO87)*0.5)*ER88)),IF((EO88&lt;EQ$44),(((EQ$44-EO88)*0.5)*ER88),0))),0),0))</f>
        <v>0</v>
      </c>
      <c s="588" r="ET88">
        <f>IF(ISNA((EO88*EO87)),0,IF((EL87=FALSE),IF((EL88=FALSE),IF(ISNA(EO88),0,IF((EO87&lt;EQ$44),IF((EO88&lt;EQ$44),(((ER88^2)+((EO88-EO87)^2))^0.5),(((ER88^2)+((EQ$44-EO87)^2))^0.5)),IF((EO88&lt;EQ$44),(((ER88^2)+((EQ$44-EO88)^2))^0.5),0))),0),0))</f>
        <v>0</v>
      </c>
      <c s="588" r="EU88">
        <f>IF(ISNUMBER((EO88*EO87)),IF((EO87&gt;=EA$148),IF((EO88&lt;EA$148),1,0),IF((EO88&gt;=EA$148),IF((EO87&lt;EA$148),1,0),0)),0)</f>
        <v>0</v>
      </c>
      <c s="588" r="EV88">
        <f>IF(ISNA((EO88*EO87)),0,(IF((EN88&lt;EN87),-1,1)*(IF(ISNA(EO88),0,IF((EO87&lt;EA$148),IF((EO88&lt;EA$148),(((EN88-EN87)^2)^0.5),(((((EA$148-EO87)*(EN88-EN87))/(EO88-EO87))^2)^0.5)),IF((EO88&lt;EA$148),(((((EA$148-EO88)*(EN88-EN87))/(EO87-EO88))^2)^0.5),0))))))</f>
        <v>0</v>
      </c>
      <c s="441" r="EW88">
        <f>IF((ES88&gt;0),(MAX(EW$47:EW87)+1),0)</f>
        <v>0</v>
      </c>
      <c s="388" r="EX88"/>
      <c s="406" r="EY88"/>
      <c s="886" r="EZ88"/>
      <c s="886" r="FA88"/>
      <c s="886" r="FB88"/>
      <c s="886" r="FC88"/>
      <c s="418" r="FD88"/>
      <c s="550" r="FE88"/>
      <c s="550" r="FF88"/>
      <c t="str" s="620" r="FG88">
        <f>IF((COUNT(FF88:FF$146,FH88:FH$146)=0),NA(),IF(ISBLANK(FF88),FG87,(FG87+(FF88-FH87))))</f>
        <v>#N/A:explicit</v>
      </c>
      <c s="550" r="FH88"/>
      <c t="str" s="620" r="FI88">
        <f>IF(OR(ISBLANK(FH88),ISNUMBER(FF89)),NA(),(FG88-FH88))</f>
        <v>#N/A:explicit</v>
      </c>
      <c t="b" s="895" r="FJ88">
        <v>0</v>
      </c>
      <c s="631" r="FK88"/>
      <c t="str" s="309" r="FL88">
        <f>IF((COUNT(FE88:FE$146)=0),NA(),IF(ISBLANK(FE88),IF(ISBLANK(FE87),MAX(FE$46:FE88),FE87),FE88))</f>
        <v>#N/A:explicit</v>
      </c>
      <c t="str" s="861" r="FM88">
        <f>IF(ISNA(FI88),IF(ISNUMBER(FL88),FM87,NA()),FI88)</f>
        <v>#N/A:explicit</v>
      </c>
      <c s="861" r="FN88">
        <f>IF(ISNUMBER(FM88),FM88,(FG$46+1000))</f>
        <v>1000</v>
      </c>
      <c t="str" s="588" r="FO88">
        <f>IF((FJ88=TRUE),NA(),IF((FO$44=(FG$46-MAX(FH$46:FH$146))),NA(),FO$44))</f>
        <v>#N/A:explicit</v>
      </c>
      <c s="588" r="FP88">
        <f>IF((ISNA(((FM88*FL88)*FM87))),0,(IF((FL88&lt;FL87),-1,1)*(IF((FJ87=FALSE),IF((FJ88=FALSE),IF(ISNA(FM88),0,IF((FM87&lt;FO$44),IF((FM88&lt;FO$44),(((FL88-FL87)^2)^0.5),(((((FO$44-FM87)*(FL88-FL87))/(FM88-FM87))^2)^0.5)),IF((FM88&lt;FO$44),(((((FO$44-FM88)*(FL88-FL87))/(FM87-FM88))^2)^0.5),0))),0),0))))</f>
        <v>0</v>
      </c>
      <c s="588" r="FQ88">
        <f>IF(ISNA((FM88*FM87)),0,IF((FJ87=FALSE),IF((FJ88=FALSE),IF(ISNA(FI88),0,IF((FM87&lt;FO$44),IF((FM88&lt;FO$44),((FO$44-((FM87+FM88)*0.5))*FP88),(((FO$44-FM87)*0.5)*FP88)),IF((FM88&lt;FO$44),(((FO$44-FM88)*0.5)*FP88),0))),0),0))</f>
        <v>0</v>
      </c>
      <c s="588" r="FR88">
        <f>IF(ISNA((FM88*FM87)),0,IF((FJ87=FALSE),IF((FJ88=FALSE),IF(ISNA(FM88),0,IF((FM87&lt;FO$44),IF((FM88&lt;FO$44),(((FP88^2)+((FM88-FM87)^2))^0.5),(((FP88^2)+((FO$44-FM87)^2))^0.5)),IF((FM88&lt;FO$44),(((FP88^2)+((FO$44-FM88)^2))^0.5),0))),0),0))</f>
        <v>0</v>
      </c>
      <c s="588" r="FS88">
        <f>IF(ISNUMBER((FM88*FM87)),IF((FM87&gt;=EY$148),IF((FM88&lt;EY$148),1,0),IF((FM88&gt;=EY$148),IF((FM87&lt;EY$148),1,0),0)),0)</f>
        <v>0</v>
      </c>
      <c s="588" r="FT88">
        <f>IF(ISNA((FM88*FM87)),0,(IF((FL88&lt;FL87),-1,1)*(IF(ISNA(FM88),0,IF((FM87&lt;EY$148),IF((FM88&lt;EY$148),(((FL88-FL87)^2)^0.5),(((((EY$148-FM87)*(FL88-FL87))/(FM88-FM87))^2)^0.5)),IF((FM88&lt;EY$148),(((((EY$148-FM88)*(FL88-FL87))/(FM87-FM88))^2)^0.5),0))))))</f>
        <v>0</v>
      </c>
      <c s="441" r="FU88">
        <f>IF((FQ88&gt;0),(MAX(FU$47:FU87)+1),0)</f>
        <v>0</v>
      </c>
      <c s="222" r="FV88"/>
      <c s="125" r="FW88"/>
      <c s="125" r="FX88"/>
      <c s="125" r="FY88"/>
      <c s="125" r="FZ88"/>
      <c s="125" r="GA88"/>
      <c s="125" r="GB88"/>
      <c s="125" r="GC88"/>
      <c s="125" r="GD88"/>
      <c s="125" r="GE88"/>
      <c s="125" r="GF88"/>
      <c s="125" r="GG88"/>
      <c s="125" r="GH88"/>
      <c s="125" r="GI88"/>
      <c s="125" r="GJ88"/>
      <c s="125" r="GK88"/>
      <c s="125" r="GL88"/>
      <c s="125" r="GM88"/>
      <c s="125" r="GN88"/>
      <c s="125" r="GO88"/>
      <c s="125" r="GP88"/>
      <c s="125" r="GQ88"/>
      <c s="125" r="GR88"/>
      <c s="125" r="GS88"/>
      <c s="125" r="GT88"/>
      <c s="125" r="GU88"/>
      <c s="125" r="GV88"/>
      <c s="125" r="GW88"/>
      <c s="125" r="GX88"/>
      <c s="125" r="GY88"/>
      <c s="125" r="GZ88"/>
      <c s="125" r="HA88"/>
      <c s="125" r="HB88"/>
    </row>
    <row customHeight="1" r="89" ht="13.5">
      <c s="822" r="A89"/>
      <c s="56" r="B89"/>
      <c s="673" r="C89"/>
      <c s="673" r="D89"/>
      <c t="str" s="369" r="E89">
        <f>"low bank height "&amp;IF((H4=2),"(m)","(ft)")</f>
        <v>low bank height (ft)</v>
      </c>
      <c t="str" s="833" r="F89">
        <f>IF(ISBLANK(E32),IF(ISNUMBER(E33),E33,"---"),E32)</f>
        <v>---</v>
      </c>
      <c t="str" s="347" r="G89">
        <f>IF(ISBLANK(G32),IF(ISNUMBER(G33),G33,"---"),G32)</f>
        <v>---</v>
      </c>
      <c t="str" s="629" r="H89">
        <f>IF(ISBLANK(H32),IF(ISNUMBER(H33),H33,"---"),H32)</f>
        <v>---</v>
      </c>
      <c s="51" r="I89"/>
      <c s="822" r="J89"/>
      <c s="406" r="K89"/>
      <c s="886" r="L89"/>
      <c s="886" r="M89"/>
      <c s="886" r="N89"/>
      <c s="886" r="O89"/>
      <c s="418" r="P89"/>
      <c s="550" r="Q89"/>
      <c s="550" r="R89"/>
      <c t="str" s="620" r="S89">
        <f>IF((COUNT(R89:R$146,T89:T$146)=0),NA(),IF(ISBLANK(R89),S88,(S88+(R89-T88))))</f>
        <v>#N/A:explicit</v>
      </c>
      <c s="550" r="T89"/>
      <c t="str" s="620" r="U89">
        <f>IF(OR(ISBLANK(T89),ISNUMBER(R90)),NA(),(S89-T89))</f>
        <v>#N/A:explicit</v>
      </c>
      <c t="b" s="895" r="V89">
        <v>0</v>
      </c>
      <c s="631" r="W89"/>
      <c t="str" s="309" r="X89">
        <f>IF((COUNT(Q89:Q$146)=0),NA(),IF(ISBLANK(Q89),IF(ISBLANK(Q88),MAX(Q$46:Q89),Q88),Q89))</f>
        <v>#N/A:explicit</v>
      </c>
      <c t="str" s="861" r="Y89">
        <f>IF(ISNA(U89),IF(ISNUMBER(X89),Y88,NA()),U89)</f>
        <v>#N/A:explicit</v>
      </c>
      <c s="861" r="Z89">
        <f>IF(ISNUMBER(Y89),Y89,(S$46+1000))</f>
        <v>1000</v>
      </c>
      <c t="str" s="588" r="AA89">
        <f>IF((V89=TRUE),NA(),IF((AA$44=(S$46-MAX(T$46:T$146))),NA(),AA$44))</f>
        <v>#N/A:explicit</v>
      </c>
      <c s="588" r="AB89">
        <f>IF((ISNA(((Y89*X89)*Y88))),0,(IF((X89&lt;X88),-1,1)*(IF((V88=FALSE),IF((V89=FALSE),IF(ISNA(Y89),0,IF((Y88&lt;AA$44),IF((Y89&lt;AA$44),(((X89-X88)^2)^0.5),(((((AA$44-Y88)*(X89-X88))/(Y89-Y88))^2)^0.5)),IF((Y89&lt;AA$44),(((((AA$44-Y89)*(X89-X88))/(Y88-Y89))^2)^0.5),0))),0),0))))</f>
        <v>0</v>
      </c>
      <c s="588" r="AC89">
        <f>IF(ISNA((Y89*Y88)),0,IF((V88=FALSE),IF((V89=FALSE),IF(ISNA(U89),0,IF((Y88&lt;AA$44),IF((Y89&lt;AA$44),((AA$44-((Y88+Y89)*0.5))*AB89),(((AA$44-Y88)*0.5)*AB89)),IF((Y89&lt;AA$44),(((AA$44-Y89)*0.5)*AB89),0))),0),0))</f>
        <v>0</v>
      </c>
      <c s="588" r="AD89">
        <f>IF(ISNA((Y89*Y88)),0,IF((V88=FALSE),IF((V89=FALSE),IF(ISNA(Y89),0,IF((Y88&lt;AA$44),IF((Y89&lt;AA$44),(((AB89^2)+((Y89-Y88)^2))^0.5),(((AB89^2)+((AA$44-Y88)^2))^0.5)),IF((Y89&lt;AA$44),(((AB89^2)+((AA$44-Y89)^2))^0.5),0))),0),0))</f>
        <v>0</v>
      </c>
      <c s="588" r="AE89">
        <f>IF(ISNUMBER((Y89*Y88)),IF((Y88&gt;=K$148),IF((Y89&lt;K$148),1,0),IF((Y89&gt;=K$148),IF((Y88&lt;K$148),1,0),0)),0)</f>
        <v>0</v>
      </c>
      <c s="588" r="AF89">
        <f>IF(ISNA((Y89*Y88)),0,(IF((X89&lt;X88),-1,1)*(IF(ISNA(Y89),0,IF((Y88&lt;K$148),IF((Y89&lt;K$148),(((X89-X88)^2)^0.5),(((((K$148-Y88)*(X89-X88))/(Y89-Y88))^2)^0.5)),IF((Y89&lt;K$148),(((((K$148-Y89)*(X89-X88))/(Y88-Y89))^2)^0.5),0))))))</f>
        <v>0</v>
      </c>
      <c s="441" r="AG89">
        <f>IF((AC89&gt;0),(MAX(AG$47:AG88)+1),0)</f>
        <v>0</v>
      </c>
      <c s="388" r="AH89"/>
      <c s="406" r="AI89"/>
      <c s="886" r="AJ89"/>
      <c s="886" r="AK89"/>
      <c s="886" r="AL89"/>
      <c s="886" r="AM89"/>
      <c s="418" r="AN89"/>
      <c s="550" r="AO89"/>
      <c s="550" r="AP89"/>
      <c t="str" s="620" r="AQ89">
        <f>IF((COUNT(AP89:AP$146,AR89:AR$146)=0),NA(),IF(ISBLANK(AP89),AQ88,(AQ88+(AP89-AR88))))</f>
        <v>#N/A:explicit</v>
      </c>
      <c s="550" r="AR89"/>
      <c t="str" s="620" r="AS89">
        <f>IF(OR(ISBLANK(AR89),ISNUMBER(AP90)),NA(),(AQ89-AR89))</f>
        <v>#N/A:explicit</v>
      </c>
      <c t="b" s="895" r="AT89">
        <v>0</v>
      </c>
      <c s="631" r="AU89"/>
      <c t="str" s="309" r="AV89">
        <f>IF((COUNT(AO89:AO$146)=0),NA(),IF(ISBLANK(AO89),IF(ISBLANK(AO88),MAX(AO$46:AO89),AO88),AO89))</f>
        <v>#N/A:explicit</v>
      </c>
      <c t="str" s="861" r="AW89">
        <f>IF(ISNA(AS89),IF(ISNUMBER(AV89),AW88,NA()),AS89)</f>
        <v>#N/A:explicit</v>
      </c>
      <c s="861" r="AX89">
        <f>IF(ISNUMBER(AW89),AW89,(AQ$46+1000))</f>
        <v>1000</v>
      </c>
      <c t="str" s="588" r="AY89">
        <f>IF((AT89=TRUE),NA(),IF((AY$44=(AQ$46-MAX(AR$46:AR$146))),NA(),AY$44))</f>
        <v>#N/A:explicit</v>
      </c>
      <c s="588" r="AZ89">
        <f>IF((ISNA(((AW89*AV89)*AW88))),0,(IF((AV89&lt;AV88),-1,1)*(IF((AT88=FALSE),IF((AT89=FALSE),IF(ISNA(AW89),0,IF((AW88&lt;AY$44),IF((AW89&lt;AY$44),(((AV89-AV88)^2)^0.5),(((((AY$44-AW88)*(AV89-AV88))/(AW89-AW88))^2)^0.5)),IF((AW89&lt;AY$44),(((((AY$44-AW89)*(AV89-AV88))/(AW88-AW89))^2)^0.5),0))),0),0))))</f>
        <v>0</v>
      </c>
      <c s="588" r="BA89">
        <f>IF(ISNA((AW89*AW88)),0,IF((AT88=FALSE),IF((AT89=FALSE),IF(ISNA(AS89),0,IF((AW88&lt;AY$44),IF((AW89&lt;AY$44),((AY$44-((AW88+AW89)*0.5))*AZ89),(((AY$44-AW88)*0.5)*AZ89)),IF((AW89&lt;AY$44),(((AY$44-AW89)*0.5)*AZ89),0))),0),0))</f>
        <v>0</v>
      </c>
      <c s="588" r="BB89">
        <f>IF(ISNA((AW89*AW88)),0,IF((AT88=FALSE),IF((AT89=FALSE),IF(ISNA(AW89),0,IF((AW88&lt;AY$44),IF((AW89&lt;AY$44),(((AZ89^2)+((AW89-AW88)^2))^0.5),(((AZ89^2)+((AY$44-AW88)^2))^0.5)),IF((AW89&lt;AY$44),(((AZ89^2)+((AY$44-AW89)^2))^0.5),0))),0),0))</f>
        <v>0</v>
      </c>
      <c s="588" r="BC89">
        <f>IF(ISNUMBER((AW89*AW88)),IF((AW88&gt;=AI$148),IF((AW89&lt;AI$148),1,0),IF((AW89&gt;=AI$148),IF((AW88&lt;AI$148),1,0),0)),0)</f>
        <v>0</v>
      </c>
      <c s="588" r="BD89">
        <f>IF(ISNA((AW89*AW88)),0,(IF((AV89&lt;AV88),-1,1)*(IF(ISNA(AW89),0,IF((AW88&lt;AI$148),IF((AW89&lt;AI$148),(((AV89-AV88)^2)^0.5),(((((AI$148-AW88)*(AV89-AV88))/(AW89-AW88))^2)^0.5)),IF((AW89&lt;AI$148),(((((AI$148-AW89)*(AV89-AV88))/(AW88-AW89))^2)^0.5),0))))))</f>
        <v>0</v>
      </c>
      <c s="441" r="BE89">
        <f>IF((BA89&gt;0),(MAX(BE$47:BE88)+1),0)</f>
        <v>0</v>
      </c>
      <c s="388" r="BF89"/>
      <c s="406" r="BG89"/>
      <c s="886" r="BH89"/>
      <c s="886" r="BI89"/>
      <c s="886" r="BJ89"/>
      <c s="886" r="BK89"/>
      <c s="418" r="BL89"/>
      <c s="550" r="BM89"/>
      <c s="550" r="BN89"/>
      <c t="str" s="620" r="BO89">
        <f>IF((COUNT(BN89:BN$146,BP89:BP$146)=0),NA(),IF(ISBLANK(BN89),BO88,(BO88+(BN89-BP88))))</f>
        <v>#N/A:explicit</v>
      </c>
      <c s="550" r="BP89"/>
      <c t="str" s="620" r="BQ89">
        <f>IF(OR(ISBLANK(BP89),ISNUMBER(BN90)),NA(),(BO89-BP89))</f>
        <v>#N/A:explicit</v>
      </c>
      <c t="b" s="895" r="BR89">
        <v>0</v>
      </c>
      <c s="631" r="BS89"/>
      <c t="str" s="309" r="BT89">
        <f>IF((COUNT(BM89:BM$146)=0),NA(),IF(ISBLANK(BM89),IF(ISBLANK(BM88),MAX(BM$46:BM89),BM88),BM89))</f>
        <v>#N/A:explicit</v>
      </c>
      <c t="str" s="861" r="BU89">
        <f>IF(ISNA(BQ89),IF(ISNUMBER(BT89),BU88,NA()),BQ89)</f>
        <v>#N/A:explicit</v>
      </c>
      <c s="861" r="BV89">
        <f>IF(ISNUMBER(BU89),BU89,(BO$46+1000))</f>
        <v>1000</v>
      </c>
      <c t="str" s="588" r="BW89">
        <f>IF((BR89=TRUE),NA(),IF((BW$44=(BO$46-MAX(BP$46:BP$146))),NA(),BW$44))</f>
        <v>#N/A:explicit</v>
      </c>
      <c s="588" r="BX89">
        <f>IF((ISNA(((BU89*BT89)*BU88))),0,(IF((BT89&lt;BT88),-1,1)*(IF((BR88=FALSE),IF((BR89=FALSE),IF(ISNA(BU89),0,IF((BU88&lt;BW$44),IF((BU89&lt;BW$44),(((BT89-BT88)^2)^0.5),(((((BW$44-BU88)*(BT89-BT88))/(BU89-BU88))^2)^0.5)),IF((BU89&lt;BW$44),(((((BW$44-BU89)*(BT89-BT88))/(BU88-BU89))^2)^0.5),0))),0),0))))</f>
        <v>0</v>
      </c>
      <c s="588" r="BY89">
        <f>IF(ISNA((BU89*BU88)),0,IF((BR88=FALSE),IF((BR89=FALSE),IF(ISNA(BQ89),0,IF((BU88&lt;BW$44),IF((BU89&lt;BW$44),((BW$44-((BU88+BU89)*0.5))*BX89),(((BW$44-BU88)*0.5)*BX89)),IF((BU89&lt;BW$44),(((BW$44-BU89)*0.5)*BX89),0))),0),0))</f>
        <v>0</v>
      </c>
      <c s="588" r="BZ89">
        <f>IF(ISNA((BU89*BU88)),0,IF((BR88=FALSE),IF((BR89=FALSE),IF(ISNA(BU89),0,IF((BU88&lt;BW$44),IF((BU89&lt;BW$44),(((BX89^2)+((BU89-BU88)^2))^0.5),(((BX89^2)+((BW$44-BU88)^2))^0.5)),IF((BU89&lt;BW$44),(((BX89^2)+((BW$44-BU89)^2))^0.5),0))),0),0))</f>
        <v>0</v>
      </c>
      <c s="588" r="CA89">
        <f>IF(ISNUMBER((BU89*BU88)),IF((BU88&gt;=BG$148),IF((BU89&lt;BG$148),1,0),IF((BU89&gt;=BG$148),IF((BU88&lt;BG$148),1,0),0)),0)</f>
        <v>0</v>
      </c>
      <c s="588" r="CB89">
        <f>IF(ISNA((BU89*BU88)),0,(IF((BT89&lt;BT88),-1,1)*(IF(ISNA(BU89),0,IF((BU88&lt;BG$148),IF((BU89&lt;BG$148),(((BT89-BT88)^2)^0.5),(((((BG$148-BU88)*(BT89-BT88))/(BU89-BU88))^2)^0.5)),IF((BU89&lt;BG$148),(((((BG$148-BU89)*(BT89-BT88))/(BU88-BU89))^2)^0.5),0))))))</f>
        <v>0</v>
      </c>
      <c s="441" r="CC89">
        <f>IF((BY89&gt;0),(MAX(CC$47:CC88)+1),0)</f>
        <v>0</v>
      </c>
      <c s="388" r="CD89"/>
      <c s="406" r="CE89"/>
      <c s="886" r="CF89"/>
      <c s="886" r="CG89"/>
      <c s="886" r="CH89"/>
      <c s="886" r="CI89"/>
      <c s="418" r="CJ89"/>
      <c s="550" r="CK89"/>
      <c s="550" r="CL89"/>
      <c t="str" s="620" r="CM89">
        <f>IF((COUNT(CL89:CL$146,CN89:CN$146)=0),NA(),IF(ISBLANK(CL89),CM88,(CM88+(CL89-CN88))))</f>
        <v>#N/A:explicit</v>
      </c>
      <c s="550" r="CN89"/>
      <c t="str" s="620" r="CO89">
        <f>IF(OR(ISBLANK(CN89),ISNUMBER(CL90)),NA(),(CM89-CN89))</f>
        <v>#N/A:explicit</v>
      </c>
      <c t="b" s="895" r="CP89">
        <v>0</v>
      </c>
      <c s="631" r="CQ89"/>
      <c t="str" s="309" r="CR89">
        <f>IF((COUNT(CK89:CK$146)=0),NA(),IF(ISBLANK(CK89),IF(ISBLANK(CK88),MAX(CK$46:CK89),CK88),CK89))</f>
        <v>#N/A:explicit</v>
      </c>
      <c t="str" s="861" r="CS89">
        <f>IF(ISNA(CO89),IF(ISNUMBER(CR89),CS88,NA()),CO89)</f>
        <v>#N/A:explicit</v>
      </c>
      <c s="861" r="CT89">
        <f>IF(ISNUMBER(CS89),CS89,(CM$46+1000))</f>
        <v>1000</v>
      </c>
      <c t="str" s="588" r="CU89">
        <f>IF((CP89=TRUE),NA(),IF((CU$44=(CM$46-MAX(CN$46:CN$146))),NA(),CU$44))</f>
        <v>#N/A:explicit</v>
      </c>
      <c s="588" r="CV89">
        <f>IF((ISNA(((CS89*CR89)*CS88))),0,(IF((CR89&lt;CR88),-1,1)*(IF((CP88=FALSE),IF((CP89=FALSE),IF(ISNA(CS89),0,IF((CS88&lt;CU$44),IF((CS89&lt;CU$44),(((CR89-CR88)^2)^0.5),(((((CU$44-CS88)*(CR89-CR88))/(CS89-CS88))^2)^0.5)),IF((CS89&lt;CU$44),(((((CU$44-CS89)*(CR89-CR88))/(CS88-CS89))^2)^0.5),0))),0),0))))</f>
        <v>0</v>
      </c>
      <c s="588" r="CW89">
        <f>IF(ISNA((CS89*CS88)),0,IF((CP88=FALSE),IF((CP89=FALSE),IF(ISNA(CO89),0,IF((CS88&lt;CU$44),IF((CS89&lt;CU$44),((CU$44-((CS88+CS89)*0.5))*CV89),(((CU$44-CS88)*0.5)*CV89)),IF((CS89&lt;CU$44),(((CU$44-CS89)*0.5)*CV89),0))),0),0))</f>
        <v>0</v>
      </c>
      <c s="588" r="CX89">
        <f>IF(ISNA((CS89*CS88)),0,IF((CP88=FALSE),IF((CP89=FALSE),IF(ISNA(CS89),0,IF((CS88&lt;CU$44),IF((CS89&lt;CU$44),(((CV89^2)+((CS89-CS88)^2))^0.5),(((CV89^2)+((CU$44-CS88)^2))^0.5)),IF((CS89&lt;CU$44),(((CV89^2)+((CU$44-CS89)^2))^0.5),0))),0),0))</f>
        <v>0</v>
      </c>
      <c s="588" r="CY89">
        <f>IF(ISNUMBER((CS89*CS88)),IF((CS88&gt;=CE$148),IF((CS89&lt;CE$148),1,0),IF((CS89&gt;=CE$148),IF((CS88&lt;CE$148),1,0),0)),0)</f>
        <v>0</v>
      </c>
      <c s="588" r="CZ89">
        <f>IF(ISNA((CS89*CS88)),0,(IF((CR89&lt;CR88),-1,1)*(IF(ISNA(CS89),0,IF((CS88&lt;CE$148),IF((CS89&lt;CE$148),(((CR89-CR88)^2)^0.5),(((((CE$148-CS88)*(CR89-CR88))/(CS89-CS88))^2)^0.5)),IF((CS89&lt;CE$148),(((((CE$148-CS89)*(CR89-CR88))/(CS88-CS89))^2)^0.5),0))))))</f>
        <v>0</v>
      </c>
      <c s="441" r="DA89">
        <f>IF((CW89&gt;0),(MAX(DA$47:DA88)+1),0)</f>
        <v>0</v>
      </c>
      <c s="388" r="DB89"/>
      <c s="406" r="DC89"/>
      <c s="886" r="DD89"/>
      <c s="886" r="DE89"/>
      <c s="886" r="DF89"/>
      <c s="886" r="DG89"/>
      <c s="418" r="DH89"/>
      <c s="550" r="DI89"/>
      <c s="550" r="DJ89"/>
      <c t="str" s="620" r="DK89">
        <f>IF((COUNT(DJ89:DJ$146,DL89:DL$146)=0),NA(),IF(ISBLANK(DJ89),DK88,(DK88+(DJ89-DL88))))</f>
        <v>#N/A:explicit</v>
      </c>
      <c s="550" r="DL89"/>
      <c t="str" s="620" r="DM89">
        <f>IF(OR(ISBLANK(DL89),ISNUMBER(DJ90)),NA(),(DK89-DL89))</f>
        <v>#N/A:explicit</v>
      </c>
      <c t="b" s="895" r="DN89">
        <v>0</v>
      </c>
      <c s="631" r="DO89"/>
      <c t="str" s="309" r="DP89">
        <f>IF((COUNT(DI89:DI$146)=0),NA(),IF(ISBLANK(DI89),IF(ISBLANK(DI88),MAX(DI$46:DI89),DI88),DI89))</f>
        <v>#N/A:explicit</v>
      </c>
      <c t="str" s="861" r="DQ89">
        <f>IF(ISNA(DM89),IF(ISNUMBER(DP89),DQ88,NA()),DM89)</f>
        <v>#N/A:explicit</v>
      </c>
      <c s="861" r="DR89">
        <f>IF(ISNUMBER(DQ89),DQ89,(DK$46+1000))</f>
        <v>1000</v>
      </c>
      <c t="str" s="588" r="DS89">
        <f>IF((DN89=TRUE),NA(),IF((DS$44=(DK$46-MAX(DL$46:DL$146))),NA(),DS$44))</f>
        <v>#N/A:explicit</v>
      </c>
      <c s="588" r="DT89">
        <f>IF((ISNA(((DQ89*DP89)*DQ88))),0,(IF((DP89&lt;DP88),-1,1)*(IF((DN88=FALSE),IF((DN89=FALSE),IF(ISNA(DQ89),0,IF((DQ88&lt;DS$44),IF((DQ89&lt;DS$44),(((DP89-DP88)^2)^0.5),(((((DS$44-DQ88)*(DP89-DP88))/(DQ89-DQ88))^2)^0.5)),IF((DQ89&lt;DS$44),(((((DS$44-DQ89)*(DP89-DP88))/(DQ88-DQ89))^2)^0.5),0))),0),0))))</f>
        <v>0</v>
      </c>
      <c s="588" r="DU89">
        <f>IF(ISNA((DQ89*DQ88)),0,IF((DN88=FALSE),IF((DN89=FALSE),IF(ISNA(DM89),0,IF((DQ88&lt;DS$44),IF((DQ89&lt;DS$44),((DS$44-((DQ88+DQ89)*0.5))*DT89),(((DS$44-DQ88)*0.5)*DT89)),IF((DQ89&lt;DS$44),(((DS$44-DQ89)*0.5)*DT89),0))),0),0))</f>
        <v>0</v>
      </c>
      <c s="588" r="DV89">
        <f>IF(ISNA((DQ89*DQ88)),0,IF((DN88=FALSE),IF((DN89=FALSE),IF(ISNA(DQ89),0,IF((DQ88&lt;DS$44),IF((DQ89&lt;DS$44),(((DT89^2)+((DQ89-DQ88)^2))^0.5),(((DT89^2)+((DS$44-DQ88)^2))^0.5)),IF((DQ89&lt;DS$44),(((DT89^2)+((DS$44-DQ89)^2))^0.5),0))),0),0))</f>
        <v>0</v>
      </c>
      <c s="588" r="DW89">
        <f>IF(ISNUMBER((DQ89*DQ88)),IF((DQ88&gt;=DC$148),IF((DQ89&lt;DC$148),1,0),IF((DQ89&gt;=DC$148),IF((DQ88&lt;DC$148),1,0),0)),0)</f>
        <v>0</v>
      </c>
      <c s="588" r="DX89">
        <f>IF(ISNA((DQ89*DQ88)),0,(IF((DP89&lt;DP88),-1,1)*(IF(ISNA(DQ89),0,IF((DQ88&lt;DC$148),IF((DQ89&lt;DC$148),(((DP89-DP88)^2)^0.5),(((((DC$148-DQ88)*(DP89-DP88))/(DQ89-DQ88))^2)^0.5)),IF((DQ89&lt;DC$148),(((((DC$148-DQ89)*(DP89-DP88))/(DQ88-DQ89))^2)^0.5),0))))))</f>
        <v>0</v>
      </c>
      <c s="441" r="DY89">
        <f>IF((DU89&gt;0),(MAX(DY$47:DY88)+1),0)</f>
        <v>0</v>
      </c>
      <c s="388" r="DZ89"/>
      <c s="406" r="EA89"/>
      <c s="886" r="EB89"/>
      <c s="886" r="EC89"/>
      <c s="886" r="ED89"/>
      <c s="886" r="EE89"/>
      <c s="418" r="EF89"/>
      <c s="550" r="EG89"/>
      <c s="550" r="EH89"/>
      <c t="str" s="620" r="EI89">
        <f>IF((COUNT(EH89:EH$146,EJ89:EJ$146)=0),NA(),IF(ISBLANK(EH89),EI88,(EI88+(EH89-EJ88))))</f>
        <v>#N/A:explicit</v>
      </c>
      <c s="550" r="EJ89"/>
      <c t="str" s="620" r="EK89">
        <f>IF(OR(ISBLANK(EJ89),ISNUMBER(EH90)),NA(),(EI89-EJ89))</f>
        <v>#N/A:explicit</v>
      </c>
      <c t="b" s="895" r="EL89">
        <v>0</v>
      </c>
      <c s="631" r="EM89"/>
      <c t="str" s="309" r="EN89">
        <f>IF((COUNT(EG89:EG$146)=0),NA(),IF(ISBLANK(EG89),IF(ISBLANK(EG88),MAX(EG$46:EG89),EG88),EG89))</f>
        <v>#N/A:explicit</v>
      </c>
      <c t="str" s="861" r="EO89">
        <f>IF(ISNA(EK89),IF(ISNUMBER(EN89),EO88,NA()),EK89)</f>
        <v>#N/A:explicit</v>
      </c>
      <c s="861" r="EP89">
        <f>IF(ISNUMBER(EO89),EO89,(EI$46+1000))</f>
        <v>1000</v>
      </c>
      <c t="str" s="588" r="EQ89">
        <f>IF((EL89=TRUE),NA(),IF((EQ$44=(EI$46-MAX(EJ$46:EJ$146))),NA(),EQ$44))</f>
        <v>#N/A:explicit</v>
      </c>
      <c s="588" r="ER89">
        <f>IF((ISNA(((EO89*EN89)*EO88))),0,(IF((EN89&lt;EN88),-1,1)*(IF((EL88=FALSE),IF((EL89=FALSE),IF(ISNA(EO89),0,IF((EO88&lt;EQ$44),IF((EO89&lt;EQ$44),(((EN89-EN88)^2)^0.5),(((((EQ$44-EO88)*(EN89-EN88))/(EO89-EO88))^2)^0.5)),IF((EO89&lt;EQ$44),(((((EQ$44-EO89)*(EN89-EN88))/(EO88-EO89))^2)^0.5),0))),0),0))))</f>
        <v>0</v>
      </c>
      <c s="588" r="ES89">
        <f>IF(ISNA((EO89*EO88)),0,IF((EL88=FALSE),IF((EL89=FALSE),IF(ISNA(EK89),0,IF((EO88&lt;EQ$44),IF((EO89&lt;EQ$44),((EQ$44-((EO88+EO89)*0.5))*ER89),(((EQ$44-EO88)*0.5)*ER89)),IF((EO89&lt;EQ$44),(((EQ$44-EO89)*0.5)*ER89),0))),0),0))</f>
        <v>0</v>
      </c>
      <c s="588" r="ET89">
        <f>IF(ISNA((EO89*EO88)),0,IF((EL88=FALSE),IF((EL89=FALSE),IF(ISNA(EO89),0,IF((EO88&lt;EQ$44),IF((EO89&lt;EQ$44),(((ER89^2)+((EO89-EO88)^2))^0.5),(((ER89^2)+((EQ$44-EO88)^2))^0.5)),IF((EO89&lt;EQ$44),(((ER89^2)+((EQ$44-EO89)^2))^0.5),0))),0),0))</f>
        <v>0</v>
      </c>
      <c s="588" r="EU89">
        <f>IF(ISNUMBER((EO89*EO88)),IF((EO88&gt;=EA$148),IF((EO89&lt;EA$148),1,0),IF((EO89&gt;=EA$148),IF((EO88&lt;EA$148),1,0),0)),0)</f>
        <v>0</v>
      </c>
      <c s="588" r="EV89">
        <f>IF(ISNA((EO89*EO88)),0,(IF((EN89&lt;EN88),-1,1)*(IF(ISNA(EO89),0,IF((EO88&lt;EA$148),IF((EO89&lt;EA$148),(((EN89-EN88)^2)^0.5),(((((EA$148-EO88)*(EN89-EN88))/(EO89-EO88))^2)^0.5)),IF((EO89&lt;EA$148),(((((EA$148-EO89)*(EN89-EN88))/(EO88-EO89))^2)^0.5),0))))))</f>
        <v>0</v>
      </c>
      <c s="441" r="EW89">
        <f>IF((ES89&gt;0),(MAX(EW$47:EW88)+1),0)</f>
        <v>0</v>
      </c>
      <c s="388" r="EX89"/>
      <c s="406" r="EY89"/>
      <c s="886" r="EZ89"/>
      <c s="886" r="FA89"/>
      <c s="886" r="FB89"/>
      <c s="886" r="FC89"/>
      <c s="418" r="FD89"/>
      <c s="550" r="FE89"/>
      <c s="550" r="FF89"/>
      <c t="str" s="620" r="FG89">
        <f>IF((COUNT(FF89:FF$146,FH89:FH$146)=0),NA(),IF(ISBLANK(FF89),FG88,(FG88+(FF89-FH88))))</f>
        <v>#N/A:explicit</v>
      </c>
      <c s="550" r="FH89"/>
      <c t="str" s="620" r="FI89">
        <f>IF(OR(ISBLANK(FH89),ISNUMBER(FF90)),NA(),(FG89-FH89))</f>
        <v>#N/A:explicit</v>
      </c>
      <c t="b" s="895" r="FJ89">
        <v>0</v>
      </c>
      <c s="631" r="FK89"/>
      <c t="str" s="309" r="FL89">
        <f>IF((COUNT(FE89:FE$146)=0),NA(),IF(ISBLANK(FE89),IF(ISBLANK(FE88),MAX(FE$46:FE89),FE88),FE89))</f>
        <v>#N/A:explicit</v>
      </c>
      <c t="str" s="861" r="FM89">
        <f>IF(ISNA(FI89),IF(ISNUMBER(FL89),FM88,NA()),FI89)</f>
        <v>#N/A:explicit</v>
      </c>
      <c s="861" r="FN89">
        <f>IF(ISNUMBER(FM89),FM89,(FG$46+1000))</f>
        <v>1000</v>
      </c>
      <c t="str" s="588" r="FO89">
        <f>IF((FJ89=TRUE),NA(),IF((FO$44=(FG$46-MAX(FH$46:FH$146))),NA(),FO$44))</f>
        <v>#N/A:explicit</v>
      </c>
      <c s="588" r="FP89">
        <f>IF((ISNA(((FM89*FL89)*FM88))),0,(IF((FL89&lt;FL88),-1,1)*(IF((FJ88=FALSE),IF((FJ89=FALSE),IF(ISNA(FM89),0,IF((FM88&lt;FO$44),IF((FM89&lt;FO$44),(((FL89-FL88)^2)^0.5),(((((FO$44-FM88)*(FL89-FL88))/(FM89-FM88))^2)^0.5)),IF((FM89&lt;FO$44),(((((FO$44-FM89)*(FL89-FL88))/(FM88-FM89))^2)^0.5),0))),0),0))))</f>
        <v>0</v>
      </c>
      <c s="588" r="FQ89">
        <f>IF(ISNA((FM89*FM88)),0,IF((FJ88=FALSE),IF((FJ89=FALSE),IF(ISNA(FI89),0,IF((FM88&lt;FO$44),IF((FM89&lt;FO$44),((FO$44-((FM88+FM89)*0.5))*FP89),(((FO$44-FM88)*0.5)*FP89)),IF((FM89&lt;FO$44),(((FO$44-FM89)*0.5)*FP89),0))),0),0))</f>
        <v>0</v>
      </c>
      <c s="588" r="FR89">
        <f>IF(ISNA((FM89*FM88)),0,IF((FJ88=FALSE),IF((FJ89=FALSE),IF(ISNA(FM89),0,IF((FM88&lt;FO$44),IF((FM89&lt;FO$44),(((FP89^2)+((FM89-FM88)^2))^0.5),(((FP89^2)+((FO$44-FM88)^2))^0.5)),IF((FM89&lt;FO$44),(((FP89^2)+((FO$44-FM89)^2))^0.5),0))),0),0))</f>
        <v>0</v>
      </c>
      <c s="588" r="FS89">
        <f>IF(ISNUMBER((FM89*FM88)),IF((FM88&gt;=EY$148),IF((FM89&lt;EY$148),1,0),IF((FM89&gt;=EY$148),IF((FM88&lt;EY$148),1,0),0)),0)</f>
        <v>0</v>
      </c>
      <c s="588" r="FT89">
        <f>IF(ISNA((FM89*FM88)),0,(IF((FL89&lt;FL88),-1,1)*(IF(ISNA(FM89),0,IF((FM88&lt;EY$148),IF((FM89&lt;EY$148),(((FL89-FL88)^2)^0.5),(((((EY$148-FM88)*(FL89-FL88))/(FM89-FM88))^2)^0.5)),IF((FM89&lt;EY$148),(((((EY$148-FM89)*(FL89-FL88))/(FM88-FM89))^2)^0.5),0))))))</f>
        <v>0</v>
      </c>
      <c s="441" r="FU89">
        <f>IF((FQ89&gt;0),(MAX(FU$47:FU88)+1),0)</f>
        <v>0</v>
      </c>
      <c s="222" r="FV89"/>
      <c s="125" r="FW89"/>
      <c s="125" r="FX89"/>
      <c s="125" r="FY89"/>
      <c s="125" r="FZ89"/>
      <c s="125" r="GA89"/>
      <c s="125" r="GB89"/>
      <c s="125" r="GC89"/>
      <c s="125" r="GD89"/>
      <c s="125" r="GE89"/>
      <c s="125" r="GF89"/>
      <c s="125" r="GG89"/>
      <c s="125" r="GH89"/>
      <c s="125" r="GI89"/>
      <c s="125" r="GJ89"/>
      <c s="125" r="GK89"/>
      <c s="125" r="GL89"/>
      <c s="125" r="GM89"/>
      <c s="125" r="GN89"/>
      <c s="125" r="GO89"/>
      <c s="125" r="GP89"/>
      <c s="125" r="GQ89"/>
      <c s="125" r="GR89"/>
      <c s="125" r="GS89"/>
      <c s="125" r="GT89"/>
      <c s="125" r="GU89"/>
      <c s="125" r="GV89"/>
      <c s="125" r="GW89"/>
      <c s="125" r="GX89"/>
      <c s="125" r="GY89"/>
      <c s="125" r="GZ89"/>
      <c s="125" r="HA89"/>
      <c s="125" r="HB89"/>
    </row>
    <row customHeight="1" r="90" ht="13.5">
      <c s="822" r="A90"/>
      <c t="s" s="678" r="B90">
        <v>602</v>
      </c>
      <c s="402" r="C90"/>
      <c s="402" r="D90"/>
      <c t="str" s="129" r="E90">
        <f>"x-area bankfull "&amp;IF((H4=2),"(sq.m)","(sq.ft)")</f>
        <v>x-area bankfull (sq.ft)</v>
      </c>
      <c t="str" s="242" r="F90">
        <f>IF(ISBLANK(E37),IF(ISNUMBER(E38),E38,"---"),E37)</f>
        <v>---</v>
      </c>
      <c t="str" s="366" r="G90">
        <f>IF(ISBLANK(G37),IF(ISNUMBER(G38),G38,"---"),G37)</f>
        <v>---</v>
      </c>
      <c t="str" s="456" r="H90">
        <f>IF(ISBLANK(H37),IF(ISNUMBER(H38),H38,"---"),H37)</f>
        <v>---</v>
      </c>
      <c s="51" r="I90"/>
      <c s="822" r="J90"/>
      <c s="406" r="K90"/>
      <c s="886" r="L90"/>
      <c s="886" r="M90"/>
      <c s="886" r="N90"/>
      <c s="886" r="O90"/>
      <c s="418" r="P90"/>
      <c s="550" r="Q90"/>
      <c s="550" r="R90"/>
      <c t="str" s="620" r="S90">
        <f>IF((COUNT(R90:R$146,T90:T$146)=0),NA(),IF(ISBLANK(R90),S89,(S89+(R90-T89))))</f>
        <v>#N/A:explicit</v>
      </c>
      <c s="550" r="T90"/>
      <c t="str" s="620" r="U90">
        <f>IF(OR(ISBLANK(T90),ISNUMBER(R91)),NA(),(S90-T90))</f>
        <v>#N/A:explicit</v>
      </c>
      <c t="b" s="895" r="V90">
        <v>0</v>
      </c>
      <c s="631" r="W90"/>
      <c t="str" s="309" r="X90">
        <f>IF((COUNT(Q90:Q$146)=0),NA(),IF(ISBLANK(Q90),IF(ISBLANK(Q89),MAX(Q$46:Q90),Q89),Q90))</f>
        <v>#N/A:explicit</v>
      </c>
      <c t="str" s="861" r="Y90">
        <f>IF(ISNA(U90),IF(ISNUMBER(X90),Y89,NA()),U90)</f>
        <v>#N/A:explicit</v>
      </c>
      <c s="861" r="Z90">
        <f>IF(ISNUMBER(Y90),Y90,(S$46+1000))</f>
        <v>1000</v>
      </c>
      <c t="str" s="588" r="AA90">
        <f>IF((V90=TRUE),NA(),IF((AA$44=(S$46-MAX(T$46:T$146))),NA(),AA$44))</f>
        <v>#N/A:explicit</v>
      </c>
      <c s="588" r="AB90">
        <f>IF((ISNA(((Y90*X90)*Y89))),0,(IF((X90&lt;X89),-1,1)*(IF((V89=FALSE),IF((V90=FALSE),IF(ISNA(Y90),0,IF((Y89&lt;AA$44),IF((Y90&lt;AA$44),(((X90-X89)^2)^0.5),(((((AA$44-Y89)*(X90-X89))/(Y90-Y89))^2)^0.5)),IF((Y90&lt;AA$44),(((((AA$44-Y90)*(X90-X89))/(Y89-Y90))^2)^0.5),0))),0),0))))</f>
        <v>0</v>
      </c>
      <c s="588" r="AC90">
        <f>IF(ISNA((Y90*Y89)),0,IF((V89=FALSE),IF((V90=FALSE),IF(ISNA(U90),0,IF((Y89&lt;AA$44),IF((Y90&lt;AA$44),((AA$44-((Y89+Y90)*0.5))*AB90),(((AA$44-Y89)*0.5)*AB90)),IF((Y90&lt;AA$44),(((AA$44-Y90)*0.5)*AB90),0))),0),0))</f>
        <v>0</v>
      </c>
      <c s="588" r="AD90">
        <f>IF(ISNA((Y90*Y89)),0,IF((V89=FALSE),IF((V90=FALSE),IF(ISNA(Y90),0,IF((Y89&lt;AA$44),IF((Y90&lt;AA$44),(((AB90^2)+((Y90-Y89)^2))^0.5),(((AB90^2)+((AA$44-Y89)^2))^0.5)),IF((Y90&lt;AA$44),(((AB90^2)+((AA$44-Y90)^2))^0.5),0))),0),0))</f>
        <v>0</v>
      </c>
      <c s="588" r="AE90">
        <f>IF(ISNUMBER((Y90*Y89)),IF((Y89&gt;=K$148),IF((Y90&lt;K$148),1,0),IF((Y90&gt;=K$148),IF((Y89&lt;K$148),1,0),0)),0)</f>
        <v>0</v>
      </c>
      <c s="588" r="AF90">
        <f>IF(ISNA((Y90*Y89)),0,(IF((X90&lt;X89),-1,1)*(IF(ISNA(Y90),0,IF((Y89&lt;K$148),IF((Y90&lt;K$148),(((X90-X89)^2)^0.5),(((((K$148-Y89)*(X90-X89))/(Y90-Y89))^2)^0.5)),IF((Y90&lt;K$148),(((((K$148-Y90)*(X90-X89))/(Y89-Y90))^2)^0.5),0))))))</f>
        <v>0</v>
      </c>
      <c s="441" r="AG90">
        <f>IF((AC90&gt;0),(MAX(AG$47:AG89)+1),0)</f>
        <v>0</v>
      </c>
      <c s="388" r="AH90"/>
      <c s="406" r="AI90"/>
      <c s="886" r="AJ90"/>
      <c s="886" r="AK90"/>
      <c s="886" r="AL90"/>
      <c s="886" r="AM90"/>
      <c s="418" r="AN90"/>
      <c s="550" r="AO90"/>
      <c s="550" r="AP90"/>
      <c t="str" s="620" r="AQ90">
        <f>IF((COUNT(AP90:AP$146,AR90:AR$146)=0),NA(),IF(ISBLANK(AP90),AQ89,(AQ89+(AP90-AR89))))</f>
        <v>#N/A:explicit</v>
      </c>
      <c s="550" r="AR90"/>
      <c t="str" s="620" r="AS90">
        <f>IF(OR(ISBLANK(AR90),ISNUMBER(AP91)),NA(),(AQ90-AR90))</f>
        <v>#N/A:explicit</v>
      </c>
      <c t="b" s="895" r="AT90">
        <v>0</v>
      </c>
      <c s="631" r="AU90"/>
      <c t="str" s="309" r="AV90">
        <f>IF((COUNT(AO90:AO$146)=0),NA(),IF(ISBLANK(AO90),IF(ISBLANK(AO89),MAX(AO$46:AO90),AO89),AO90))</f>
        <v>#N/A:explicit</v>
      </c>
      <c t="str" s="861" r="AW90">
        <f>IF(ISNA(AS90),IF(ISNUMBER(AV90),AW89,NA()),AS90)</f>
        <v>#N/A:explicit</v>
      </c>
      <c s="861" r="AX90">
        <f>IF(ISNUMBER(AW90),AW90,(AQ$46+1000))</f>
        <v>1000</v>
      </c>
      <c t="str" s="588" r="AY90">
        <f>IF((AT90=TRUE),NA(),IF((AY$44=(AQ$46-MAX(AR$46:AR$146))),NA(),AY$44))</f>
        <v>#N/A:explicit</v>
      </c>
      <c s="588" r="AZ90">
        <f>IF((ISNA(((AW90*AV90)*AW89))),0,(IF((AV90&lt;AV89),-1,1)*(IF((AT89=FALSE),IF((AT90=FALSE),IF(ISNA(AW90),0,IF((AW89&lt;AY$44),IF((AW90&lt;AY$44),(((AV90-AV89)^2)^0.5),(((((AY$44-AW89)*(AV90-AV89))/(AW90-AW89))^2)^0.5)),IF((AW90&lt;AY$44),(((((AY$44-AW90)*(AV90-AV89))/(AW89-AW90))^2)^0.5),0))),0),0))))</f>
        <v>0</v>
      </c>
      <c s="588" r="BA90">
        <f>IF(ISNA((AW90*AW89)),0,IF((AT89=FALSE),IF((AT90=FALSE),IF(ISNA(AS90),0,IF((AW89&lt;AY$44),IF((AW90&lt;AY$44),((AY$44-((AW89+AW90)*0.5))*AZ90),(((AY$44-AW89)*0.5)*AZ90)),IF((AW90&lt;AY$44),(((AY$44-AW90)*0.5)*AZ90),0))),0),0))</f>
        <v>0</v>
      </c>
      <c s="588" r="BB90">
        <f>IF(ISNA((AW90*AW89)),0,IF((AT89=FALSE),IF((AT90=FALSE),IF(ISNA(AW90),0,IF((AW89&lt;AY$44),IF((AW90&lt;AY$44),(((AZ90^2)+((AW90-AW89)^2))^0.5),(((AZ90^2)+((AY$44-AW89)^2))^0.5)),IF((AW90&lt;AY$44),(((AZ90^2)+((AY$44-AW90)^2))^0.5),0))),0),0))</f>
        <v>0</v>
      </c>
      <c s="588" r="BC90">
        <f>IF(ISNUMBER((AW90*AW89)),IF((AW89&gt;=AI$148),IF((AW90&lt;AI$148),1,0),IF((AW90&gt;=AI$148),IF((AW89&lt;AI$148),1,0),0)),0)</f>
        <v>0</v>
      </c>
      <c s="588" r="BD90">
        <f>IF(ISNA((AW90*AW89)),0,(IF((AV90&lt;AV89),-1,1)*(IF(ISNA(AW90),0,IF((AW89&lt;AI$148),IF((AW90&lt;AI$148),(((AV90-AV89)^2)^0.5),(((((AI$148-AW89)*(AV90-AV89))/(AW90-AW89))^2)^0.5)),IF((AW90&lt;AI$148),(((((AI$148-AW90)*(AV90-AV89))/(AW89-AW90))^2)^0.5),0))))))</f>
        <v>0</v>
      </c>
      <c s="441" r="BE90">
        <f>IF((BA90&gt;0),(MAX(BE$47:BE89)+1),0)</f>
        <v>0</v>
      </c>
      <c s="388" r="BF90"/>
      <c s="406" r="BG90"/>
      <c s="886" r="BH90"/>
      <c s="886" r="BI90"/>
      <c s="886" r="BJ90"/>
      <c s="886" r="BK90"/>
      <c s="418" r="BL90"/>
      <c s="550" r="BM90"/>
      <c s="550" r="BN90"/>
      <c t="str" s="620" r="BO90">
        <f>IF((COUNT(BN90:BN$146,BP90:BP$146)=0),NA(),IF(ISBLANK(BN90),BO89,(BO89+(BN90-BP89))))</f>
        <v>#N/A:explicit</v>
      </c>
      <c s="550" r="BP90"/>
      <c t="str" s="620" r="BQ90">
        <f>IF(OR(ISBLANK(BP90),ISNUMBER(BN91)),NA(),(BO90-BP90))</f>
        <v>#N/A:explicit</v>
      </c>
      <c t="b" s="895" r="BR90">
        <v>0</v>
      </c>
      <c s="631" r="BS90"/>
      <c t="str" s="309" r="BT90">
        <f>IF((COUNT(BM90:BM$146)=0),NA(),IF(ISBLANK(BM90),IF(ISBLANK(BM89),MAX(BM$46:BM90),BM89),BM90))</f>
        <v>#N/A:explicit</v>
      </c>
      <c t="str" s="861" r="BU90">
        <f>IF(ISNA(BQ90),IF(ISNUMBER(BT90),BU89,NA()),BQ90)</f>
        <v>#N/A:explicit</v>
      </c>
      <c s="861" r="BV90">
        <f>IF(ISNUMBER(BU90),BU90,(BO$46+1000))</f>
        <v>1000</v>
      </c>
      <c t="str" s="588" r="BW90">
        <f>IF((BR90=TRUE),NA(),IF((BW$44=(BO$46-MAX(BP$46:BP$146))),NA(),BW$44))</f>
        <v>#N/A:explicit</v>
      </c>
      <c s="588" r="BX90">
        <f>IF((ISNA(((BU90*BT90)*BU89))),0,(IF((BT90&lt;BT89),-1,1)*(IF((BR89=FALSE),IF((BR90=FALSE),IF(ISNA(BU90),0,IF((BU89&lt;BW$44),IF((BU90&lt;BW$44),(((BT90-BT89)^2)^0.5),(((((BW$44-BU89)*(BT90-BT89))/(BU90-BU89))^2)^0.5)),IF((BU90&lt;BW$44),(((((BW$44-BU90)*(BT90-BT89))/(BU89-BU90))^2)^0.5),0))),0),0))))</f>
        <v>0</v>
      </c>
      <c s="588" r="BY90">
        <f>IF(ISNA((BU90*BU89)),0,IF((BR89=FALSE),IF((BR90=FALSE),IF(ISNA(BQ90),0,IF((BU89&lt;BW$44),IF((BU90&lt;BW$44),((BW$44-((BU89+BU90)*0.5))*BX90),(((BW$44-BU89)*0.5)*BX90)),IF((BU90&lt;BW$44),(((BW$44-BU90)*0.5)*BX90),0))),0),0))</f>
        <v>0</v>
      </c>
      <c s="588" r="BZ90">
        <f>IF(ISNA((BU90*BU89)),0,IF((BR89=FALSE),IF((BR90=FALSE),IF(ISNA(BU90),0,IF((BU89&lt;BW$44),IF((BU90&lt;BW$44),(((BX90^2)+((BU90-BU89)^2))^0.5),(((BX90^2)+((BW$44-BU89)^2))^0.5)),IF((BU90&lt;BW$44),(((BX90^2)+((BW$44-BU90)^2))^0.5),0))),0),0))</f>
        <v>0</v>
      </c>
      <c s="588" r="CA90">
        <f>IF(ISNUMBER((BU90*BU89)),IF((BU89&gt;=BG$148),IF((BU90&lt;BG$148),1,0),IF((BU90&gt;=BG$148),IF((BU89&lt;BG$148),1,0),0)),0)</f>
        <v>0</v>
      </c>
      <c s="588" r="CB90">
        <f>IF(ISNA((BU90*BU89)),0,(IF((BT90&lt;BT89),-1,1)*(IF(ISNA(BU90),0,IF((BU89&lt;BG$148),IF((BU90&lt;BG$148),(((BT90-BT89)^2)^0.5),(((((BG$148-BU89)*(BT90-BT89))/(BU90-BU89))^2)^0.5)),IF((BU90&lt;BG$148),(((((BG$148-BU90)*(BT90-BT89))/(BU89-BU90))^2)^0.5),0))))))</f>
        <v>0</v>
      </c>
      <c s="441" r="CC90">
        <f>IF((BY90&gt;0),(MAX(CC$47:CC89)+1),0)</f>
        <v>0</v>
      </c>
      <c s="388" r="CD90"/>
      <c s="406" r="CE90"/>
      <c s="886" r="CF90"/>
      <c s="886" r="CG90"/>
      <c s="886" r="CH90"/>
      <c s="886" r="CI90"/>
      <c s="418" r="CJ90"/>
      <c s="550" r="CK90"/>
      <c s="550" r="CL90"/>
      <c t="str" s="620" r="CM90">
        <f>IF((COUNT(CL90:CL$146,CN90:CN$146)=0),NA(),IF(ISBLANK(CL90),CM89,(CM89+(CL90-CN89))))</f>
        <v>#N/A:explicit</v>
      </c>
      <c s="550" r="CN90"/>
      <c t="str" s="620" r="CO90">
        <f>IF(OR(ISBLANK(CN90),ISNUMBER(CL91)),NA(),(CM90-CN90))</f>
        <v>#N/A:explicit</v>
      </c>
      <c t="b" s="895" r="CP90">
        <v>0</v>
      </c>
      <c s="631" r="CQ90"/>
      <c t="str" s="309" r="CR90">
        <f>IF((COUNT(CK90:CK$146)=0),NA(),IF(ISBLANK(CK90),IF(ISBLANK(CK89),MAX(CK$46:CK90),CK89),CK90))</f>
        <v>#N/A:explicit</v>
      </c>
      <c t="str" s="861" r="CS90">
        <f>IF(ISNA(CO90),IF(ISNUMBER(CR90),CS89,NA()),CO90)</f>
        <v>#N/A:explicit</v>
      </c>
      <c s="861" r="CT90">
        <f>IF(ISNUMBER(CS90),CS90,(CM$46+1000))</f>
        <v>1000</v>
      </c>
      <c t="str" s="588" r="CU90">
        <f>IF((CP90=TRUE),NA(),IF((CU$44=(CM$46-MAX(CN$46:CN$146))),NA(),CU$44))</f>
        <v>#N/A:explicit</v>
      </c>
      <c s="588" r="CV90">
        <f>IF((ISNA(((CS90*CR90)*CS89))),0,(IF((CR90&lt;CR89),-1,1)*(IF((CP89=FALSE),IF((CP90=FALSE),IF(ISNA(CS90),0,IF((CS89&lt;CU$44),IF((CS90&lt;CU$44),(((CR90-CR89)^2)^0.5),(((((CU$44-CS89)*(CR90-CR89))/(CS90-CS89))^2)^0.5)),IF((CS90&lt;CU$44),(((((CU$44-CS90)*(CR90-CR89))/(CS89-CS90))^2)^0.5),0))),0),0))))</f>
        <v>0</v>
      </c>
      <c s="588" r="CW90">
        <f>IF(ISNA((CS90*CS89)),0,IF((CP89=FALSE),IF((CP90=FALSE),IF(ISNA(CO90),0,IF((CS89&lt;CU$44),IF((CS90&lt;CU$44),((CU$44-((CS89+CS90)*0.5))*CV90),(((CU$44-CS89)*0.5)*CV90)),IF((CS90&lt;CU$44),(((CU$44-CS90)*0.5)*CV90),0))),0),0))</f>
        <v>0</v>
      </c>
      <c s="588" r="CX90">
        <f>IF(ISNA((CS90*CS89)),0,IF((CP89=FALSE),IF((CP90=FALSE),IF(ISNA(CS90),0,IF((CS89&lt;CU$44),IF((CS90&lt;CU$44),(((CV90^2)+((CS90-CS89)^2))^0.5),(((CV90^2)+((CU$44-CS89)^2))^0.5)),IF((CS90&lt;CU$44),(((CV90^2)+((CU$44-CS90)^2))^0.5),0))),0),0))</f>
        <v>0</v>
      </c>
      <c s="588" r="CY90">
        <f>IF(ISNUMBER((CS90*CS89)),IF((CS89&gt;=CE$148),IF((CS90&lt;CE$148),1,0),IF((CS90&gt;=CE$148),IF((CS89&lt;CE$148),1,0),0)),0)</f>
        <v>0</v>
      </c>
      <c s="588" r="CZ90">
        <f>IF(ISNA((CS90*CS89)),0,(IF((CR90&lt;CR89),-1,1)*(IF(ISNA(CS90),0,IF((CS89&lt;CE$148),IF((CS90&lt;CE$148),(((CR90-CR89)^2)^0.5),(((((CE$148-CS89)*(CR90-CR89))/(CS90-CS89))^2)^0.5)),IF((CS90&lt;CE$148),(((((CE$148-CS90)*(CR90-CR89))/(CS89-CS90))^2)^0.5),0))))))</f>
        <v>0</v>
      </c>
      <c s="441" r="DA90">
        <f>IF((CW90&gt;0),(MAX(DA$47:DA89)+1),0)</f>
        <v>0</v>
      </c>
      <c s="388" r="DB90"/>
      <c s="406" r="DC90"/>
      <c s="886" r="DD90"/>
      <c s="886" r="DE90"/>
      <c s="886" r="DF90"/>
      <c s="886" r="DG90"/>
      <c s="418" r="DH90"/>
      <c s="550" r="DI90"/>
      <c s="550" r="DJ90"/>
      <c t="str" s="620" r="DK90">
        <f>IF((COUNT(DJ90:DJ$146,DL90:DL$146)=0),NA(),IF(ISBLANK(DJ90),DK89,(DK89+(DJ90-DL89))))</f>
        <v>#N/A:explicit</v>
      </c>
      <c s="550" r="DL90"/>
      <c t="str" s="620" r="DM90">
        <f>IF(OR(ISBLANK(DL90),ISNUMBER(DJ91)),NA(),(DK90-DL90))</f>
        <v>#N/A:explicit</v>
      </c>
      <c t="b" s="895" r="DN90">
        <v>0</v>
      </c>
      <c s="631" r="DO90"/>
      <c t="str" s="309" r="DP90">
        <f>IF((COUNT(DI90:DI$146)=0),NA(),IF(ISBLANK(DI90),IF(ISBLANK(DI89),MAX(DI$46:DI90),DI89),DI90))</f>
        <v>#N/A:explicit</v>
      </c>
      <c t="str" s="861" r="DQ90">
        <f>IF(ISNA(DM90),IF(ISNUMBER(DP90),DQ89,NA()),DM90)</f>
        <v>#N/A:explicit</v>
      </c>
      <c s="861" r="DR90">
        <f>IF(ISNUMBER(DQ90),DQ90,(DK$46+1000))</f>
        <v>1000</v>
      </c>
      <c t="str" s="588" r="DS90">
        <f>IF((DN90=TRUE),NA(),IF((DS$44=(DK$46-MAX(DL$46:DL$146))),NA(),DS$44))</f>
        <v>#N/A:explicit</v>
      </c>
      <c s="588" r="DT90">
        <f>IF((ISNA(((DQ90*DP90)*DQ89))),0,(IF((DP90&lt;DP89),-1,1)*(IF((DN89=FALSE),IF((DN90=FALSE),IF(ISNA(DQ90),0,IF((DQ89&lt;DS$44),IF((DQ90&lt;DS$44),(((DP90-DP89)^2)^0.5),(((((DS$44-DQ89)*(DP90-DP89))/(DQ90-DQ89))^2)^0.5)),IF((DQ90&lt;DS$44),(((((DS$44-DQ90)*(DP90-DP89))/(DQ89-DQ90))^2)^0.5),0))),0),0))))</f>
        <v>0</v>
      </c>
      <c s="588" r="DU90">
        <f>IF(ISNA((DQ90*DQ89)),0,IF((DN89=FALSE),IF((DN90=FALSE),IF(ISNA(DM90),0,IF((DQ89&lt;DS$44),IF((DQ90&lt;DS$44),((DS$44-((DQ89+DQ90)*0.5))*DT90),(((DS$44-DQ89)*0.5)*DT90)),IF((DQ90&lt;DS$44),(((DS$44-DQ90)*0.5)*DT90),0))),0),0))</f>
        <v>0</v>
      </c>
      <c s="588" r="DV90">
        <f>IF(ISNA((DQ90*DQ89)),0,IF((DN89=FALSE),IF((DN90=FALSE),IF(ISNA(DQ90),0,IF((DQ89&lt;DS$44),IF((DQ90&lt;DS$44),(((DT90^2)+((DQ90-DQ89)^2))^0.5),(((DT90^2)+((DS$44-DQ89)^2))^0.5)),IF((DQ90&lt;DS$44),(((DT90^2)+((DS$44-DQ90)^2))^0.5),0))),0),0))</f>
        <v>0</v>
      </c>
      <c s="588" r="DW90">
        <f>IF(ISNUMBER((DQ90*DQ89)),IF((DQ89&gt;=DC$148),IF((DQ90&lt;DC$148),1,0),IF((DQ90&gt;=DC$148),IF((DQ89&lt;DC$148),1,0),0)),0)</f>
        <v>0</v>
      </c>
      <c s="588" r="DX90">
        <f>IF(ISNA((DQ90*DQ89)),0,(IF((DP90&lt;DP89),-1,1)*(IF(ISNA(DQ90),0,IF((DQ89&lt;DC$148),IF((DQ90&lt;DC$148),(((DP90-DP89)^2)^0.5),(((((DC$148-DQ89)*(DP90-DP89))/(DQ90-DQ89))^2)^0.5)),IF((DQ90&lt;DC$148),(((((DC$148-DQ90)*(DP90-DP89))/(DQ89-DQ90))^2)^0.5),0))))))</f>
        <v>0</v>
      </c>
      <c s="441" r="DY90">
        <f>IF((DU90&gt;0),(MAX(DY$47:DY89)+1),0)</f>
        <v>0</v>
      </c>
      <c s="388" r="DZ90"/>
      <c s="406" r="EA90"/>
      <c s="886" r="EB90"/>
      <c s="886" r="EC90"/>
      <c s="886" r="ED90"/>
      <c s="886" r="EE90"/>
      <c s="418" r="EF90"/>
      <c s="550" r="EG90"/>
      <c s="550" r="EH90"/>
      <c t="str" s="620" r="EI90">
        <f>IF((COUNT(EH90:EH$146,EJ90:EJ$146)=0),NA(),IF(ISBLANK(EH90),EI89,(EI89+(EH90-EJ89))))</f>
        <v>#N/A:explicit</v>
      </c>
      <c s="550" r="EJ90"/>
      <c t="str" s="620" r="EK90">
        <f>IF(OR(ISBLANK(EJ90),ISNUMBER(EH91)),NA(),(EI90-EJ90))</f>
        <v>#N/A:explicit</v>
      </c>
      <c t="b" s="895" r="EL90">
        <v>0</v>
      </c>
      <c s="631" r="EM90"/>
      <c t="str" s="309" r="EN90">
        <f>IF((COUNT(EG90:EG$146)=0),NA(),IF(ISBLANK(EG90),IF(ISBLANK(EG89),MAX(EG$46:EG90),EG89),EG90))</f>
        <v>#N/A:explicit</v>
      </c>
      <c t="str" s="861" r="EO90">
        <f>IF(ISNA(EK90),IF(ISNUMBER(EN90),EO89,NA()),EK90)</f>
        <v>#N/A:explicit</v>
      </c>
      <c s="861" r="EP90">
        <f>IF(ISNUMBER(EO90),EO90,(EI$46+1000))</f>
        <v>1000</v>
      </c>
      <c t="str" s="588" r="EQ90">
        <f>IF((EL90=TRUE),NA(),IF((EQ$44=(EI$46-MAX(EJ$46:EJ$146))),NA(),EQ$44))</f>
        <v>#N/A:explicit</v>
      </c>
      <c s="588" r="ER90">
        <f>IF((ISNA(((EO90*EN90)*EO89))),0,(IF((EN90&lt;EN89),-1,1)*(IF((EL89=FALSE),IF((EL90=FALSE),IF(ISNA(EO90),0,IF((EO89&lt;EQ$44),IF((EO90&lt;EQ$44),(((EN90-EN89)^2)^0.5),(((((EQ$44-EO89)*(EN90-EN89))/(EO90-EO89))^2)^0.5)),IF((EO90&lt;EQ$44),(((((EQ$44-EO90)*(EN90-EN89))/(EO89-EO90))^2)^0.5),0))),0),0))))</f>
        <v>0</v>
      </c>
      <c s="588" r="ES90">
        <f>IF(ISNA((EO90*EO89)),0,IF((EL89=FALSE),IF((EL90=FALSE),IF(ISNA(EK90),0,IF((EO89&lt;EQ$44),IF((EO90&lt;EQ$44),((EQ$44-((EO89+EO90)*0.5))*ER90),(((EQ$44-EO89)*0.5)*ER90)),IF((EO90&lt;EQ$44),(((EQ$44-EO90)*0.5)*ER90),0))),0),0))</f>
        <v>0</v>
      </c>
      <c s="588" r="ET90">
        <f>IF(ISNA((EO90*EO89)),0,IF((EL89=FALSE),IF((EL90=FALSE),IF(ISNA(EO90),0,IF((EO89&lt;EQ$44),IF((EO90&lt;EQ$44),(((ER90^2)+((EO90-EO89)^2))^0.5),(((ER90^2)+((EQ$44-EO89)^2))^0.5)),IF((EO90&lt;EQ$44),(((ER90^2)+((EQ$44-EO90)^2))^0.5),0))),0),0))</f>
        <v>0</v>
      </c>
      <c s="588" r="EU90">
        <f>IF(ISNUMBER((EO90*EO89)),IF((EO89&gt;=EA$148),IF((EO90&lt;EA$148),1,0),IF((EO90&gt;=EA$148),IF((EO89&lt;EA$148),1,0),0)),0)</f>
        <v>0</v>
      </c>
      <c s="588" r="EV90">
        <f>IF(ISNA((EO90*EO89)),0,(IF((EN90&lt;EN89),-1,1)*(IF(ISNA(EO90),0,IF((EO89&lt;EA$148),IF((EO90&lt;EA$148),(((EN90-EN89)^2)^0.5),(((((EA$148-EO89)*(EN90-EN89))/(EO90-EO89))^2)^0.5)),IF((EO90&lt;EA$148),(((((EA$148-EO90)*(EN90-EN89))/(EO89-EO90))^2)^0.5),0))))))</f>
        <v>0</v>
      </c>
      <c s="441" r="EW90">
        <f>IF((ES90&gt;0),(MAX(EW$47:EW89)+1),0)</f>
        <v>0</v>
      </c>
      <c s="388" r="EX90"/>
      <c s="406" r="EY90"/>
      <c s="886" r="EZ90"/>
      <c s="886" r="FA90"/>
      <c s="886" r="FB90"/>
      <c s="886" r="FC90"/>
      <c s="418" r="FD90"/>
      <c s="550" r="FE90"/>
      <c s="550" r="FF90"/>
      <c t="str" s="620" r="FG90">
        <f>IF((COUNT(FF90:FF$146,FH90:FH$146)=0),NA(),IF(ISBLANK(FF90),FG89,(FG89+(FF90-FH89))))</f>
        <v>#N/A:explicit</v>
      </c>
      <c s="550" r="FH90"/>
      <c t="str" s="620" r="FI90">
        <f>IF(OR(ISBLANK(FH90),ISNUMBER(FF91)),NA(),(FG90-FH90))</f>
        <v>#N/A:explicit</v>
      </c>
      <c t="b" s="895" r="FJ90">
        <v>0</v>
      </c>
      <c s="631" r="FK90"/>
      <c t="str" s="309" r="FL90">
        <f>IF((COUNT(FE90:FE$146)=0),NA(),IF(ISBLANK(FE90),IF(ISBLANK(FE89),MAX(FE$46:FE90),FE89),FE90))</f>
        <v>#N/A:explicit</v>
      </c>
      <c t="str" s="861" r="FM90">
        <f>IF(ISNA(FI90),IF(ISNUMBER(FL90),FM89,NA()),FI90)</f>
        <v>#N/A:explicit</v>
      </c>
      <c s="861" r="FN90">
        <f>IF(ISNUMBER(FM90),FM90,(FG$46+1000))</f>
        <v>1000</v>
      </c>
      <c t="str" s="588" r="FO90">
        <f>IF((FJ90=TRUE),NA(),IF((FO$44=(FG$46-MAX(FH$46:FH$146))),NA(),FO$44))</f>
        <v>#N/A:explicit</v>
      </c>
      <c s="588" r="FP90">
        <f>IF((ISNA(((FM90*FL90)*FM89))),0,(IF((FL90&lt;FL89),-1,1)*(IF((FJ89=FALSE),IF((FJ90=FALSE),IF(ISNA(FM90),0,IF((FM89&lt;FO$44),IF((FM90&lt;FO$44),(((FL90-FL89)^2)^0.5),(((((FO$44-FM89)*(FL90-FL89))/(FM90-FM89))^2)^0.5)),IF((FM90&lt;FO$44),(((((FO$44-FM90)*(FL90-FL89))/(FM89-FM90))^2)^0.5),0))),0),0))))</f>
        <v>0</v>
      </c>
      <c s="588" r="FQ90">
        <f>IF(ISNA((FM90*FM89)),0,IF((FJ89=FALSE),IF((FJ90=FALSE),IF(ISNA(FI90),0,IF((FM89&lt;FO$44),IF((FM90&lt;FO$44),((FO$44-((FM89+FM90)*0.5))*FP90),(((FO$44-FM89)*0.5)*FP90)),IF((FM90&lt;FO$44),(((FO$44-FM90)*0.5)*FP90),0))),0),0))</f>
        <v>0</v>
      </c>
      <c s="588" r="FR90">
        <f>IF(ISNA((FM90*FM89)),0,IF((FJ89=FALSE),IF((FJ90=FALSE),IF(ISNA(FM90),0,IF((FM89&lt;FO$44),IF((FM90&lt;FO$44),(((FP90^2)+((FM90-FM89)^2))^0.5),(((FP90^2)+((FO$44-FM89)^2))^0.5)),IF((FM90&lt;FO$44),(((FP90^2)+((FO$44-FM90)^2))^0.5),0))),0),0))</f>
        <v>0</v>
      </c>
      <c s="588" r="FS90">
        <f>IF(ISNUMBER((FM90*FM89)),IF((FM89&gt;=EY$148),IF((FM90&lt;EY$148),1,0),IF((FM90&gt;=EY$148),IF((FM89&lt;EY$148),1,0),0)),0)</f>
        <v>0</v>
      </c>
      <c s="588" r="FT90">
        <f>IF(ISNA((FM90*FM89)),0,(IF((FL90&lt;FL89),-1,1)*(IF(ISNA(FM90),0,IF((FM89&lt;EY$148),IF((FM90&lt;EY$148),(((FL90-FL89)^2)^0.5),(((((EY$148-FM89)*(FL90-FL89))/(FM90-FM89))^2)^0.5)),IF((FM90&lt;EY$148),(((((EY$148-FM90)*(FL90-FL89))/(FM89-FM90))^2)^0.5),0))))))</f>
        <v>0</v>
      </c>
      <c s="441" r="FU90">
        <f>IF((FQ90&gt;0),(MAX(FU$47:FU89)+1),0)</f>
        <v>0</v>
      </c>
      <c s="222" r="FV90"/>
      <c s="125" r="FW90"/>
      <c s="125" r="FX90"/>
      <c s="125" r="FY90"/>
      <c s="125" r="FZ90"/>
      <c s="125" r="GA90"/>
      <c s="125" r="GB90"/>
      <c s="125" r="GC90"/>
      <c s="125" r="GD90"/>
      <c s="125" r="GE90"/>
      <c s="125" r="GF90"/>
      <c s="125" r="GG90"/>
      <c s="125" r="GH90"/>
      <c s="125" r="GI90"/>
      <c s="125" r="GJ90"/>
      <c s="125" r="GK90"/>
      <c s="125" r="GL90"/>
      <c s="125" r="GM90"/>
      <c s="125" r="GN90"/>
      <c s="125" r="GO90"/>
      <c s="125" r="GP90"/>
      <c s="125" r="GQ90"/>
      <c s="125" r="GR90"/>
      <c s="125" r="GS90"/>
      <c s="125" r="GT90"/>
      <c s="125" r="GU90"/>
      <c s="125" r="GV90"/>
      <c s="125" r="GW90"/>
      <c s="125" r="GX90"/>
      <c s="125" r="GY90"/>
      <c s="125" r="GZ90"/>
      <c s="125" r="HA90"/>
      <c s="125" r="HB90"/>
    </row>
    <row customHeight="1" r="91" ht="13.5">
      <c s="822" r="A91"/>
      <c s="908" r="B91"/>
      <c s="551" r="C91"/>
      <c s="551" r="D91"/>
      <c t="str" s="812" r="E91">
        <f>"width bankfull "&amp;IF((H4=2),"(m)","(ft)")</f>
        <v>width bankfull (ft)</v>
      </c>
      <c t="str" s="719" r="F91">
        <f>IF(ISBLANK(E40),IF(ISNUMBER(E41),E41,"---"),E40)</f>
        <v>---</v>
      </c>
      <c t="str" s="286" r="G91">
        <f>IF(ISBLANK(G40),IF(ISNUMBER(G41),G41,"---"),G40)</f>
        <v>---</v>
      </c>
      <c t="str" s="224" r="H91">
        <f>IF(ISBLANK(H40),IF(ISNUMBER(H41),H41,"---"),H40)</f>
        <v>---</v>
      </c>
      <c s="51" r="I91"/>
      <c s="822" r="J91"/>
      <c s="406" r="K91"/>
      <c s="886" r="L91"/>
      <c s="886" r="M91"/>
      <c s="886" r="N91"/>
      <c s="886" r="O91"/>
      <c s="418" r="P91"/>
      <c s="550" r="Q91"/>
      <c s="550" r="R91"/>
      <c t="str" s="620" r="S91">
        <f>IF((COUNT(R91:R$146,T91:T$146)=0),NA(),IF(ISBLANK(R91),S90,(S90+(R91-T90))))</f>
        <v>#N/A:explicit</v>
      </c>
      <c s="550" r="T91"/>
      <c t="str" s="620" r="U91">
        <f>IF(OR(ISBLANK(T91),ISNUMBER(R92)),NA(),(S91-T91))</f>
        <v>#N/A:explicit</v>
      </c>
      <c t="b" s="895" r="V91">
        <v>0</v>
      </c>
      <c s="631" r="W91"/>
      <c t="str" s="309" r="X91">
        <f>IF((COUNT(Q91:Q$146)=0),NA(),IF(ISBLANK(Q91),IF(ISBLANK(Q90),MAX(Q$46:Q91),Q90),Q91))</f>
        <v>#N/A:explicit</v>
      </c>
      <c t="str" s="861" r="Y91">
        <f>IF(ISNA(U91),IF(ISNUMBER(X91),Y90,NA()),U91)</f>
        <v>#N/A:explicit</v>
      </c>
      <c s="861" r="Z91">
        <f>IF(ISNUMBER(Y91),Y91,(S$46+1000))</f>
        <v>1000</v>
      </c>
      <c t="str" s="588" r="AA91">
        <f>IF((V91=TRUE),NA(),IF((AA$44=(S$46-MAX(T$46:T$146))),NA(),AA$44))</f>
        <v>#N/A:explicit</v>
      </c>
      <c s="588" r="AB91">
        <f>IF((ISNA(((Y91*X91)*Y90))),0,(IF((X91&lt;X90),-1,1)*(IF((V90=FALSE),IF((V91=FALSE),IF(ISNA(Y91),0,IF((Y90&lt;AA$44),IF((Y91&lt;AA$44),(((X91-X90)^2)^0.5),(((((AA$44-Y90)*(X91-X90))/(Y91-Y90))^2)^0.5)),IF((Y91&lt;AA$44),(((((AA$44-Y91)*(X91-X90))/(Y90-Y91))^2)^0.5),0))),0),0))))</f>
        <v>0</v>
      </c>
      <c s="588" r="AC91">
        <f>IF(ISNA((Y91*Y90)),0,IF((V90=FALSE),IF((V91=FALSE),IF(ISNA(U91),0,IF((Y90&lt;AA$44),IF((Y91&lt;AA$44),((AA$44-((Y90+Y91)*0.5))*AB91),(((AA$44-Y90)*0.5)*AB91)),IF((Y91&lt;AA$44),(((AA$44-Y91)*0.5)*AB91),0))),0),0))</f>
        <v>0</v>
      </c>
      <c s="588" r="AD91">
        <f>IF(ISNA((Y91*Y90)),0,IF((V90=FALSE),IF((V91=FALSE),IF(ISNA(Y91),0,IF((Y90&lt;AA$44),IF((Y91&lt;AA$44),(((AB91^2)+((Y91-Y90)^2))^0.5),(((AB91^2)+((AA$44-Y90)^2))^0.5)),IF((Y91&lt;AA$44),(((AB91^2)+((AA$44-Y91)^2))^0.5),0))),0),0))</f>
        <v>0</v>
      </c>
      <c s="588" r="AE91">
        <f>IF(ISNUMBER((Y91*Y90)),IF((Y90&gt;=K$148),IF((Y91&lt;K$148),1,0),IF((Y91&gt;=K$148),IF((Y90&lt;K$148),1,0),0)),0)</f>
        <v>0</v>
      </c>
      <c s="588" r="AF91">
        <f>IF(ISNA((Y91*Y90)),0,(IF((X91&lt;X90),-1,1)*(IF(ISNA(Y91),0,IF((Y90&lt;K$148),IF((Y91&lt;K$148),(((X91-X90)^2)^0.5),(((((K$148-Y90)*(X91-X90))/(Y91-Y90))^2)^0.5)),IF((Y91&lt;K$148),(((((K$148-Y91)*(X91-X90))/(Y90-Y91))^2)^0.5),0))))))</f>
        <v>0</v>
      </c>
      <c s="441" r="AG91">
        <f>IF((AC91&gt;0),(MAX(AG$47:AG90)+1),0)</f>
        <v>0</v>
      </c>
      <c s="388" r="AH91"/>
      <c s="406" r="AI91"/>
      <c s="886" r="AJ91"/>
      <c s="886" r="AK91"/>
      <c s="886" r="AL91"/>
      <c s="886" r="AM91"/>
      <c s="418" r="AN91"/>
      <c s="550" r="AO91"/>
      <c s="550" r="AP91"/>
      <c t="str" s="620" r="AQ91">
        <f>IF((COUNT(AP91:AP$146,AR91:AR$146)=0),NA(),IF(ISBLANK(AP91),AQ90,(AQ90+(AP91-AR90))))</f>
        <v>#N/A:explicit</v>
      </c>
      <c s="550" r="AR91"/>
      <c t="str" s="620" r="AS91">
        <f>IF(OR(ISBLANK(AR91),ISNUMBER(AP92)),NA(),(AQ91-AR91))</f>
        <v>#N/A:explicit</v>
      </c>
      <c t="b" s="895" r="AT91">
        <v>0</v>
      </c>
      <c s="631" r="AU91"/>
      <c t="str" s="309" r="AV91">
        <f>IF((COUNT(AO91:AO$146)=0),NA(),IF(ISBLANK(AO91),IF(ISBLANK(AO90),MAX(AO$46:AO91),AO90),AO91))</f>
        <v>#N/A:explicit</v>
      </c>
      <c t="str" s="861" r="AW91">
        <f>IF(ISNA(AS91),IF(ISNUMBER(AV91),AW90,NA()),AS91)</f>
        <v>#N/A:explicit</v>
      </c>
      <c s="861" r="AX91">
        <f>IF(ISNUMBER(AW91),AW91,(AQ$46+1000))</f>
        <v>1000</v>
      </c>
      <c t="str" s="588" r="AY91">
        <f>IF((AT91=TRUE),NA(),IF((AY$44=(AQ$46-MAX(AR$46:AR$146))),NA(),AY$44))</f>
        <v>#N/A:explicit</v>
      </c>
      <c s="588" r="AZ91">
        <f>IF((ISNA(((AW91*AV91)*AW90))),0,(IF((AV91&lt;AV90),-1,1)*(IF((AT90=FALSE),IF((AT91=FALSE),IF(ISNA(AW91),0,IF((AW90&lt;AY$44),IF((AW91&lt;AY$44),(((AV91-AV90)^2)^0.5),(((((AY$44-AW90)*(AV91-AV90))/(AW91-AW90))^2)^0.5)),IF((AW91&lt;AY$44),(((((AY$44-AW91)*(AV91-AV90))/(AW90-AW91))^2)^0.5),0))),0),0))))</f>
        <v>0</v>
      </c>
      <c s="588" r="BA91">
        <f>IF(ISNA((AW91*AW90)),0,IF((AT90=FALSE),IF((AT91=FALSE),IF(ISNA(AS91),0,IF((AW90&lt;AY$44),IF((AW91&lt;AY$44),((AY$44-((AW90+AW91)*0.5))*AZ91),(((AY$44-AW90)*0.5)*AZ91)),IF((AW91&lt;AY$44),(((AY$44-AW91)*0.5)*AZ91),0))),0),0))</f>
        <v>0</v>
      </c>
      <c s="588" r="BB91">
        <f>IF(ISNA((AW91*AW90)),0,IF((AT90=FALSE),IF((AT91=FALSE),IF(ISNA(AW91),0,IF((AW90&lt;AY$44),IF((AW91&lt;AY$44),(((AZ91^2)+((AW91-AW90)^2))^0.5),(((AZ91^2)+((AY$44-AW90)^2))^0.5)),IF((AW91&lt;AY$44),(((AZ91^2)+((AY$44-AW91)^2))^0.5),0))),0),0))</f>
        <v>0</v>
      </c>
      <c s="588" r="BC91">
        <f>IF(ISNUMBER((AW91*AW90)),IF((AW90&gt;=AI$148),IF((AW91&lt;AI$148),1,0),IF((AW91&gt;=AI$148),IF((AW90&lt;AI$148),1,0),0)),0)</f>
        <v>0</v>
      </c>
      <c s="588" r="BD91">
        <f>IF(ISNA((AW91*AW90)),0,(IF((AV91&lt;AV90),-1,1)*(IF(ISNA(AW91),0,IF((AW90&lt;AI$148),IF((AW91&lt;AI$148),(((AV91-AV90)^2)^0.5),(((((AI$148-AW90)*(AV91-AV90))/(AW91-AW90))^2)^0.5)),IF((AW91&lt;AI$148),(((((AI$148-AW91)*(AV91-AV90))/(AW90-AW91))^2)^0.5),0))))))</f>
        <v>0</v>
      </c>
      <c s="441" r="BE91">
        <f>IF((BA91&gt;0),(MAX(BE$47:BE90)+1),0)</f>
        <v>0</v>
      </c>
      <c s="388" r="BF91"/>
      <c s="406" r="BG91"/>
      <c s="886" r="BH91"/>
      <c s="886" r="BI91"/>
      <c s="886" r="BJ91"/>
      <c s="886" r="BK91"/>
      <c s="418" r="BL91"/>
      <c s="550" r="BM91"/>
      <c s="550" r="BN91"/>
      <c t="str" s="620" r="BO91">
        <f>IF((COUNT(BN91:BN$146,BP91:BP$146)=0),NA(),IF(ISBLANK(BN91),BO90,(BO90+(BN91-BP90))))</f>
        <v>#N/A:explicit</v>
      </c>
      <c s="550" r="BP91"/>
      <c t="str" s="620" r="BQ91">
        <f>IF(OR(ISBLANK(BP91),ISNUMBER(BN92)),NA(),(BO91-BP91))</f>
        <v>#N/A:explicit</v>
      </c>
      <c t="b" s="895" r="BR91">
        <v>0</v>
      </c>
      <c s="631" r="BS91"/>
      <c t="str" s="309" r="BT91">
        <f>IF((COUNT(BM91:BM$146)=0),NA(),IF(ISBLANK(BM91),IF(ISBLANK(BM90),MAX(BM$46:BM91),BM90),BM91))</f>
        <v>#N/A:explicit</v>
      </c>
      <c t="str" s="861" r="BU91">
        <f>IF(ISNA(BQ91),IF(ISNUMBER(BT91),BU90,NA()),BQ91)</f>
        <v>#N/A:explicit</v>
      </c>
      <c s="861" r="BV91">
        <f>IF(ISNUMBER(BU91),BU91,(BO$46+1000))</f>
        <v>1000</v>
      </c>
      <c t="str" s="588" r="BW91">
        <f>IF((BR91=TRUE),NA(),IF((BW$44=(BO$46-MAX(BP$46:BP$146))),NA(),BW$44))</f>
        <v>#N/A:explicit</v>
      </c>
      <c s="588" r="BX91">
        <f>IF((ISNA(((BU91*BT91)*BU90))),0,(IF((BT91&lt;BT90),-1,1)*(IF((BR90=FALSE),IF((BR91=FALSE),IF(ISNA(BU91),0,IF((BU90&lt;BW$44),IF((BU91&lt;BW$44),(((BT91-BT90)^2)^0.5),(((((BW$44-BU90)*(BT91-BT90))/(BU91-BU90))^2)^0.5)),IF((BU91&lt;BW$44),(((((BW$44-BU91)*(BT91-BT90))/(BU90-BU91))^2)^0.5),0))),0),0))))</f>
        <v>0</v>
      </c>
      <c s="588" r="BY91">
        <f>IF(ISNA((BU91*BU90)),0,IF((BR90=FALSE),IF((BR91=FALSE),IF(ISNA(BQ91),0,IF((BU90&lt;BW$44),IF((BU91&lt;BW$44),((BW$44-((BU90+BU91)*0.5))*BX91),(((BW$44-BU90)*0.5)*BX91)),IF((BU91&lt;BW$44),(((BW$44-BU91)*0.5)*BX91),0))),0),0))</f>
        <v>0</v>
      </c>
      <c s="588" r="BZ91">
        <f>IF(ISNA((BU91*BU90)),0,IF((BR90=FALSE),IF((BR91=FALSE),IF(ISNA(BU91),0,IF((BU90&lt;BW$44),IF((BU91&lt;BW$44),(((BX91^2)+((BU91-BU90)^2))^0.5),(((BX91^2)+((BW$44-BU90)^2))^0.5)),IF((BU91&lt;BW$44),(((BX91^2)+((BW$44-BU91)^2))^0.5),0))),0),0))</f>
        <v>0</v>
      </c>
      <c s="588" r="CA91">
        <f>IF(ISNUMBER((BU91*BU90)),IF((BU90&gt;=BG$148),IF((BU91&lt;BG$148),1,0),IF((BU91&gt;=BG$148),IF((BU90&lt;BG$148),1,0),0)),0)</f>
        <v>0</v>
      </c>
      <c s="588" r="CB91">
        <f>IF(ISNA((BU91*BU90)),0,(IF((BT91&lt;BT90),-1,1)*(IF(ISNA(BU91),0,IF((BU90&lt;BG$148),IF((BU91&lt;BG$148),(((BT91-BT90)^2)^0.5),(((((BG$148-BU90)*(BT91-BT90))/(BU91-BU90))^2)^0.5)),IF((BU91&lt;BG$148),(((((BG$148-BU91)*(BT91-BT90))/(BU90-BU91))^2)^0.5),0))))))</f>
        <v>0</v>
      </c>
      <c s="441" r="CC91">
        <f>IF((BY91&gt;0),(MAX(CC$47:CC90)+1),0)</f>
        <v>0</v>
      </c>
      <c s="388" r="CD91"/>
      <c s="406" r="CE91"/>
      <c s="886" r="CF91"/>
      <c s="886" r="CG91"/>
      <c s="886" r="CH91"/>
      <c s="886" r="CI91"/>
      <c s="418" r="CJ91"/>
      <c s="550" r="CK91"/>
      <c s="550" r="CL91"/>
      <c t="str" s="620" r="CM91">
        <f>IF((COUNT(CL91:CL$146,CN91:CN$146)=0),NA(),IF(ISBLANK(CL91),CM90,(CM90+(CL91-CN90))))</f>
        <v>#N/A:explicit</v>
      </c>
      <c s="550" r="CN91"/>
      <c t="str" s="620" r="CO91">
        <f>IF(OR(ISBLANK(CN91),ISNUMBER(CL92)),NA(),(CM91-CN91))</f>
        <v>#N/A:explicit</v>
      </c>
      <c t="b" s="895" r="CP91">
        <v>0</v>
      </c>
      <c s="631" r="CQ91"/>
      <c t="str" s="309" r="CR91">
        <f>IF((COUNT(CK91:CK$146)=0),NA(),IF(ISBLANK(CK91),IF(ISBLANK(CK90),MAX(CK$46:CK91),CK90),CK91))</f>
        <v>#N/A:explicit</v>
      </c>
      <c t="str" s="861" r="CS91">
        <f>IF(ISNA(CO91),IF(ISNUMBER(CR91),CS90,NA()),CO91)</f>
        <v>#N/A:explicit</v>
      </c>
      <c s="861" r="CT91">
        <f>IF(ISNUMBER(CS91),CS91,(CM$46+1000))</f>
        <v>1000</v>
      </c>
      <c t="str" s="588" r="CU91">
        <f>IF((CP91=TRUE),NA(),IF((CU$44=(CM$46-MAX(CN$46:CN$146))),NA(),CU$44))</f>
        <v>#N/A:explicit</v>
      </c>
      <c s="588" r="CV91">
        <f>IF((ISNA(((CS91*CR91)*CS90))),0,(IF((CR91&lt;CR90),-1,1)*(IF((CP90=FALSE),IF((CP91=FALSE),IF(ISNA(CS91),0,IF((CS90&lt;CU$44),IF((CS91&lt;CU$44),(((CR91-CR90)^2)^0.5),(((((CU$44-CS90)*(CR91-CR90))/(CS91-CS90))^2)^0.5)),IF((CS91&lt;CU$44),(((((CU$44-CS91)*(CR91-CR90))/(CS90-CS91))^2)^0.5),0))),0),0))))</f>
        <v>0</v>
      </c>
      <c s="588" r="CW91">
        <f>IF(ISNA((CS91*CS90)),0,IF((CP90=FALSE),IF((CP91=FALSE),IF(ISNA(CO91),0,IF((CS90&lt;CU$44),IF((CS91&lt;CU$44),((CU$44-((CS90+CS91)*0.5))*CV91),(((CU$44-CS90)*0.5)*CV91)),IF((CS91&lt;CU$44),(((CU$44-CS91)*0.5)*CV91),0))),0),0))</f>
        <v>0</v>
      </c>
      <c s="588" r="CX91">
        <f>IF(ISNA((CS91*CS90)),0,IF((CP90=FALSE),IF((CP91=FALSE),IF(ISNA(CS91),0,IF((CS90&lt;CU$44),IF((CS91&lt;CU$44),(((CV91^2)+((CS91-CS90)^2))^0.5),(((CV91^2)+((CU$44-CS90)^2))^0.5)),IF((CS91&lt;CU$44),(((CV91^2)+((CU$44-CS91)^2))^0.5),0))),0),0))</f>
        <v>0</v>
      </c>
      <c s="588" r="CY91">
        <f>IF(ISNUMBER((CS91*CS90)),IF((CS90&gt;=CE$148),IF((CS91&lt;CE$148),1,0),IF((CS91&gt;=CE$148),IF((CS90&lt;CE$148),1,0),0)),0)</f>
        <v>0</v>
      </c>
      <c s="588" r="CZ91">
        <f>IF(ISNA((CS91*CS90)),0,(IF((CR91&lt;CR90),-1,1)*(IF(ISNA(CS91),0,IF((CS90&lt;CE$148),IF((CS91&lt;CE$148),(((CR91-CR90)^2)^0.5),(((((CE$148-CS90)*(CR91-CR90))/(CS91-CS90))^2)^0.5)),IF((CS91&lt;CE$148),(((((CE$148-CS91)*(CR91-CR90))/(CS90-CS91))^2)^0.5),0))))))</f>
        <v>0</v>
      </c>
      <c s="441" r="DA91">
        <f>IF((CW91&gt;0),(MAX(DA$47:DA90)+1),0)</f>
        <v>0</v>
      </c>
      <c s="388" r="DB91"/>
      <c s="406" r="DC91"/>
      <c s="886" r="DD91"/>
      <c s="886" r="DE91"/>
      <c s="886" r="DF91"/>
      <c s="886" r="DG91"/>
      <c s="418" r="DH91"/>
      <c s="550" r="DI91"/>
      <c s="550" r="DJ91"/>
      <c t="str" s="620" r="DK91">
        <f>IF((COUNT(DJ91:DJ$146,DL91:DL$146)=0),NA(),IF(ISBLANK(DJ91),DK90,(DK90+(DJ91-DL90))))</f>
        <v>#N/A:explicit</v>
      </c>
      <c s="550" r="DL91"/>
      <c t="str" s="620" r="DM91">
        <f>IF(OR(ISBLANK(DL91),ISNUMBER(DJ92)),NA(),(DK91-DL91))</f>
        <v>#N/A:explicit</v>
      </c>
      <c t="b" s="895" r="DN91">
        <v>0</v>
      </c>
      <c s="631" r="DO91"/>
      <c t="str" s="309" r="DP91">
        <f>IF((COUNT(DI91:DI$146)=0),NA(),IF(ISBLANK(DI91),IF(ISBLANK(DI90),MAX(DI$46:DI91),DI90),DI91))</f>
        <v>#N/A:explicit</v>
      </c>
      <c t="str" s="861" r="DQ91">
        <f>IF(ISNA(DM91),IF(ISNUMBER(DP91),DQ90,NA()),DM91)</f>
        <v>#N/A:explicit</v>
      </c>
      <c s="861" r="DR91">
        <f>IF(ISNUMBER(DQ91),DQ91,(DK$46+1000))</f>
        <v>1000</v>
      </c>
      <c t="str" s="588" r="DS91">
        <f>IF((DN91=TRUE),NA(),IF((DS$44=(DK$46-MAX(DL$46:DL$146))),NA(),DS$44))</f>
        <v>#N/A:explicit</v>
      </c>
      <c s="588" r="DT91">
        <f>IF((ISNA(((DQ91*DP91)*DQ90))),0,(IF((DP91&lt;DP90),-1,1)*(IF((DN90=FALSE),IF((DN91=FALSE),IF(ISNA(DQ91),0,IF((DQ90&lt;DS$44),IF((DQ91&lt;DS$44),(((DP91-DP90)^2)^0.5),(((((DS$44-DQ90)*(DP91-DP90))/(DQ91-DQ90))^2)^0.5)),IF((DQ91&lt;DS$44),(((((DS$44-DQ91)*(DP91-DP90))/(DQ90-DQ91))^2)^0.5),0))),0),0))))</f>
        <v>0</v>
      </c>
      <c s="588" r="DU91">
        <f>IF(ISNA((DQ91*DQ90)),0,IF((DN90=FALSE),IF((DN91=FALSE),IF(ISNA(DM91),0,IF((DQ90&lt;DS$44),IF((DQ91&lt;DS$44),((DS$44-((DQ90+DQ91)*0.5))*DT91),(((DS$44-DQ90)*0.5)*DT91)),IF((DQ91&lt;DS$44),(((DS$44-DQ91)*0.5)*DT91),0))),0),0))</f>
        <v>0</v>
      </c>
      <c s="588" r="DV91">
        <f>IF(ISNA((DQ91*DQ90)),0,IF((DN90=FALSE),IF((DN91=FALSE),IF(ISNA(DQ91),0,IF((DQ90&lt;DS$44),IF((DQ91&lt;DS$44),(((DT91^2)+((DQ91-DQ90)^2))^0.5),(((DT91^2)+((DS$44-DQ90)^2))^0.5)),IF((DQ91&lt;DS$44),(((DT91^2)+((DS$44-DQ91)^2))^0.5),0))),0),0))</f>
        <v>0</v>
      </c>
      <c s="588" r="DW91">
        <f>IF(ISNUMBER((DQ91*DQ90)),IF((DQ90&gt;=DC$148),IF((DQ91&lt;DC$148),1,0),IF((DQ91&gt;=DC$148),IF((DQ90&lt;DC$148),1,0),0)),0)</f>
        <v>0</v>
      </c>
      <c s="588" r="DX91">
        <f>IF(ISNA((DQ91*DQ90)),0,(IF((DP91&lt;DP90),-1,1)*(IF(ISNA(DQ91),0,IF((DQ90&lt;DC$148),IF((DQ91&lt;DC$148),(((DP91-DP90)^2)^0.5),(((((DC$148-DQ90)*(DP91-DP90))/(DQ91-DQ90))^2)^0.5)),IF((DQ91&lt;DC$148),(((((DC$148-DQ91)*(DP91-DP90))/(DQ90-DQ91))^2)^0.5),0))))))</f>
        <v>0</v>
      </c>
      <c s="441" r="DY91">
        <f>IF((DU91&gt;0),(MAX(DY$47:DY90)+1),0)</f>
        <v>0</v>
      </c>
      <c s="388" r="DZ91"/>
      <c s="406" r="EA91"/>
      <c s="886" r="EB91"/>
      <c s="886" r="EC91"/>
      <c s="886" r="ED91"/>
      <c s="886" r="EE91"/>
      <c s="418" r="EF91"/>
      <c s="550" r="EG91"/>
      <c s="550" r="EH91"/>
      <c t="str" s="620" r="EI91">
        <f>IF((COUNT(EH91:EH$146,EJ91:EJ$146)=0),NA(),IF(ISBLANK(EH91),EI90,(EI90+(EH91-EJ90))))</f>
        <v>#N/A:explicit</v>
      </c>
      <c s="550" r="EJ91"/>
      <c t="str" s="620" r="EK91">
        <f>IF(OR(ISBLANK(EJ91),ISNUMBER(EH92)),NA(),(EI91-EJ91))</f>
        <v>#N/A:explicit</v>
      </c>
      <c t="b" s="895" r="EL91">
        <v>0</v>
      </c>
      <c s="631" r="EM91"/>
      <c t="str" s="309" r="EN91">
        <f>IF((COUNT(EG91:EG$146)=0),NA(),IF(ISBLANK(EG91),IF(ISBLANK(EG90),MAX(EG$46:EG91),EG90),EG91))</f>
        <v>#N/A:explicit</v>
      </c>
      <c t="str" s="861" r="EO91">
        <f>IF(ISNA(EK91),IF(ISNUMBER(EN91),EO90,NA()),EK91)</f>
        <v>#N/A:explicit</v>
      </c>
      <c s="861" r="EP91">
        <f>IF(ISNUMBER(EO91),EO91,(EI$46+1000))</f>
        <v>1000</v>
      </c>
      <c t="str" s="588" r="EQ91">
        <f>IF((EL91=TRUE),NA(),IF((EQ$44=(EI$46-MAX(EJ$46:EJ$146))),NA(),EQ$44))</f>
        <v>#N/A:explicit</v>
      </c>
      <c s="588" r="ER91">
        <f>IF((ISNA(((EO91*EN91)*EO90))),0,(IF((EN91&lt;EN90),-1,1)*(IF((EL90=FALSE),IF((EL91=FALSE),IF(ISNA(EO91),0,IF((EO90&lt;EQ$44),IF((EO91&lt;EQ$44),(((EN91-EN90)^2)^0.5),(((((EQ$44-EO90)*(EN91-EN90))/(EO91-EO90))^2)^0.5)),IF((EO91&lt;EQ$44),(((((EQ$44-EO91)*(EN91-EN90))/(EO90-EO91))^2)^0.5),0))),0),0))))</f>
        <v>0</v>
      </c>
      <c s="588" r="ES91">
        <f>IF(ISNA((EO91*EO90)),0,IF((EL90=FALSE),IF((EL91=FALSE),IF(ISNA(EK91),0,IF((EO90&lt;EQ$44),IF((EO91&lt;EQ$44),((EQ$44-((EO90+EO91)*0.5))*ER91),(((EQ$44-EO90)*0.5)*ER91)),IF((EO91&lt;EQ$44),(((EQ$44-EO91)*0.5)*ER91),0))),0),0))</f>
        <v>0</v>
      </c>
      <c s="588" r="ET91">
        <f>IF(ISNA((EO91*EO90)),0,IF((EL90=FALSE),IF((EL91=FALSE),IF(ISNA(EO91),0,IF((EO90&lt;EQ$44),IF((EO91&lt;EQ$44),(((ER91^2)+((EO91-EO90)^2))^0.5),(((ER91^2)+((EQ$44-EO90)^2))^0.5)),IF((EO91&lt;EQ$44),(((ER91^2)+((EQ$44-EO91)^2))^0.5),0))),0),0))</f>
        <v>0</v>
      </c>
      <c s="588" r="EU91">
        <f>IF(ISNUMBER((EO91*EO90)),IF((EO90&gt;=EA$148),IF((EO91&lt;EA$148),1,0),IF((EO91&gt;=EA$148),IF((EO90&lt;EA$148),1,0),0)),0)</f>
        <v>0</v>
      </c>
      <c s="588" r="EV91">
        <f>IF(ISNA((EO91*EO90)),0,(IF((EN91&lt;EN90),-1,1)*(IF(ISNA(EO91),0,IF((EO90&lt;EA$148),IF((EO91&lt;EA$148),(((EN91-EN90)^2)^0.5),(((((EA$148-EO90)*(EN91-EN90))/(EO91-EO90))^2)^0.5)),IF((EO91&lt;EA$148),(((((EA$148-EO91)*(EN91-EN90))/(EO90-EO91))^2)^0.5),0))))))</f>
        <v>0</v>
      </c>
      <c s="441" r="EW91">
        <f>IF((ES91&gt;0),(MAX(EW$47:EW90)+1),0)</f>
        <v>0</v>
      </c>
      <c s="388" r="EX91"/>
      <c s="406" r="EY91"/>
      <c s="886" r="EZ91"/>
      <c s="886" r="FA91"/>
      <c s="886" r="FB91"/>
      <c s="886" r="FC91"/>
      <c s="418" r="FD91"/>
      <c s="550" r="FE91"/>
      <c s="550" r="FF91"/>
      <c t="str" s="620" r="FG91">
        <f>IF((COUNT(FF91:FF$146,FH91:FH$146)=0),NA(),IF(ISBLANK(FF91),FG90,(FG90+(FF91-FH90))))</f>
        <v>#N/A:explicit</v>
      </c>
      <c s="550" r="FH91"/>
      <c t="str" s="620" r="FI91">
        <f>IF(OR(ISBLANK(FH91),ISNUMBER(FF92)),NA(),(FG91-FH91))</f>
        <v>#N/A:explicit</v>
      </c>
      <c t="b" s="895" r="FJ91">
        <v>0</v>
      </c>
      <c s="631" r="FK91"/>
      <c t="str" s="309" r="FL91">
        <f>IF((COUNT(FE91:FE$146)=0),NA(),IF(ISBLANK(FE91),IF(ISBLANK(FE90),MAX(FE$46:FE91),FE90),FE91))</f>
        <v>#N/A:explicit</v>
      </c>
      <c t="str" s="861" r="FM91">
        <f>IF(ISNA(FI91),IF(ISNUMBER(FL91),FM90,NA()),FI91)</f>
        <v>#N/A:explicit</v>
      </c>
      <c s="861" r="FN91">
        <f>IF(ISNUMBER(FM91),FM91,(FG$46+1000))</f>
        <v>1000</v>
      </c>
      <c t="str" s="588" r="FO91">
        <f>IF((FJ91=TRUE),NA(),IF((FO$44=(FG$46-MAX(FH$46:FH$146))),NA(),FO$44))</f>
        <v>#N/A:explicit</v>
      </c>
      <c s="588" r="FP91">
        <f>IF((ISNA(((FM91*FL91)*FM90))),0,(IF((FL91&lt;FL90),-1,1)*(IF((FJ90=FALSE),IF((FJ91=FALSE),IF(ISNA(FM91),0,IF((FM90&lt;FO$44),IF((FM91&lt;FO$44),(((FL91-FL90)^2)^0.5),(((((FO$44-FM90)*(FL91-FL90))/(FM91-FM90))^2)^0.5)),IF((FM91&lt;FO$44),(((((FO$44-FM91)*(FL91-FL90))/(FM90-FM91))^2)^0.5),0))),0),0))))</f>
        <v>0</v>
      </c>
      <c s="588" r="FQ91">
        <f>IF(ISNA((FM91*FM90)),0,IF((FJ90=FALSE),IF((FJ91=FALSE),IF(ISNA(FI91),0,IF((FM90&lt;FO$44),IF((FM91&lt;FO$44),((FO$44-((FM90+FM91)*0.5))*FP91),(((FO$44-FM90)*0.5)*FP91)),IF((FM91&lt;FO$44),(((FO$44-FM91)*0.5)*FP91),0))),0),0))</f>
        <v>0</v>
      </c>
      <c s="588" r="FR91">
        <f>IF(ISNA((FM91*FM90)),0,IF((FJ90=FALSE),IF((FJ91=FALSE),IF(ISNA(FM91),0,IF((FM90&lt;FO$44),IF((FM91&lt;FO$44),(((FP91^2)+((FM91-FM90)^2))^0.5),(((FP91^2)+((FO$44-FM90)^2))^0.5)),IF((FM91&lt;FO$44),(((FP91^2)+((FO$44-FM91)^2))^0.5),0))),0),0))</f>
        <v>0</v>
      </c>
      <c s="588" r="FS91">
        <f>IF(ISNUMBER((FM91*FM90)),IF((FM90&gt;=EY$148),IF((FM91&lt;EY$148),1,0),IF((FM91&gt;=EY$148),IF((FM90&lt;EY$148),1,0),0)),0)</f>
        <v>0</v>
      </c>
      <c s="588" r="FT91">
        <f>IF(ISNA((FM91*FM90)),0,(IF((FL91&lt;FL90),-1,1)*(IF(ISNA(FM91),0,IF((FM90&lt;EY$148),IF((FM91&lt;EY$148),(((FL91-FL90)^2)^0.5),(((((EY$148-FM90)*(FL91-FL90))/(FM91-FM90))^2)^0.5)),IF((FM91&lt;EY$148),(((((EY$148-FM91)*(FL91-FL90))/(FM90-FM91))^2)^0.5),0))))))</f>
        <v>0</v>
      </c>
      <c s="441" r="FU91">
        <f>IF((FQ91&gt;0),(MAX(FU$47:FU90)+1),0)</f>
        <v>0</v>
      </c>
      <c s="222" r="FV91"/>
      <c s="125" r="FW91"/>
      <c s="125" r="FX91"/>
      <c s="125" r="FY91"/>
      <c s="125" r="FZ91"/>
      <c s="125" r="GA91"/>
      <c s="125" r="GB91"/>
      <c s="125" r="GC91"/>
      <c s="125" r="GD91"/>
      <c s="125" r="GE91"/>
      <c s="125" r="GF91"/>
      <c s="125" r="GG91"/>
      <c s="125" r="GH91"/>
      <c s="125" r="GI91"/>
      <c s="125" r="GJ91"/>
      <c s="125" r="GK91"/>
      <c s="125" r="GL91"/>
      <c s="125" r="GM91"/>
      <c s="125" r="GN91"/>
      <c s="125" r="GO91"/>
      <c s="125" r="GP91"/>
      <c s="125" r="GQ91"/>
      <c s="125" r="GR91"/>
      <c s="125" r="GS91"/>
      <c s="125" r="GT91"/>
      <c s="125" r="GU91"/>
      <c s="125" r="GV91"/>
      <c s="125" r="GW91"/>
      <c s="125" r="GX91"/>
      <c s="125" r="GY91"/>
      <c s="125" r="GZ91"/>
      <c s="125" r="HA91"/>
      <c s="125" r="HB91"/>
    </row>
    <row customHeight="1" r="92" ht="13.5">
      <c s="822" r="A92"/>
      <c s="908" r="B92"/>
      <c s="551" r="C92"/>
      <c s="551" r="D92"/>
      <c t="str" s="812" r="E92">
        <f>"mean depth "&amp;IF((H4=2),"(m)","(ft)")</f>
        <v>mean depth (ft)</v>
      </c>
      <c t="str" s="128" r="F92">
        <f>IF(ISNUMBER((F90/F91)),IF(((F90/F91)&gt;0),(F90/F91),"---"),"---")</f>
        <v>---</v>
      </c>
      <c t="str" s="286" r="G92">
        <f>IF(ISBLANK(G43),IF(ISNUMBER(G44),G44,"---"),G43)</f>
        <v>---</v>
      </c>
      <c t="str" s="224" r="H92">
        <f>IF(ISBLANK(H43),IF(ISNUMBER(H44),H44,"---"),H43)</f>
        <v>---</v>
      </c>
      <c s="51" r="I92"/>
      <c s="822" r="J92"/>
      <c s="406" r="K92"/>
      <c s="886" r="L92"/>
      <c s="886" r="M92"/>
      <c s="886" r="N92"/>
      <c s="886" r="O92"/>
      <c s="418" r="P92"/>
      <c s="550" r="Q92"/>
      <c s="550" r="R92"/>
      <c t="str" s="620" r="S92">
        <f>IF((COUNT(R92:R$146,T92:T$146)=0),NA(),IF(ISBLANK(R92),S91,(S91+(R92-T91))))</f>
        <v>#N/A:explicit</v>
      </c>
      <c s="550" r="T92"/>
      <c t="str" s="620" r="U92">
        <f>IF(OR(ISBLANK(T92),ISNUMBER(R93)),NA(),(S92-T92))</f>
        <v>#N/A:explicit</v>
      </c>
      <c t="b" s="895" r="V92">
        <v>0</v>
      </c>
      <c s="631" r="W92"/>
      <c t="str" s="309" r="X92">
        <f>IF((COUNT(Q92:Q$146)=0),NA(),IF(ISBLANK(Q92),IF(ISBLANK(Q91),MAX(Q$46:Q92),Q91),Q92))</f>
        <v>#N/A:explicit</v>
      </c>
      <c t="str" s="861" r="Y92">
        <f>IF(ISNA(U92),IF(ISNUMBER(X92),Y91,NA()),U92)</f>
        <v>#N/A:explicit</v>
      </c>
      <c s="861" r="Z92">
        <f>IF(ISNUMBER(Y92),Y92,(S$46+1000))</f>
        <v>1000</v>
      </c>
      <c t="str" s="588" r="AA92">
        <f>IF((V92=TRUE),NA(),IF((AA$44=(S$46-MAX(T$46:T$146))),NA(),AA$44))</f>
        <v>#N/A:explicit</v>
      </c>
      <c s="588" r="AB92">
        <f>IF((ISNA(((Y92*X92)*Y91))),0,(IF((X92&lt;X91),-1,1)*(IF((V91=FALSE),IF((V92=FALSE),IF(ISNA(Y92),0,IF((Y91&lt;AA$44),IF((Y92&lt;AA$44),(((X92-X91)^2)^0.5),(((((AA$44-Y91)*(X92-X91))/(Y92-Y91))^2)^0.5)),IF((Y92&lt;AA$44),(((((AA$44-Y92)*(X92-X91))/(Y91-Y92))^2)^0.5),0))),0),0))))</f>
        <v>0</v>
      </c>
      <c s="588" r="AC92">
        <f>IF(ISNA((Y92*Y91)),0,IF((V91=FALSE),IF((V92=FALSE),IF(ISNA(U92),0,IF((Y91&lt;AA$44),IF((Y92&lt;AA$44),((AA$44-((Y91+Y92)*0.5))*AB92),(((AA$44-Y91)*0.5)*AB92)),IF((Y92&lt;AA$44),(((AA$44-Y92)*0.5)*AB92),0))),0),0))</f>
        <v>0</v>
      </c>
      <c s="588" r="AD92">
        <f>IF(ISNA((Y92*Y91)),0,IF((V91=FALSE),IF((V92=FALSE),IF(ISNA(Y92),0,IF((Y91&lt;AA$44),IF((Y92&lt;AA$44),(((AB92^2)+((Y92-Y91)^2))^0.5),(((AB92^2)+((AA$44-Y91)^2))^0.5)),IF((Y92&lt;AA$44),(((AB92^2)+((AA$44-Y92)^2))^0.5),0))),0),0))</f>
        <v>0</v>
      </c>
      <c s="588" r="AE92">
        <f>IF(ISNUMBER((Y92*Y91)),IF((Y91&gt;=K$148),IF((Y92&lt;K$148),1,0),IF((Y92&gt;=K$148),IF((Y91&lt;K$148),1,0),0)),0)</f>
        <v>0</v>
      </c>
      <c s="588" r="AF92">
        <f>IF(ISNA((Y92*Y91)),0,(IF((X92&lt;X91),-1,1)*(IF(ISNA(Y92),0,IF((Y91&lt;K$148),IF((Y92&lt;K$148),(((X92-X91)^2)^0.5),(((((K$148-Y91)*(X92-X91))/(Y92-Y91))^2)^0.5)),IF((Y92&lt;K$148),(((((K$148-Y92)*(X92-X91))/(Y91-Y92))^2)^0.5),0))))))</f>
        <v>0</v>
      </c>
      <c s="441" r="AG92">
        <f>IF((AC92&gt;0),(MAX(AG$47:AG91)+1),0)</f>
        <v>0</v>
      </c>
      <c s="388" r="AH92"/>
      <c s="406" r="AI92"/>
      <c s="886" r="AJ92"/>
      <c s="886" r="AK92"/>
      <c s="886" r="AL92"/>
      <c s="886" r="AM92"/>
      <c s="418" r="AN92"/>
      <c s="550" r="AO92"/>
      <c s="550" r="AP92"/>
      <c t="str" s="620" r="AQ92">
        <f>IF((COUNT(AP92:AP$146,AR92:AR$146)=0),NA(),IF(ISBLANK(AP92),AQ91,(AQ91+(AP92-AR91))))</f>
        <v>#N/A:explicit</v>
      </c>
      <c s="550" r="AR92"/>
      <c t="str" s="620" r="AS92">
        <f>IF(OR(ISBLANK(AR92),ISNUMBER(AP93)),NA(),(AQ92-AR92))</f>
        <v>#N/A:explicit</v>
      </c>
      <c t="b" s="895" r="AT92">
        <v>0</v>
      </c>
      <c s="631" r="AU92"/>
      <c t="str" s="309" r="AV92">
        <f>IF((COUNT(AO92:AO$146)=0),NA(),IF(ISBLANK(AO92),IF(ISBLANK(AO91),MAX(AO$46:AO92),AO91),AO92))</f>
        <v>#N/A:explicit</v>
      </c>
      <c t="str" s="861" r="AW92">
        <f>IF(ISNA(AS92),IF(ISNUMBER(AV92),AW91,NA()),AS92)</f>
        <v>#N/A:explicit</v>
      </c>
      <c s="861" r="AX92">
        <f>IF(ISNUMBER(AW92),AW92,(AQ$46+1000))</f>
        <v>1000</v>
      </c>
      <c t="str" s="588" r="AY92">
        <f>IF((AT92=TRUE),NA(),IF((AY$44=(AQ$46-MAX(AR$46:AR$146))),NA(),AY$44))</f>
        <v>#N/A:explicit</v>
      </c>
      <c s="588" r="AZ92">
        <f>IF((ISNA(((AW92*AV92)*AW91))),0,(IF((AV92&lt;AV91),-1,1)*(IF((AT91=FALSE),IF((AT92=FALSE),IF(ISNA(AW92),0,IF((AW91&lt;AY$44),IF((AW92&lt;AY$44),(((AV92-AV91)^2)^0.5),(((((AY$44-AW91)*(AV92-AV91))/(AW92-AW91))^2)^0.5)),IF((AW92&lt;AY$44),(((((AY$44-AW92)*(AV92-AV91))/(AW91-AW92))^2)^0.5),0))),0),0))))</f>
        <v>0</v>
      </c>
      <c s="588" r="BA92">
        <f>IF(ISNA((AW92*AW91)),0,IF((AT91=FALSE),IF((AT92=FALSE),IF(ISNA(AS92),0,IF((AW91&lt;AY$44),IF((AW92&lt;AY$44),((AY$44-((AW91+AW92)*0.5))*AZ92),(((AY$44-AW91)*0.5)*AZ92)),IF((AW92&lt;AY$44),(((AY$44-AW92)*0.5)*AZ92),0))),0),0))</f>
        <v>0</v>
      </c>
      <c s="588" r="BB92">
        <f>IF(ISNA((AW92*AW91)),0,IF((AT91=FALSE),IF((AT92=FALSE),IF(ISNA(AW92),0,IF((AW91&lt;AY$44),IF((AW92&lt;AY$44),(((AZ92^2)+((AW92-AW91)^2))^0.5),(((AZ92^2)+((AY$44-AW91)^2))^0.5)),IF((AW92&lt;AY$44),(((AZ92^2)+((AY$44-AW92)^2))^0.5),0))),0),0))</f>
        <v>0</v>
      </c>
      <c s="588" r="BC92">
        <f>IF(ISNUMBER((AW92*AW91)),IF((AW91&gt;=AI$148),IF((AW92&lt;AI$148),1,0),IF((AW92&gt;=AI$148),IF((AW91&lt;AI$148),1,0),0)),0)</f>
        <v>0</v>
      </c>
      <c s="588" r="BD92">
        <f>IF(ISNA((AW92*AW91)),0,(IF((AV92&lt;AV91),-1,1)*(IF(ISNA(AW92),0,IF((AW91&lt;AI$148),IF((AW92&lt;AI$148),(((AV92-AV91)^2)^0.5),(((((AI$148-AW91)*(AV92-AV91))/(AW92-AW91))^2)^0.5)),IF((AW92&lt;AI$148),(((((AI$148-AW92)*(AV92-AV91))/(AW91-AW92))^2)^0.5),0))))))</f>
        <v>0</v>
      </c>
      <c s="441" r="BE92">
        <f>IF((BA92&gt;0),(MAX(BE$47:BE91)+1),0)</f>
        <v>0</v>
      </c>
      <c s="388" r="BF92"/>
      <c s="406" r="BG92"/>
      <c s="886" r="BH92"/>
      <c s="886" r="BI92"/>
      <c s="886" r="BJ92"/>
      <c s="886" r="BK92"/>
      <c s="418" r="BL92"/>
      <c s="550" r="BM92"/>
      <c s="550" r="BN92"/>
      <c t="str" s="620" r="BO92">
        <f>IF((COUNT(BN92:BN$146,BP92:BP$146)=0),NA(),IF(ISBLANK(BN92),BO91,(BO91+(BN92-BP91))))</f>
        <v>#N/A:explicit</v>
      </c>
      <c s="550" r="BP92"/>
      <c t="str" s="620" r="BQ92">
        <f>IF(OR(ISBLANK(BP92),ISNUMBER(BN93)),NA(),(BO92-BP92))</f>
        <v>#N/A:explicit</v>
      </c>
      <c t="b" s="895" r="BR92">
        <v>0</v>
      </c>
      <c s="631" r="BS92"/>
      <c t="str" s="309" r="BT92">
        <f>IF((COUNT(BM92:BM$146)=0),NA(),IF(ISBLANK(BM92),IF(ISBLANK(BM91),MAX(BM$46:BM92),BM91),BM92))</f>
        <v>#N/A:explicit</v>
      </c>
      <c t="str" s="861" r="BU92">
        <f>IF(ISNA(BQ92),IF(ISNUMBER(BT92),BU91,NA()),BQ92)</f>
        <v>#N/A:explicit</v>
      </c>
      <c s="861" r="BV92">
        <f>IF(ISNUMBER(BU92),BU92,(BO$46+1000))</f>
        <v>1000</v>
      </c>
      <c t="str" s="588" r="BW92">
        <f>IF((BR92=TRUE),NA(),IF((BW$44=(BO$46-MAX(BP$46:BP$146))),NA(),BW$44))</f>
        <v>#N/A:explicit</v>
      </c>
      <c s="588" r="BX92">
        <f>IF((ISNA(((BU92*BT92)*BU91))),0,(IF((BT92&lt;BT91),-1,1)*(IF((BR91=FALSE),IF((BR92=FALSE),IF(ISNA(BU92),0,IF((BU91&lt;BW$44),IF((BU92&lt;BW$44),(((BT92-BT91)^2)^0.5),(((((BW$44-BU91)*(BT92-BT91))/(BU92-BU91))^2)^0.5)),IF((BU92&lt;BW$44),(((((BW$44-BU92)*(BT92-BT91))/(BU91-BU92))^2)^0.5),0))),0),0))))</f>
        <v>0</v>
      </c>
      <c s="588" r="BY92">
        <f>IF(ISNA((BU92*BU91)),0,IF((BR91=FALSE),IF((BR92=FALSE),IF(ISNA(BQ92),0,IF((BU91&lt;BW$44),IF((BU92&lt;BW$44),((BW$44-((BU91+BU92)*0.5))*BX92),(((BW$44-BU91)*0.5)*BX92)),IF((BU92&lt;BW$44),(((BW$44-BU92)*0.5)*BX92),0))),0),0))</f>
        <v>0</v>
      </c>
      <c s="588" r="BZ92">
        <f>IF(ISNA((BU92*BU91)),0,IF((BR91=FALSE),IF((BR92=FALSE),IF(ISNA(BU92),0,IF((BU91&lt;BW$44),IF((BU92&lt;BW$44),(((BX92^2)+((BU92-BU91)^2))^0.5),(((BX92^2)+((BW$44-BU91)^2))^0.5)),IF((BU92&lt;BW$44),(((BX92^2)+((BW$44-BU92)^2))^0.5),0))),0),0))</f>
        <v>0</v>
      </c>
      <c s="588" r="CA92">
        <f>IF(ISNUMBER((BU92*BU91)),IF((BU91&gt;=BG$148),IF((BU92&lt;BG$148),1,0),IF((BU92&gt;=BG$148),IF((BU91&lt;BG$148),1,0),0)),0)</f>
        <v>0</v>
      </c>
      <c s="588" r="CB92">
        <f>IF(ISNA((BU92*BU91)),0,(IF((BT92&lt;BT91),-1,1)*(IF(ISNA(BU92),0,IF((BU91&lt;BG$148),IF((BU92&lt;BG$148),(((BT92-BT91)^2)^0.5),(((((BG$148-BU91)*(BT92-BT91))/(BU92-BU91))^2)^0.5)),IF((BU92&lt;BG$148),(((((BG$148-BU92)*(BT92-BT91))/(BU91-BU92))^2)^0.5),0))))))</f>
        <v>0</v>
      </c>
      <c s="441" r="CC92">
        <f>IF((BY92&gt;0),(MAX(CC$47:CC91)+1),0)</f>
        <v>0</v>
      </c>
      <c s="388" r="CD92"/>
      <c s="406" r="CE92"/>
      <c s="886" r="CF92"/>
      <c s="886" r="CG92"/>
      <c s="886" r="CH92"/>
      <c s="886" r="CI92"/>
      <c s="418" r="CJ92"/>
      <c s="550" r="CK92"/>
      <c s="550" r="CL92"/>
      <c t="str" s="620" r="CM92">
        <f>IF((COUNT(CL92:CL$146,CN92:CN$146)=0),NA(),IF(ISBLANK(CL92),CM91,(CM91+(CL92-CN91))))</f>
        <v>#N/A:explicit</v>
      </c>
      <c s="550" r="CN92"/>
      <c t="str" s="620" r="CO92">
        <f>IF(OR(ISBLANK(CN92),ISNUMBER(CL93)),NA(),(CM92-CN92))</f>
        <v>#N/A:explicit</v>
      </c>
      <c t="b" s="895" r="CP92">
        <v>0</v>
      </c>
      <c s="631" r="CQ92"/>
      <c t="str" s="309" r="CR92">
        <f>IF((COUNT(CK92:CK$146)=0),NA(),IF(ISBLANK(CK92),IF(ISBLANK(CK91),MAX(CK$46:CK92),CK91),CK92))</f>
        <v>#N/A:explicit</v>
      </c>
      <c t="str" s="861" r="CS92">
        <f>IF(ISNA(CO92),IF(ISNUMBER(CR92),CS91,NA()),CO92)</f>
        <v>#N/A:explicit</v>
      </c>
      <c s="861" r="CT92">
        <f>IF(ISNUMBER(CS92),CS92,(CM$46+1000))</f>
        <v>1000</v>
      </c>
      <c t="str" s="588" r="CU92">
        <f>IF((CP92=TRUE),NA(),IF((CU$44=(CM$46-MAX(CN$46:CN$146))),NA(),CU$44))</f>
        <v>#N/A:explicit</v>
      </c>
      <c s="588" r="CV92">
        <f>IF((ISNA(((CS92*CR92)*CS91))),0,(IF((CR92&lt;CR91),-1,1)*(IF((CP91=FALSE),IF((CP92=FALSE),IF(ISNA(CS92),0,IF((CS91&lt;CU$44),IF((CS92&lt;CU$44),(((CR92-CR91)^2)^0.5),(((((CU$44-CS91)*(CR92-CR91))/(CS92-CS91))^2)^0.5)),IF((CS92&lt;CU$44),(((((CU$44-CS92)*(CR92-CR91))/(CS91-CS92))^2)^0.5),0))),0),0))))</f>
        <v>0</v>
      </c>
      <c s="588" r="CW92">
        <f>IF(ISNA((CS92*CS91)),0,IF((CP91=FALSE),IF((CP92=FALSE),IF(ISNA(CO92),0,IF((CS91&lt;CU$44),IF((CS92&lt;CU$44),((CU$44-((CS91+CS92)*0.5))*CV92),(((CU$44-CS91)*0.5)*CV92)),IF((CS92&lt;CU$44),(((CU$44-CS92)*0.5)*CV92),0))),0),0))</f>
        <v>0</v>
      </c>
      <c s="588" r="CX92">
        <f>IF(ISNA((CS92*CS91)),0,IF((CP91=FALSE),IF((CP92=FALSE),IF(ISNA(CS92),0,IF((CS91&lt;CU$44),IF((CS92&lt;CU$44),(((CV92^2)+((CS92-CS91)^2))^0.5),(((CV92^2)+((CU$44-CS91)^2))^0.5)),IF((CS92&lt;CU$44),(((CV92^2)+((CU$44-CS92)^2))^0.5),0))),0),0))</f>
        <v>0</v>
      </c>
      <c s="588" r="CY92">
        <f>IF(ISNUMBER((CS92*CS91)),IF((CS91&gt;=CE$148),IF((CS92&lt;CE$148),1,0),IF((CS92&gt;=CE$148),IF((CS91&lt;CE$148),1,0),0)),0)</f>
        <v>0</v>
      </c>
      <c s="588" r="CZ92">
        <f>IF(ISNA((CS92*CS91)),0,(IF((CR92&lt;CR91),-1,1)*(IF(ISNA(CS92),0,IF((CS91&lt;CE$148),IF((CS92&lt;CE$148),(((CR92-CR91)^2)^0.5),(((((CE$148-CS91)*(CR92-CR91))/(CS92-CS91))^2)^0.5)),IF((CS92&lt;CE$148),(((((CE$148-CS92)*(CR92-CR91))/(CS91-CS92))^2)^0.5),0))))))</f>
        <v>0</v>
      </c>
      <c s="441" r="DA92">
        <f>IF((CW92&gt;0),(MAX(DA$47:DA91)+1),0)</f>
        <v>0</v>
      </c>
      <c s="388" r="DB92"/>
      <c s="406" r="DC92"/>
      <c s="886" r="DD92"/>
      <c s="886" r="DE92"/>
      <c s="886" r="DF92"/>
      <c s="886" r="DG92"/>
      <c s="418" r="DH92"/>
      <c s="550" r="DI92"/>
      <c s="550" r="DJ92"/>
      <c t="str" s="620" r="DK92">
        <f>IF((COUNT(DJ92:DJ$146,DL92:DL$146)=0),NA(),IF(ISBLANK(DJ92),DK91,(DK91+(DJ92-DL91))))</f>
        <v>#N/A:explicit</v>
      </c>
      <c s="550" r="DL92"/>
      <c t="str" s="620" r="DM92">
        <f>IF(OR(ISBLANK(DL92),ISNUMBER(DJ93)),NA(),(DK92-DL92))</f>
        <v>#N/A:explicit</v>
      </c>
      <c t="b" s="895" r="DN92">
        <v>0</v>
      </c>
      <c s="631" r="DO92"/>
      <c t="str" s="309" r="DP92">
        <f>IF((COUNT(DI92:DI$146)=0),NA(),IF(ISBLANK(DI92),IF(ISBLANK(DI91),MAX(DI$46:DI92),DI91),DI92))</f>
        <v>#N/A:explicit</v>
      </c>
      <c t="str" s="861" r="DQ92">
        <f>IF(ISNA(DM92),IF(ISNUMBER(DP92),DQ91,NA()),DM92)</f>
        <v>#N/A:explicit</v>
      </c>
      <c s="861" r="DR92">
        <f>IF(ISNUMBER(DQ92),DQ92,(DK$46+1000))</f>
        <v>1000</v>
      </c>
      <c t="str" s="588" r="DS92">
        <f>IF((DN92=TRUE),NA(),IF((DS$44=(DK$46-MAX(DL$46:DL$146))),NA(),DS$44))</f>
        <v>#N/A:explicit</v>
      </c>
      <c s="588" r="DT92">
        <f>IF((ISNA(((DQ92*DP92)*DQ91))),0,(IF((DP92&lt;DP91),-1,1)*(IF((DN91=FALSE),IF((DN92=FALSE),IF(ISNA(DQ92),0,IF((DQ91&lt;DS$44),IF((DQ92&lt;DS$44),(((DP92-DP91)^2)^0.5),(((((DS$44-DQ91)*(DP92-DP91))/(DQ92-DQ91))^2)^0.5)),IF((DQ92&lt;DS$44),(((((DS$44-DQ92)*(DP92-DP91))/(DQ91-DQ92))^2)^0.5),0))),0),0))))</f>
        <v>0</v>
      </c>
      <c s="588" r="DU92">
        <f>IF(ISNA((DQ92*DQ91)),0,IF((DN91=FALSE),IF((DN92=FALSE),IF(ISNA(DM92),0,IF((DQ91&lt;DS$44),IF((DQ92&lt;DS$44),((DS$44-((DQ91+DQ92)*0.5))*DT92),(((DS$44-DQ91)*0.5)*DT92)),IF((DQ92&lt;DS$44),(((DS$44-DQ92)*0.5)*DT92),0))),0),0))</f>
        <v>0</v>
      </c>
      <c s="588" r="DV92">
        <f>IF(ISNA((DQ92*DQ91)),0,IF((DN91=FALSE),IF((DN92=FALSE),IF(ISNA(DQ92),0,IF((DQ91&lt;DS$44),IF((DQ92&lt;DS$44),(((DT92^2)+((DQ92-DQ91)^2))^0.5),(((DT92^2)+((DS$44-DQ91)^2))^0.5)),IF((DQ92&lt;DS$44),(((DT92^2)+((DS$44-DQ92)^2))^0.5),0))),0),0))</f>
        <v>0</v>
      </c>
      <c s="588" r="DW92">
        <f>IF(ISNUMBER((DQ92*DQ91)),IF((DQ91&gt;=DC$148),IF((DQ92&lt;DC$148),1,0),IF((DQ92&gt;=DC$148),IF((DQ91&lt;DC$148),1,0),0)),0)</f>
        <v>0</v>
      </c>
      <c s="588" r="DX92">
        <f>IF(ISNA((DQ92*DQ91)),0,(IF((DP92&lt;DP91),-1,1)*(IF(ISNA(DQ92),0,IF((DQ91&lt;DC$148),IF((DQ92&lt;DC$148),(((DP92-DP91)^2)^0.5),(((((DC$148-DQ91)*(DP92-DP91))/(DQ92-DQ91))^2)^0.5)),IF((DQ92&lt;DC$148),(((((DC$148-DQ92)*(DP92-DP91))/(DQ91-DQ92))^2)^0.5),0))))))</f>
        <v>0</v>
      </c>
      <c s="441" r="DY92">
        <f>IF((DU92&gt;0),(MAX(DY$47:DY91)+1),0)</f>
        <v>0</v>
      </c>
      <c s="388" r="DZ92"/>
      <c s="406" r="EA92"/>
      <c s="886" r="EB92"/>
      <c s="886" r="EC92"/>
      <c s="886" r="ED92"/>
      <c s="886" r="EE92"/>
      <c s="418" r="EF92"/>
      <c s="550" r="EG92"/>
      <c s="550" r="EH92"/>
      <c t="str" s="620" r="EI92">
        <f>IF((COUNT(EH92:EH$146,EJ92:EJ$146)=0),NA(),IF(ISBLANK(EH92),EI91,(EI91+(EH92-EJ91))))</f>
        <v>#N/A:explicit</v>
      </c>
      <c s="550" r="EJ92"/>
      <c t="str" s="620" r="EK92">
        <f>IF(OR(ISBLANK(EJ92),ISNUMBER(EH93)),NA(),(EI92-EJ92))</f>
        <v>#N/A:explicit</v>
      </c>
      <c t="b" s="895" r="EL92">
        <v>0</v>
      </c>
      <c s="631" r="EM92"/>
      <c t="str" s="309" r="EN92">
        <f>IF((COUNT(EG92:EG$146)=0),NA(),IF(ISBLANK(EG92),IF(ISBLANK(EG91),MAX(EG$46:EG92),EG91),EG92))</f>
        <v>#N/A:explicit</v>
      </c>
      <c t="str" s="861" r="EO92">
        <f>IF(ISNA(EK92),IF(ISNUMBER(EN92),EO91,NA()),EK92)</f>
        <v>#N/A:explicit</v>
      </c>
      <c s="861" r="EP92">
        <f>IF(ISNUMBER(EO92),EO92,(EI$46+1000))</f>
        <v>1000</v>
      </c>
      <c t="str" s="588" r="EQ92">
        <f>IF((EL92=TRUE),NA(),IF((EQ$44=(EI$46-MAX(EJ$46:EJ$146))),NA(),EQ$44))</f>
        <v>#N/A:explicit</v>
      </c>
      <c s="588" r="ER92">
        <f>IF((ISNA(((EO92*EN92)*EO91))),0,(IF((EN92&lt;EN91),-1,1)*(IF((EL91=FALSE),IF((EL92=FALSE),IF(ISNA(EO92),0,IF((EO91&lt;EQ$44),IF((EO92&lt;EQ$44),(((EN92-EN91)^2)^0.5),(((((EQ$44-EO91)*(EN92-EN91))/(EO92-EO91))^2)^0.5)),IF((EO92&lt;EQ$44),(((((EQ$44-EO92)*(EN92-EN91))/(EO91-EO92))^2)^0.5),0))),0),0))))</f>
        <v>0</v>
      </c>
      <c s="588" r="ES92">
        <f>IF(ISNA((EO92*EO91)),0,IF((EL91=FALSE),IF((EL92=FALSE),IF(ISNA(EK92),0,IF((EO91&lt;EQ$44),IF((EO92&lt;EQ$44),((EQ$44-((EO91+EO92)*0.5))*ER92),(((EQ$44-EO91)*0.5)*ER92)),IF((EO92&lt;EQ$44),(((EQ$44-EO92)*0.5)*ER92),0))),0),0))</f>
        <v>0</v>
      </c>
      <c s="588" r="ET92">
        <f>IF(ISNA((EO92*EO91)),0,IF((EL91=FALSE),IF((EL92=FALSE),IF(ISNA(EO92),0,IF((EO91&lt;EQ$44),IF((EO92&lt;EQ$44),(((ER92^2)+((EO92-EO91)^2))^0.5),(((ER92^2)+((EQ$44-EO91)^2))^0.5)),IF((EO92&lt;EQ$44),(((ER92^2)+((EQ$44-EO92)^2))^0.5),0))),0),0))</f>
        <v>0</v>
      </c>
      <c s="588" r="EU92">
        <f>IF(ISNUMBER((EO92*EO91)),IF((EO91&gt;=EA$148),IF((EO92&lt;EA$148),1,0),IF((EO92&gt;=EA$148),IF((EO91&lt;EA$148),1,0),0)),0)</f>
        <v>0</v>
      </c>
      <c s="588" r="EV92">
        <f>IF(ISNA((EO92*EO91)),0,(IF((EN92&lt;EN91),-1,1)*(IF(ISNA(EO92),0,IF((EO91&lt;EA$148),IF((EO92&lt;EA$148),(((EN92-EN91)^2)^0.5),(((((EA$148-EO91)*(EN92-EN91))/(EO92-EO91))^2)^0.5)),IF((EO92&lt;EA$148),(((((EA$148-EO92)*(EN92-EN91))/(EO91-EO92))^2)^0.5),0))))))</f>
        <v>0</v>
      </c>
      <c s="441" r="EW92">
        <f>IF((ES92&gt;0),(MAX(EW$47:EW91)+1),0)</f>
        <v>0</v>
      </c>
      <c s="388" r="EX92"/>
      <c s="406" r="EY92"/>
      <c s="886" r="EZ92"/>
      <c s="886" r="FA92"/>
      <c s="886" r="FB92"/>
      <c s="886" r="FC92"/>
      <c s="418" r="FD92"/>
      <c s="550" r="FE92"/>
      <c s="550" r="FF92"/>
      <c t="str" s="620" r="FG92">
        <f>IF((COUNT(FF92:FF$146,FH92:FH$146)=0),NA(),IF(ISBLANK(FF92),FG91,(FG91+(FF92-FH91))))</f>
        <v>#N/A:explicit</v>
      </c>
      <c s="550" r="FH92"/>
      <c t="str" s="620" r="FI92">
        <f>IF(OR(ISBLANK(FH92),ISNUMBER(FF93)),NA(),(FG92-FH92))</f>
        <v>#N/A:explicit</v>
      </c>
      <c t="b" s="895" r="FJ92">
        <v>0</v>
      </c>
      <c s="631" r="FK92"/>
      <c t="str" s="309" r="FL92">
        <f>IF((COUNT(FE92:FE$146)=0),NA(),IF(ISBLANK(FE92),IF(ISBLANK(FE91),MAX(FE$46:FE92),FE91),FE92))</f>
        <v>#N/A:explicit</v>
      </c>
      <c t="str" s="861" r="FM92">
        <f>IF(ISNA(FI92),IF(ISNUMBER(FL92),FM91,NA()),FI92)</f>
        <v>#N/A:explicit</v>
      </c>
      <c s="861" r="FN92">
        <f>IF(ISNUMBER(FM92),FM92,(FG$46+1000))</f>
        <v>1000</v>
      </c>
      <c t="str" s="588" r="FO92">
        <f>IF((FJ92=TRUE),NA(),IF((FO$44=(FG$46-MAX(FH$46:FH$146))),NA(),FO$44))</f>
        <v>#N/A:explicit</v>
      </c>
      <c s="588" r="FP92">
        <f>IF((ISNA(((FM92*FL92)*FM91))),0,(IF((FL92&lt;FL91),-1,1)*(IF((FJ91=FALSE),IF((FJ92=FALSE),IF(ISNA(FM92),0,IF((FM91&lt;FO$44),IF((FM92&lt;FO$44),(((FL92-FL91)^2)^0.5),(((((FO$44-FM91)*(FL92-FL91))/(FM92-FM91))^2)^0.5)),IF((FM92&lt;FO$44),(((((FO$44-FM92)*(FL92-FL91))/(FM91-FM92))^2)^0.5),0))),0),0))))</f>
        <v>0</v>
      </c>
      <c s="588" r="FQ92">
        <f>IF(ISNA((FM92*FM91)),0,IF((FJ91=FALSE),IF((FJ92=FALSE),IF(ISNA(FI92),0,IF((FM91&lt;FO$44),IF((FM92&lt;FO$44),((FO$44-((FM91+FM92)*0.5))*FP92),(((FO$44-FM91)*0.5)*FP92)),IF((FM92&lt;FO$44),(((FO$44-FM92)*0.5)*FP92),0))),0),0))</f>
        <v>0</v>
      </c>
      <c s="588" r="FR92">
        <f>IF(ISNA((FM92*FM91)),0,IF((FJ91=FALSE),IF((FJ92=FALSE),IF(ISNA(FM92),0,IF((FM91&lt;FO$44),IF((FM92&lt;FO$44),(((FP92^2)+((FM92-FM91)^2))^0.5),(((FP92^2)+((FO$44-FM91)^2))^0.5)),IF((FM92&lt;FO$44),(((FP92^2)+((FO$44-FM92)^2))^0.5),0))),0),0))</f>
        <v>0</v>
      </c>
      <c s="588" r="FS92">
        <f>IF(ISNUMBER((FM92*FM91)),IF((FM91&gt;=EY$148),IF((FM92&lt;EY$148),1,0),IF((FM92&gt;=EY$148),IF((FM91&lt;EY$148),1,0),0)),0)</f>
        <v>0</v>
      </c>
      <c s="588" r="FT92">
        <f>IF(ISNA((FM92*FM91)),0,(IF((FL92&lt;FL91),-1,1)*(IF(ISNA(FM92),0,IF((FM91&lt;EY$148),IF((FM92&lt;EY$148),(((FL92-FL91)^2)^0.5),(((((EY$148-FM91)*(FL92-FL91))/(FM92-FM91))^2)^0.5)),IF((FM92&lt;EY$148),(((((EY$148-FM92)*(FL92-FL91))/(FM91-FM92))^2)^0.5),0))))))</f>
        <v>0</v>
      </c>
      <c s="441" r="FU92">
        <f>IF((FQ92&gt;0),(MAX(FU$47:FU91)+1),0)</f>
        <v>0</v>
      </c>
      <c s="222" r="FV92"/>
      <c s="125" r="FW92"/>
      <c s="125" r="FX92"/>
      <c s="125" r="FY92"/>
      <c s="125" r="FZ92"/>
      <c s="125" r="GA92"/>
      <c s="125" r="GB92"/>
      <c s="125" r="GC92"/>
      <c s="125" r="GD92"/>
      <c s="125" r="GE92"/>
      <c s="125" r="GF92"/>
      <c s="125" r="GG92"/>
      <c s="125" r="GH92"/>
      <c s="125" r="GI92"/>
      <c s="125" r="GJ92"/>
      <c s="125" r="GK92"/>
      <c s="125" r="GL92"/>
      <c s="125" r="GM92"/>
      <c s="125" r="GN92"/>
      <c s="125" r="GO92"/>
      <c s="125" r="GP92"/>
      <c s="125" r="GQ92"/>
      <c s="125" r="GR92"/>
      <c s="125" r="GS92"/>
      <c s="125" r="GT92"/>
      <c s="125" r="GU92"/>
      <c s="125" r="GV92"/>
      <c s="125" r="GW92"/>
      <c s="125" r="GX92"/>
      <c s="125" r="GY92"/>
      <c s="125" r="GZ92"/>
      <c s="125" r="HA92"/>
      <c s="125" r="HB92"/>
    </row>
    <row customHeight="1" r="93" ht="13.5">
      <c s="822" r="A93"/>
      <c s="908" r="B93"/>
      <c s="551" r="C93"/>
      <c s="551" r="D93"/>
      <c t="str" s="812" r="E93">
        <f>"max depth "&amp;IF((H4=2),"(m)","(ft)")</f>
        <v>max depth (ft)</v>
      </c>
      <c t="str" s="719" r="F93">
        <f>IF(ISBLANK(E46),IF(ISNUMBER(E47),E47,"---"),E46)</f>
        <v>---</v>
      </c>
      <c t="str" s="286" r="G93">
        <f>IF(ISBLANK(G46),IF(ISNUMBER(G47),G47,"---"),G46)</f>
        <v>---</v>
      </c>
      <c t="str" s="224" r="H93">
        <f>IF(ISBLANK(H46),IF(ISNUMBER(H47),H47,"---"),H46)</f>
        <v>---</v>
      </c>
      <c s="51" r="I93"/>
      <c s="822" r="J93"/>
      <c s="406" r="K93"/>
      <c s="886" r="L93"/>
      <c s="886" r="M93"/>
      <c s="886" r="N93"/>
      <c s="886" r="O93"/>
      <c s="418" r="P93"/>
      <c s="550" r="Q93"/>
      <c s="550" r="R93"/>
      <c t="str" s="620" r="S93">
        <f>IF((COUNT(R93:R$146,T93:T$146)=0),NA(),IF(ISBLANK(R93),S92,(S92+(R93-T92))))</f>
        <v>#N/A:explicit</v>
      </c>
      <c s="550" r="T93"/>
      <c t="str" s="620" r="U93">
        <f>IF(OR(ISBLANK(T93),ISNUMBER(R94)),NA(),(S93-T93))</f>
        <v>#N/A:explicit</v>
      </c>
      <c t="b" s="895" r="V93">
        <v>0</v>
      </c>
      <c s="631" r="W93"/>
      <c t="str" s="309" r="X93">
        <f>IF((COUNT(Q93:Q$146)=0),NA(),IF(ISBLANK(Q93),IF(ISBLANK(Q92),MAX(Q$46:Q93),Q92),Q93))</f>
        <v>#N/A:explicit</v>
      </c>
      <c t="str" s="861" r="Y93">
        <f>IF(ISNA(U93),IF(ISNUMBER(X93),Y92,NA()),U93)</f>
        <v>#N/A:explicit</v>
      </c>
      <c s="861" r="Z93">
        <f>IF(ISNUMBER(Y93),Y93,(S$46+1000))</f>
        <v>1000</v>
      </c>
      <c t="str" s="588" r="AA93">
        <f>IF((V93=TRUE),NA(),IF((AA$44=(S$46-MAX(T$46:T$146))),NA(),AA$44))</f>
        <v>#N/A:explicit</v>
      </c>
      <c s="588" r="AB93">
        <f>IF((ISNA(((Y93*X93)*Y92))),0,(IF((X93&lt;X92),-1,1)*(IF((V92=FALSE),IF((V93=FALSE),IF(ISNA(Y93),0,IF((Y92&lt;AA$44),IF((Y93&lt;AA$44),(((X93-X92)^2)^0.5),(((((AA$44-Y92)*(X93-X92))/(Y93-Y92))^2)^0.5)),IF((Y93&lt;AA$44),(((((AA$44-Y93)*(X93-X92))/(Y92-Y93))^2)^0.5),0))),0),0))))</f>
        <v>0</v>
      </c>
      <c s="588" r="AC93">
        <f>IF(ISNA((Y93*Y92)),0,IF((V92=FALSE),IF((V93=FALSE),IF(ISNA(U93),0,IF((Y92&lt;AA$44),IF((Y93&lt;AA$44),((AA$44-((Y92+Y93)*0.5))*AB93),(((AA$44-Y92)*0.5)*AB93)),IF((Y93&lt;AA$44),(((AA$44-Y93)*0.5)*AB93),0))),0),0))</f>
        <v>0</v>
      </c>
      <c s="588" r="AD93">
        <f>IF(ISNA((Y93*Y92)),0,IF((V92=FALSE),IF((V93=FALSE),IF(ISNA(Y93),0,IF((Y92&lt;AA$44),IF((Y93&lt;AA$44),(((AB93^2)+((Y93-Y92)^2))^0.5),(((AB93^2)+((AA$44-Y92)^2))^0.5)),IF((Y93&lt;AA$44),(((AB93^2)+((AA$44-Y93)^2))^0.5),0))),0),0))</f>
        <v>0</v>
      </c>
      <c s="588" r="AE93">
        <f>IF(ISNUMBER((Y93*Y92)),IF((Y92&gt;=K$148),IF((Y93&lt;K$148),1,0),IF((Y93&gt;=K$148),IF((Y92&lt;K$148),1,0),0)),0)</f>
        <v>0</v>
      </c>
      <c s="588" r="AF93">
        <f>IF(ISNA((Y93*Y92)),0,(IF((X93&lt;X92),-1,1)*(IF(ISNA(Y93),0,IF((Y92&lt;K$148),IF((Y93&lt;K$148),(((X93-X92)^2)^0.5),(((((K$148-Y92)*(X93-X92))/(Y93-Y92))^2)^0.5)),IF((Y93&lt;K$148),(((((K$148-Y93)*(X93-X92))/(Y92-Y93))^2)^0.5),0))))))</f>
        <v>0</v>
      </c>
      <c s="441" r="AG93">
        <f>IF((AC93&gt;0),(MAX(AG$47:AG92)+1),0)</f>
        <v>0</v>
      </c>
      <c s="388" r="AH93"/>
      <c s="406" r="AI93"/>
      <c s="886" r="AJ93"/>
      <c s="886" r="AK93"/>
      <c s="886" r="AL93"/>
      <c s="886" r="AM93"/>
      <c s="418" r="AN93"/>
      <c s="550" r="AO93"/>
      <c s="550" r="AP93"/>
      <c t="str" s="620" r="AQ93">
        <f>IF((COUNT(AP93:AP$146,AR93:AR$146)=0),NA(),IF(ISBLANK(AP93),AQ92,(AQ92+(AP93-AR92))))</f>
        <v>#N/A:explicit</v>
      </c>
      <c s="550" r="AR93"/>
      <c t="str" s="620" r="AS93">
        <f>IF(OR(ISBLANK(AR93),ISNUMBER(AP94)),NA(),(AQ93-AR93))</f>
        <v>#N/A:explicit</v>
      </c>
      <c t="b" s="895" r="AT93">
        <v>0</v>
      </c>
      <c s="631" r="AU93"/>
      <c t="str" s="309" r="AV93">
        <f>IF((COUNT(AO93:AO$146)=0),NA(),IF(ISBLANK(AO93),IF(ISBLANK(AO92),MAX(AO$46:AO93),AO92),AO93))</f>
        <v>#N/A:explicit</v>
      </c>
      <c t="str" s="861" r="AW93">
        <f>IF(ISNA(AS93),IF(ISNUMBER(AV93),AW92,NA()),AS93)</f>
        <v>#N/A:explicit</v>
      </c>
      <c s="861" r="AX93">
        <f>IF(ISNUMBER(AW93),AW93,(AQ$46+1000))</f>
        <v>1000</v>
      </c>
      <c t="str" s="588" r="AY93">
        <f>IF((AT93=TRUE),NA(),IF((AY$44=(AQ$46-MAX(AR$46:AR$146))),NA(),AY$44))</f>
        <v>#N/A:explicit</v>
      </c>
      <c s="588" r="AZ93">
        <f>IF((ISNA(((AW93*AV93)*AW92))),0,(IF((AV93&lt;AV92),-1,1)*(IF((AT92=FALSE),IF((AT93=FALSE),IF(ISNA(AW93),0,IF((AW92&lt;AY$44),IF((AW93&lt;AY$44),(((AV93-AV92)^2)^0.5),(((((AY$44-AW92)*(AV93-AV92))/(AW93-AW92))^2)^0.5)),IF((AW93&lt;AY$44),(((((AY$44-AW93)*(AV93-AV92))/(AW92-AW93))^2)^0.5),0))),0),0))))</f>
        <v>0</v>
      </c>
      <c s="588" r="BA93">
        <f>IF(ISNA((AW93*AW92)),0,IF((AT92=FALSE),IF((AT93=FALSE),IF(ISNA(AS93),0,IF((AW92&lt;AY$44),IF((AW93&lt;AY$44),((AY$44-((AW92+AW93)*0.5))*AZ93),(((AY$44-AW92)*0.5)*AZ93)),IF((AW93&lt;AY$44),(((AY$44-AW93)*0.5)*AZ93),0))),0),0))</f>
        <v>0</v>
      </c>
      <c s="588" r="BB93">
        <f>IF(ISNA((AW93*AW92)),0,IF((AT92=FALSE),IF((AT93=FALSE),IF(ISNA(AW93),0,IF((AW92&lt;AY$44),IF((AW93&lt;AY$44),(((AZ93^2)+((AW93-AW92)^2))^0.5),(((AZ93^2)+((AY$44-AW92)^2))^0.5)),IF((AW93&lt;AY$44),(((AZ93^2)+((AY$44-AW93)^2))^0.5),0))),0),0))</f>
        <v>0</v>
      </c>
      <c s="588" r="BC93">
        <f>IF(ISNUMBER((AW93*AW92)),IF((AW92&gt;=AI$148),IF((AW93&lt;AI$148),1,0),IF((AW93&gt;=AI$148),IF((AW92&lt;AI$148),1,0),0)),0)</f>
        <v>0</v>
      </c>
      <c s="588" r="BD93">
        <f>IF(ISNA((AW93*AW92)),0,(IF((AV93&lt;AV92),-1,1)*(IF(ISNA(AW93),0,IF((AW92&lt;AI$148),IF((AW93&lt;AI$148),(((AV93-AV92)^2)^0.5),(((((AI$148-AW92)*(AV93-AV92))/(AW93-AW92))^2)^0.5)),IF((AW93&lt;AI$148),(((((AI$148-AW93)*(AV93-AV92))/(AW92-AW93))^2)^0.5),0))))))</f>
        <v>0</v>
      </c>
      <c s="441" r="BE93">
        <f>IF((BA93&gt;0),(MAX(BE$47:BE92)+1),0)</f>
        <v>0</v>
      </c>
      <c s="388" r="BF93"/>
      <c s="406" r="BG93"/>
      <c s="886" r="BH93"/>
      <c s="886" r="BI93"/>
      <c s="886" r="BJ93"/>
      <c s="886" r="BK93"/>
      <c s="418" r="BL93"/>
      <c s="550" r="BM93"/>
      <c s="550" r="BN93"/>
      <c t="str" s="620" r="BO93">
        <f>IF((COUNT(BN93:BN$146,BP93:BP$146)=0),NA(),IF(ISBLANK(BN93),BO92,(BO92+(BN93-BP92))))</f>
        <v>#N/A:explicit</v>
      </c>
      <c s="550" r="BP93"/>
      <c t="str" s="620" r="BQ93">
        <f>IF(OR(ISBLANK(BP93),ISNUMBER(BN94)),NA(),(BO93-BP93))</f>
        <v>#N/A:explicit</v>
      </c>
      <c t="b" s="895" r="BR93">
        <v>0</v>
      </c>
      <c s="631" r="BS93"/>
      <c t="str" s="309" r="BT93">
        <f>IF((COUNT(BM93:BM$146)=0),NA(),IF(ISBLANK(BM93),IF(ISBLANK(BM92),MAX(BM$46:BM93),BM92),BM93))</f>
        <v>#N/A:explicit</v>
      </c>
      <c t="str" s="861" r="BU93">
        <f>IF(ISNA(BQ93),IF(ISNUMBER(BT93),BU92,NA()),BQ93)</f>
        <v>#N/A:explicit</v>
      </c>
      <c s="861" r="BV93">
        <f>IF(ISNUMBER(BU93),BU93,(BO$46+1000))</f>
        <v>1000</v>
      </c>
      <c t="str" s="588" r="BW93">
        <f>IF((BR93=TRUE),NA(),IF((BW$44=(BO$46-MAX(BP$46:BP$146))),NA(),BW$44))</f>
        <v>#N/A:explicit</v>
      </c>
      <c s="588" r="BX93">
        <f>IF((ISNA(((BU93*BT93)*BU92))),0,(IF((BT93&lt;BT92),-1,1)*(IF((BR92=FALSE),IF((BR93=FALSE),IF(ISNA(BU93),0,IF((BU92&lt;BW$44),IF((BU93&lt;BW$44),(((BT93-BT92)^2)^0.5),(((((BW$44-BU92)*(BT93-BT92))/(BU93-BU92))^2)^0.5)),IF((BU93&lt;BW$44),(((((BW$44-BU93)*(BT93-BT92))/(BU92-BU93))^2)^0.5),0))),0),0))))</f>
        <v>0</v>
      </c>
      <c s="588" r="BY93">
        <f>IF(ISNA((BU93*BU92)),0,IF((BR92=FALSE),IF((BR93=FALSE),IF(ISNA(BQ93),0,IF((BU92&lt;BW$44),IF((BU93&lt;BW$44),((BW$44-((BU92+BU93)*0.5))*BX93),(((BW$44-BU92)*0.5)*BX93)),IF((BU93&lt;BW$44),(((BW$44-BU93)*0.5)*BX93),0))),0),0))</f>
        <v>0</v>
      </c>
      <c s="588" r="BZ93">
        <f>IF(ISNA((BU93*BU92)),0,IF((BR92=FALSE),IF((BR93=FALSE),IF(ISNA(BU93),0,IF((BU92&lt;BW$44),IF((BU93&lt;BW$44),(((BX93^2)+((BU93-BU92)^2))^0.5),(((BX93^2)+((BW$44-BU92)^2))^0.5)),IF((BU93&lt;BW$44),(((BX93^2)+((BW$44-BU93)^2))^0.5),0))),0),0))</f>
        <v>0</v>
      </c>
      <c s="588" r="CA93">
        <f>IF(ISNUMBER((BU93*BU92)),IF((BU92&gt;=BG$148),IF((BU93&lt;BG$148),1,0),IF((BU93&gt;=BG$148),IF((BU92&lt;BG$148),1,0),0)),0)</f>
        <v>0</v>
      </c>
      <c s="588" r="CB93">
        <f>IF(ISNA((BU93*BU92)),0,(IF((BT93&lt;BT92),-1,1)*(IF(ISNA(BU93),0,IF((BU92&lt;BG$148),IF((BU93&lt;BG$148),(((BT93-BT92)^2)^0.5),(((((BG$148-BU92)*(BT93-BT92))/(BU93-BU92))^2)^0.5)),IF((BU93&lt;BG$148),(((((BG$148-BU93)*(BT93-BT92))/(BU92-BU93))^2)^0.5),0))))))</f>
        <v>0</v>
      </c>
      <c s="441" r="CC93">
        <f>IF((BY93&gt;0),(MAX(CC$47:CC92)+1),0)</f>
        <v>0</v>
      </c>
      <c s="388" r="CD93"/>
      <c s="406" r="CE93"/>
      <c s="886" r="CF93"/>
      <c s="886" r="CG93"/>
      <c s="886" r="CH93"/>
      <c s="886" r="CI93"/>
      <c s="418" r="CJ93"/>
      <c s="550" r="CK93"/>
      <c s="550" r="CL93"/>
      <c t="str" s="620" r="CM93">
        <f>IF((COUNT(CL93:CL$146,CN93:CN$146)=0),NA(),IF(ISBLANK(CL93),CM92,(CM92+(CL93-CN92))))</f>
        <v>#N/A:explicit</v>
      </c>
      <c s="550" r="CN93"/>
      <c t="str" s="620" r="CO93">
        <f>IF(OR(ISBLANK(CN93),ISNUMBER(CL94)),NA(),(CM93-CN93))</f>
        <v>#N/A:explicit</v>
      </c>
      <c t="b" s="895" r="CP93">
        <v>0</v>
      </c>
      <c s="631" r="CQ93"/>
      <c t="str" s="309" r="CR93">
        <f>IF((COUNT(CK93:CK$146)=0),NA(),IF(ISBLANK(CK93),IF(ISBLANK(CK92),MAX(CK$46:CK93),CK92),CK93))</f>
        <v>#N/A:explicit</v>
      </c>
      <c t="str" s="861" r="CS93">
        <f>IF(ISNA(CO93),IF(ISNUMBER(CR93),CS92,NA()),CO93)</f>
        <v>#N/A:explicit</v>
      </c>
      <c s="861" r="CT93">
        <f>IF(ISNUMBER(CS93),CS93,(CM$46+1000))</f>
        <v>1000</v>
      </c>
      <c t="str" s="588" r="CU93">
        <f>IF((CP93=TRUE),NA(),IF((CU$44=(CM$46-MAX(CN$46:CN$146))),NA(),CU$44))</f>
        <v>#N/A:explicit</v>
      </c>
      <c s="588" r="CV93">
        <f>IF((ISNA(((CS93*CR93)*CS92))),0,(IF((CR93&lt;CR92),-1,1)*(IF((CP92=FALSE),IF((CP93=FALSE),IF(ISNA(CS93),0,IF((CS92&lt;CU$44),IF((CS93&lt;CU$44),(((CR93-CR92)^2)^0.5),(((((CU$44-CS92)*(CR93-CR92))/(CS93-CS92))^2)^0.5)),IF((CS93&lt;CU$44),(((((CU$44-CS93)*(CR93-CR92))/(CS92-CS93))^2)^0.5),0))),0),0))))</f>
        <v>0</v>
      </c>
      <c s="588" r="CW93">
        <f>IF(ISNA((CS93*CS92)),0,IF((CP92=FALSE),IF((CP93=FALSE),IF(ISNA(CO93),0,IF((CS92&lt;CU$44),IF((CS93&lt;CU$44),((CU$44-((CS92+CS93)*0.5))*CV93),(((CU$44-CS92)*0.5)*CV93)),IF((CS93&lt;CU$44),(((CU$44-CS93)*0.5)*CV93),0))),0),0))</f>
        <v>0</v>
      </c>
      <c s="588" r="CX93">
        <f>IF(ISNA((CS93*CS92)),0,IF((CP92=FALSE),IF((CP93=FALSE),IF(ISNA(CS93),0,IF((CS92&lt;CU$44),IF((CS93&lt;CU$44),(((CV93^2)+((CS93-CS92)^2))^0.5),(((CV93^2)+((CU$44-CS92)^2))^0.5)),IF((CS93&lt;CU$44),(((CV93^2)+((CU$44-CS93)^2))^0.5),0))),0),0))</f>
        <v>0</v>
      </c>
      <c s="588" r="CY93">
        <f>IF(ISNUMBER((CS93*CS92)),IF((CS92&gt;=CE$148),IF((CS93&lt;CE$148),1,0),IF((CS93&gt;=CE$148),IF((CS92&lt;CE$148),1,0),0)),0)</f>
        <v>0</v>
      </c>
      <c s="588" r="CZ93">
        <f>IF(ISNA((CS93*CS92)),0,(IF((CR93&lt;CR92),-1,1)*(IF(ISNA(CS93),0,IF((CS92&lt;CE$148),IF((CS93&lt;CE$148),(((CR93-CR92)^2)^0.5),(((((CE$148-CS92)*(CR93-CR92))/(CS93-CS92))^2)^0.5)),IF((CS93&lt;CE$148),(((((CE$148-CS93)*(CR93-CR92))/(CS92-CS93))^2)^0.5),0))))))</f>
        <v>0</v>
      </c>
      <c s="441" r="DA93">
        <f>IF((CW93&gt;0),(MAX(DA$47:DA92)+1),0)</f>
        <v>0</v>
      </c>
      <c s="388" r="DB93"/>
      <c s="406" r="DC93"/>
      <c s="886" r="DD93"/>
      <c s="886" r="DE93"/>
      <c s="886" r="DF93"/>
      <c s="886" r="DG93"/>
      <c s="418" r="DH93"/>
      <c s="550" r="DI93"/>
      <c s="550" r="DJ93"/>
      <c t="str" s="620" r="DK93">
        <f>IF((COUNT(DJ93:DJ$146,DL93:DL$146)=0),NA(),IF(ISBLANK(DJ93),DK92,(DK92+(DJ93-DL92))))</f>
        <v>#N/A:explicit</v>
      </c>
      <c s="550" r="DL93"/>
      <c t="str" s="620" r="DM93">
        <f>IF(OR(ISBLANK(DL93),ISNUMBER(DJ94)),NA(),(DK93-DL93))</f>
        <v>#N/A:explicit</v>
      </c>
      <c t="b" s="895" r="DN93">
        <v>0</v>
      </c>
      <c s="631" r="DO93"/>
      <c t="str" s="309" r="DP93">
        <f>IF((COUNT(DI93:DI$146)=0),NA(),IF(ISBLANK(DI93),IF(ISBLANK(DI92),MAX(DI$46:DI93),DI92),DI93))</f>
        <v>#N/A:explicit</v>
      </c>
      <c t="str" s="861" r="DQ93">
        <f>IF(ISNA(DM93),IF(ISNUMBER(DP93),DQ92,NA()),DM93)</f>
        <v>#N/A:explicit</v>
      </c>
      <c s="861" r="DR93">
        <f>IF(ISNUMBER(DQ93),DQ93,(DK$46+1000))</f>
        <v>1000</v>
      </c>
      <c t="str" s="588" r="DS93">
        <f>IF((DN93=TRUE),NA(),IF((DS$44=(DK$46-MAX(DL$46:DL$146))),NA(),DS$44))</f>
        <v>#N/A:explicit</v>
      </c>
      <c s="588" r="DT93">
        <f>IF((ISNA(((DQ93*DP93)*DQ92))),0,(IF((DP93&lt;DP92),-1,1)*(IF((DN92=FALSE),IF((DN93=FALSE),IF(ISNA(DQ93),0,IF((DQ92&lt;DS$44),IF((DQ93&lt;DS$44),(((DP93-DP92)^2)^0.5),(((((DS$44-DQ92)*(DP93-DP92))/(DQ93-DQ92))^2)^0.5)),IF((DQ93&lt;DS$44),(((((DS$44-DQ93)*(DP93-DP92))/(DQ92-DQ93))^2)^0.5),0))),0),0))))</f>
        <v>0</v>
      </c>
      <c s="588" r="DU93">
        <f>IF(ISNA((DQ93*DQ92)),0,IF((DN92=FALSE),IF((DN93=FALSE),IF(ISNA(DM93),0,IF((DQ92&lt;DS$44),IF((DQ93&lt;DS$44),((DS$44-((DQ92+DQ93)*0.5))*DT93),(((DS$44-DQ92)*0.5)*DT93)),IF((DQ93&lt;DS$44),(((DS$44-DQ93)*0.5)*DT93),0))),0),0))</f>
        <v>0</v>
      </c>
      <c s="588" r="DV93">
        <f>IF(ISNA((DQ93*DQ92)),0,IF((DN92=FALSE),IF((DN93=FALSE),IF(ISNA(DQ93),0,IF((DQ92&lt;DS$44),IF((DQ93&lt;DS$44),(((DT93^2)+((DQ93-DQ92)^2))^0.5),(((DT93^2)+((DS$44-DQ92)^2))^0.5)),IF((DQ93&lt;DS$44),(((DT93^2)+((DS$44-DQ93)^2))^0.5),0))),0),0))</f>
        <v>0</v>
      </c>
      <c s="588" r="DW93">
        <f>IF(ISNUMBER((DQ93*DQ92)),IF((DQ92&gt;=DC$148),IF((DQ93&lt;DC$148),1,0),IF((DQ93&gt;=DC$148),IF((DQ92&lt;DC$148),1,0),0)),0)</f>
        <v>0</v>
      </c>
      <c s="588" r="DX93">
        <f>IF(ISNA((DQ93*DQ92)),0,(IF((DP93&lt;DP92),-1,1)*(IF(ISNA(DQ93),0,IF((DQ92&lt;DC$148),IF((DQ93&lt;DC$148),(((DP93-DP92)^2)^0.5),(((((DC$148-DQ92)*(DP93-DP92))/(DQ93-DQ92))^2)^0.5)),IF((DQ93&lt;DC$148),(((((DC$148-DQ93)*(DP93-DP92))/(DQ92-DQ93))^2)^0.5),0))))))</f>
        <v>0</v>
      </c>
      <c s="441" r="DY93">
        <f>IF((DU93&gt;0),(MAX(DY$47:DY92)+1),0)</f>
        <v>0</v>
      </c>
      <c s="388" r="DZ93"/>
      <c s="406" r="EA93"/>
      <c s="886" r="EB93"/>
      <c s="886" r="EC93"/>
      <c s="886" r="ED93"/>
      <c s="886" r="EE93"/>
      <c s="418" r="EF93"/>
      <c s="550" r="EG93"/>
      <c s="550" r="EH93"/>
      <c t="str" s="620" r="EI93">
        <f>IF((COUNT(EH93:EH$146,EJ93:EJ$146)=0),NA(),IF(ISBLANK(EH93),EI92,(EI92+(EH93-EJ92))))</f>
        <v>#N/A:explicit</v>
      </c>
      <c s="550" r="EJ93"/>
      <c t="str" s="620" r="EK93">
        <f>IF(OR(ISBLANK(EJ93),ISNUMBER(EH94)),NA(),(EI93-EJ93))</f>
        <v>#N/A:explicit</v>
      </c>
      <c t="b" s="895" r="EL93">
        <v>0</v>
      </c>
      <c s="631" r="EM93"/>
      <c t="str" s="309" r="EN93">
        <f>IF((COUNT(EG93:EG$146)=0),NA(),IF(ISBLANK(EG93),IF(ISBLANK(EG92),MAX(EG$46:EG93),EG92),EG93))</f>
        <v>#N/A:explicit</v>
      </c>
      <c t="str" s="861" r="EO93">
        <f>IF(ISNA(EK93),IF(ISNUMBER(EN93),EO92,NA()),EK93)</f>
        <v>#N/A:explicit</v>
      </c>
      <c s="861" r="EP93">
        <f>IF(ISNUMBER(EO93),EO93,(EI$46+1000))</f>
        <v>1000</v>
      </c>
      <c t="str" s="588" r="EQ93">
        <f>IF((EL93=TRUE),NA(),IF((EQ$44=(EI$46-MAX(EJ$46:EJ$146))),NA(),EQ$44))</f>
        <v>#N/A:explicit</v>
      </c>
      <c s="588" r="ER93">
        <f>IF((ISNA(((EO93*EN93)*EO92))),0,(IF((EN93&lt;EN92),-1,1)*(IF((EL92=FALSE),IF((EL93=FALSE),IF(ISNA(EO93),0,IF((EO92&lt;EQ$44),IF((EO93&lt;EQ$44),(((EN93-EN92)^2)^0.5),(((((EQ$44-EO92)*(EN93-EN92))/(EO93-EO92))^2)^0.5)),IF((EO93&lt;EQ$44),(((((EQ$44-EO93)*(EN93-EN92))/(EO92-EO93))^2)^0.5),0))),0),0))))</f>
        <v>0</v>
      </c>
      <c s="588" r="ES93">
        <f>IF(ISNA((EO93*EO92)),0,IF((EL92=FALSE),IF((EL93=FALSE),IF(ISNA(EK93),0,IF((EO92&lt;EQ$44),IF((EO93&lt;EQ$44),((EQ$44-((EO92+EO93)*0.5))*ER93),(((EQ$44-EO92)*0.5)*ER93)),IF((EO93&lt;EQ$44),(((EQ$44-EO93)*0.5)*ER93),0))),0),0))</f>
        <v>0</v>
      </c>
      <c s="588" r="ET93">
        <f>IF(ISNA((EO93*EO92)),0,IF((EL92=FALSE),IF((EL93=FALSE),IF(ISNA(EO93),0,IF((EO92&lt;EQ$44),IF((EO93&lt;EQ$44),(((ER93^2)+((EO93-EO92)^2))^0.5),(((ER93^2)+((EQ$44-EO92)^2))^0.5)),IF((EO93&lt;EQ$44),(((ER93^2)+((EQ$44-EO93)^2))^0.5),0))),0),0))</f>
        <v>0</v>
      </c>
      <c s="588" r="EU93">
        <f>IF(ISNUMBER((EO93*EO92)),IF((EO92&gt;=EA$148),IF((EO93&lt;EA$148),1,0),IF((EO93&gt;=EA$148),IF((EO92&lt;EA$148),1,0),0)),0)</f>
        <v>0</v>
      </c>
      <c s="588" r="EV93">
        <f>IF(ISNA((EO93*EO92)),0,(IF((EN93&lt;EN92),-1,1)*(IF(ISNA(EO93),0,IF((EO92&lt;EA$148),IF((EO93&lt;EA$148),(((EN93-EN92)^2)^0.5),(((((EA$148-EO92)*(EN93-EN92))/(EO93-EO92))^2)^0.5)),IF((EO93&lt;EA$148),(((((EA$148-EO93)*(EN93-EN92))/(EO92-EO93))^2)^0.5),0))))))</f>
        <v>0</v>
      </c>
      <c s="441" r="EW93">
        <f>IF((ES93&gt;0),(MAX(EW$47:EW92)+1),0)</f>
        <v>0</v>
      </c>
      <c s="388" r="EX93"/>
      <c s="406" r="EY93"/>
      <c s="886" r="EZ93"/>
      <c s="886" r="FA93"/>
      <c s="886" r="FB93"/>
      <c s="886" r="FC93"/>
      <c s="418" r="FD93"/>
      <c s="550" r="FE93"/>
      <c s="550" r="FF93"/>
      <c t="str" s="620" r="FG93">
        <f>IF((COUNT(FF93:FF$146,FH93:FH$146)=0),NA(),IF(ISBLANK(FF93),FG92,(FG92+(FF93-FH92))))</f>
        <v>#N/A:explicit</v>
      </c>
      <c s="550" r="FH93"/>
      <c t="str" s="620" r="FI93">
        <f>IF(OR(ISBLANK(FH93),ISNUMBER(FF94)),NA(),(FG93-FH93))</f>
        <v>#N/A:explicit</v>
      </c>
      <c t="b" s="895" r="FJ93">
        <v>0</v>
      </c>
      <c s="631" r="FK93"/>
      <c t="str" s="309" r="FL93">
        <f>IF((COUNT(FE93:FE$146)=0),NA(),IF(ISBLANK(FE93),IF(ISBLANK(FE92),MAX(FE$46:FE93),FE92),FE93))</f>
        <v>#N/A:explicit</v>
      </c>
      <c t="str" s="861" r="FM93">
        <f>IF(ISNA(FI93),IF(ISNUMBER(FL93),FM92,NA()),FI93)</f>
        <v>#N/A:explicit</v>
      </c>
      <c s="861" r="FN93">
        <f>IF(ISNUMBER(FM93),FM93,(FG$46+1000))</f>
        <v>1000</v>
      </c>
      <c t="str" s="588" r="FO93">
        <f>IF((FJ93=TRUE),NA(),IF((FO$44=(FG$46-MAX(FH$46:FH$146))),NA(),FO$44))</f>
        <v>#N/A:explicit</v>
      </c>
      <c s="588" r="FP93">
        <f>IF((ISNA(((FM93*FL93)*FM92))),0,(IF((FL93&lt;FL92),-1,1)*(IF((FJ92=FALSE),IF((FJ93=FALSE),IF(ISNA(FM93),0,IF((FM92&lt;FO$44),IF((FM93&lt;FO$44),(((FL93-FL92)^2)^0.5),(((((FO$44-FM92)*(FL93-FL92))/(FM93-FM92))^2)^0.5)),IF((FM93&lt;FO$44),(((((FO$44-FM93)*(FL93-FL92))/(FM92-FM93))^2)^0.5),0))),0),0))))</f>
        <v>0</v>
      </c>
      <c s="588" r="FQ93">
        <f>IF(ISNA((FM93*FM92)),0,IF((FJ92=FALSE),IF((FJ93=FALSE),IF(ISNA(FI93),0,IF((FM92&lt;FO$44),IF((FM93&lt;FO$44),((FO$44-((FM92+FM93)*0.5))*FP93),(((FO$44-FM92)*0.5)*FP93)),IF((FM93&lt;FO$44),(((FO$44-FM93)*0.5)*FP93),0))),0),0))</f>
        <v>0</v>
      </c>
      <c s="588" r="FR93">
        <f>IF(ISNA((FM93*FM92)),0,IF((FJ92=FALSE),IF((FJ93=FALSE),IF(ISNA(FM93),0,IF((FM92&lt;FO$44),IF((FM93&lt;FO$44),(((FP93^2)+((FM93-FM92)^2))^0.5),(((FP93^2)+((FO$44-FM92)^2))^0.5)),IF((FM93&lt;FO$44),(((FP93^2)+((FO$44-FM93)^2))^0.5),0))),0),0))</f>
        <v>0</v>
      </c>
      <c s="588" r="FS93">
        <f>IF(ISNUMBER((FM93*FM92)),IF((FM92&gt;=EY$148),IF((FM93&lt;EY$148),1,0),IF((FM93&gt;=EY$148),IF((FM92&lt;EY$148),1,0),0)),0)</f>
        <v>0</v>
      </c>
      <c s="588" r="FT93">
        <f>IF(ISNA((FM93*FM92)),0,(IF((FL93&lt;FL92),-1,1)*(IF(ISNA(FM93),0,IF((FM92&lt;EY$148),IF((FM93&lt;EY$148),(((FL93-FL92)^2)^0.5),(((((EY$148-FM92)*(FL93-FL92))/(FM93-FM92))^2)^0.5)),IF((FM93&lt;EY$148),(((((EY$148-FM93)*(FL93-FL92))/(FM92-FM93))^2)^0.5),0))))))</f>
        <v>0</v>
      </c>
      <c s="441" r="FU93">
        <f>IF((FQ93&gt;0),(MAX(FU$47:FU92)+1),0)</f>
        <v>0</v>
      </c>
      <c s="222" r="FV93"/>
      <c s="125" r="FW93"/>
      <c s="125" r="FX93"/>
      <c s="125" r="FY93"/>
      <c s="125" r="FZ93"/>
      <c s="125" r="GA93"/>
      <c s="125" r="GB93"/>
      <c s="125" r="GC93"/>
      <c s="125" r="GD93"/>
      <c s="125" r="GE93"/>
      <c s="125" r="GF93"/>
      <c s="125" r="GG93"/>
      <c s="125" r="GH93"/>
      <c s="125" r="GI93"/>
      <c s="125" r="GJ93"/>
      <c s="125" r="GK93"/>
      <c s="125" r="GL93"/>
      <c s="125" r="GM93"/>
      <c s="125" r="GN93"/>
      <c s="125" r="GO93"/>
      <c s="125" r="GP93"/>
      <c s="125" r="GQ93"/>
      <c s="125" r="GR93"/>
      <c s="125" r="GS93"/>
      <c s="125" r="GT93"/>
      <c s="125" r="GU93"/>
      <c s="125" r="GV93"/>
      <c s="125" r="GW93"/>
      <c s="125" r="GX93"/>
      <c s="125" r="GY93"/>
      <c s="125" r="GZ93"/>
      <c s="125" r="HA93"/>
      <c s="125" r="HB93"/>
    </row>
    <row r="94">
      <c s="822" r="A94"/>
      <c s="56" r="B94"/>
      <c s="673" r="C94"/>
      <c s="673" r="D94"/>
      <c t="str" s="369" r="E94">
        <f>"hydraulic radius "&amp;IF((H4=2),"(m)","(ft)")</f>
        <v>hydraulic radius (ft)</v>
      </c>
      <c t="str" s="833" r="F94">
        <f>IF(ISBLANK(E49),IF(ISNUMBER(E50),E50,"---"),E49)</f>
        <v>---</v>
      </c>
      <c s="347" r="G94"/>
      <c s="748" r="H94"/>
      <c s="51" r="I94"/>
      <c s="822" r="J94"/>
      <c s="406" r="K94"/>
      <c s="886" r="L94"/>
      <c s="886" r="M94"/>
      <c s="886" r="N94"/>
      <c s="886" r="O94"/>
      <c s="418" r="P94"/>
      <c s="550" r="Q94"/>
      <c s="550" r="R94"/>
      <c t="str" s="620" r="S94">
        <f>IF((COUNT(R94:R$146,T94:T$146)=0),NA(),IF(ISBLANK(R94),S93,(S93+(R94-T93))))</f>
        <v>#N/A:explicit</v>
      </c>
      <c s="550" r="T94"/>
      <c t="str" s="620" r="U94">
        <f>IF(OR(ISBLANK(T94),ISNUMBER(R95)),NA(),(S94-T94))</f>
        <v>#N/A:explicit</v>
      </c>
      <c t="b" s="895" r="V94">
        <v>0</v>
      </c>
      <c s="631" r="W94"/>
      <c t="str" s="309" r="X94">
        <f>IF((COUNT(Q94:Q$146)=0),NA(),IF(ISBLANK(Q94),IF(ISBLANK(Q93),MAX(Q$46:Q94),Q93),Q94))</f>
        <v>#N/A:explicit</v>
      </c>
      <c t="str" s="861" r="Y94">
        <f>IF(ISNA(U94),IF(ISNUMBER(X94),Y93,NA()),U94)</f>
        <v>#N/A:explicit</v>
      </c>
      <c s="861" r="Z94">
        <f>IF(ISNUMBER(Y94),Y94,(S$46+1000))</f>
        <v>1000</v>
      </c>
      <c t="str" s="588" r="AA94">
        <f>IF((V94=TRUE),NA(),IF((AA$44=(S$46-MAX(T$46:T$146))),NA(),AA$44))</f>
        <v>#N/A:explicit</v>
      </c>
      <c s="588" r="AB94">
        <f>IF((ISNA(((Y94*X94)*Y93))),0,(IF((X94&lt;X93),-1,1)*(IF((V93=FALSE),IF((V94=FALSE),IF(ISNA(Y94),0,IF((Y93&lt;AA$44),IF((Y94&lt;AA$44),(((X94-X93)^2)^0.5),(((((AA$44-Y93)*(X94-X93))/(Y94-Y93))^2)^0.5)),IF((Y94&lt;AA$44),(((((AA$44-Y94)*(X94-X93))/(Y93-Y94))^2)^0.5),0))),0),0))))</f>
        <v>0</v>
      </c>
      <c s="588" r="AC94">
        <f>IF(ISNA((Y94*Y93)),0,IF((V93=FALSE),IF((V94=FALSE),IF(ISNA(U94),0,IF((Y93&lt;AA$44),IF((Y94&lt;AA$44),((AA$44-((Y93+Y94)*0.5))*AB94),(((AA$44-Y93)*0.5)*AB94)),IF((Y94&lt;AA$44),(((AA$44-Y94)*0.5)*AB94),0))),0),0))</f>
        <v>0</v>
      </c>
      <c s="588" r="AD94">
        <f>IF(ISNA((Y94*Y93)),0,IF((V93=FALSE),IF((V94=FALSE),IF(ISNA(Y94),0,IF((Y93&lt;AA$44),IF((Y94&lt;AA$44),(((AB94^2)+((Y94-Y93)^2))^0.5),(((AB94^2)+((AA$44-Y93)^2))^0.5)),IF((Y94&lt;AA$44),(((AB94^2)+((AA$44-Y94)^2))^0.5),0))),0),0))</f>
        <v>0</v>
      </c>
      <c s="588" r="AE94">
        <f>IF(ISNUMBER((Y94*Y93)),IF((Y93&gt;=K$148),IF((Y94&lt;K$148),1,0),IF((Y94&gt;=K$148),IF((Y93&lt;K$148),1,0),0)),0)</f>
        <v>0</v>
      </c>
      <c s="588" r="AF94">
        <f>IF(ISNA((Y94*Y93)),0,(IF((X94&lt;X93),-1,1)*(IF(ISNA(Y94),0,IF((Y93&lt;K$148),IF((Y94&lt;K$148),(((X94-X93)^2)^0.5),(((((K$148-Y93)*(X94-X93))/(Y94-Y93))^2)^0.5)),IF((Y94&lt;K$148),(((((K$148-Y94)*(X94-X93))/(Y93-Y94))^2)^0.5),0))))))</f>
        <v>0</v>
      </c>
      <c s="441" r="AG94">
        <f>IF((AC94&gt;0),(MAX(AG$47:AG93)+1),0)</f>
        <v>0</v>
      </c>
      <c s="388" r="AH94"/>
      <c s="406" r="AI94"/>
      <c s="886" r="AJ94"/>
      <c s="886" r="AK94"/>
      <c s="886" r="AL94"/>
      <c s="886" r="AM94"/>
      <c s="418" r="AN94"/>
      <c s="550" r="AO94"/>
      <c s="550" r="AP94"/>
      <c t="str" s="620" r="AQ94">
        <f>IF((COUNT(AP94:AP$146,AR94:AR$146)=0),NA(),IF(ISBLANK(AP94),AQ93,(AQ93+(AP94-AR93))))</f>
        <v>#N/A:explicit</v>
      </c>
      <c s="550" r="AR94"/>
      <c t="str" s="620" r="AS94">
        <f>IF(OR(ISBLANK(AR94),ISNUMBER(AP95)),NA(),(AQ94-AR94))</f>
        <v>#N/A:explicit</v>
      </c>
      <c t="b" s="895" r="AT94">
        <v>0</v>
      </c>
      <c s="631" r="AU94"/>
      <c t="str" s="309" r="AV94">
        <f>IF((COUNT(AO94:AO$146)=0),NA(),IF(ISBLANK(AO94),IF(ISBLANK(AO93),MAX(AO$46:AO94),AO93),AO94))</f>
        <v>#N/A:explicit</v>
      </c>
      <c t="str" s="861" r="AW94">
        <f>IF(ISNA(AS94),IF(ISNUMBER(AV94),AW93,NA()),AS94)</f>
        <v>#N/A:explicit</v>
      </c>
      <c s="861" r="AX94">
        <f>IF(ISNUMBER(AW94),AW94,(AQ$46+1000))</f>
        <v>1000</v>
      </c>
      <c t="str" s="588" r="AY94">
        <f>IF((AT94=TRUE),NA(),IF((AY$44=(AQ$46-MAX(AR$46:AR$146))),NA(),AY$44))</f>
        <v>#N/A:explicit</v>
      </c>
      <c s="588" r="AZ94">
        <f>IF((ISNA(((AW94*AV94)*AW93))),0,(IF((AV94&lt;AV93),-1,1)*(IF((AT93=FALSE),IF((AT94=FALSE),IF(ISNA(AW94),0,IF((AW93&lt;AY$44),IF((AW94&lt;AY$44),(((AV94-AV93)^2)^0.5),(((((AY$44-AW93)*(AV94-AV93))/(AW94-AW93))^2)^0.5)),IF((AW94&lt;AY$44),(((((AY$44-AW94)*(AV94-AV93))/(AW93-AW94))^2)^0.5),0))),0),0))))</f>
        <v>0</v>
      </c>
      <c s="588" r="BA94">
        <f>IF(ISNA((AW94*AW93)),0,IF((AT93=FALSE),IF((AT94=FALSE),IF(ISNA(AS94),0,IF((AW93&lt;AY$44),IF((AW94&lt;AY$44),((AY$44-((AW93+AW94)*0.5))*AZ94),(((AY$44-AW93)*0.5)*AZ94)),IF((AW94&lt;AY$44),(((AY$44-AW94)*0.5)*AZ94),0))),0),0))</f>
        <v>0</v>
      </c>
      <c s="588" r="BB94">
        <f>IF(ISNA((AW94*AW93)),0,IF((AT93=FALSE),IF((AT94=FALSE),IF(ISNA(AW94),0,IF((AW93&lt;AY$44),IF((AW94&lt;AY$44),(((AZ94^2)+((AW94-AW93)^2))^0.5),(((AZ94^2)+((AY$44-AW93)^2))^0.5)),IF((AW94&lt;AY$44),(((AZ94^2)+((AY$44-AW94)^2))^0.5),0))),0),0))</f>
        <v>0</v>
      </c>
      <c s="588" r="BC94">
        <f>IF(ISNUMBER((AW94*AW93)),IF((AW93&gt;=AI$148),IF((AW94&lt;AI$148),1,0),IF((AW94&gt;=AI$148),IF((AW93&lt;AI$148),1,0),0)),0)</f>
        <v>0</v>
      </c>
      <c s="588" r="BD94">
        <f>IF(ISNA((AW94*AW93)),0,(IF((AV94&lt;AV93),-1,1)*(IF(ISNA(AW94),0,IF((AW93&lt;AI$148),IF((AW94&lt;AI$148),(((AV94-AV93)^2)^0.5),(((((AI$148-AW93)*(AV94-AV93))/(AW94-AW93))^2)^0.5)),IF((AW94&lt;AI$148),(((((AI$148-AW94)*(AV94-AV93))/(AW93-AW94))^2)^0.5),0))))))</f>
        <v>0</v>
      </c>
      <c s="441" r="BE94">
        <f>IF((BA94&gt;0),(MAX(BE$47:BE93)+1),0)</f>
        <v>0</v>
      </c>
      <c s="388" r="BF94"/>
      <c s="406" r="BG94"/>
      <c s="886" r="BH94"/>
      <c s="886" r="BI94"/>
      <c s="886" r="BJ94"/>
      <c s="886" r="BK94"/>
      <c s="418" r="BL94"/>
      <c s="550" r="BM94"/>
      <c s="550" r="BN94"/>
      <c t="str" s="620" r="BO94">
        <f>IF((COUNT(BN94:BN$146,BP94:BP$146)=0),NA(),IF(ISBLANK(BN94),BO93,(BO93+(BN94-BP93))))</f>
        <v>#N/A:explicit</v>
      </c>
      <c s="550" r="BP94"/>
      <c t="str" s="620" r="BQ94">
        <f>IF(OR(ISBLANK(BP94),ISNUMBER(BN95)),NA(),(BO94-BP94))</f>
        <v>#N/A:explicit</v>
      </c>
      <c t="b" s="895" r="BR94">
        <v>0</v>
      </c>
      <c s="631" r="BS94"/>
      <c t="str" s="309" r="BT94">
        <f>IF((COUNT(BM94:BM$146)=0),NA(),IF(ISBLANK(BM94),IF(ISBLANK(BM93),MAX(BM$46:BM94),BM93),BM94))</f>
        <v>#N/A:explicit</v>
      </c>
      <c t="str" s="861" r="BU94">
        <f>IF(ISNA(BQ94),IF(ISNUMBER(BT94),BU93,NA()),BQ94)</f>
        <v>#N/A:explicit</v>
      </c>
      <c s="861" r="BV94">
        <f>IF(ISNUMBER(BU94),BU94,(BO$46+1000))</f>
        <v>1000</v>
      </c>
      <c t="str" s="588" r="BW94">
        <f>IF((BR94=TRUE),NA(),IF((BW$44=(BO$46-MAX(BP$46:BP$146))),NA(),BW$44))</f>
        <v>#N/A:explicit</v>
      </c>
      <c s="588" r="BX94">
        <f>IF((ISNA(((BU94*BT94)*BU93))),0,(IF((BT94&lt;BT93),-1,1)*(IF((BR93=FALSE),IF((BR94=FALSE),IF(ISNA(BU94),0,IF((BU93&lt;BW$44),IF((BU94&lt;BW$44),(((BT94-BT93)^2)^0.5),(((((BW$44-BU93)*(BT94-BT93))/(BU94-BU93))^2)^0.5)),IF((BU94&lt;BW$44),(((((BW$44-BU94)*(BT94-BT93))/(BU93-BU94))^2)^0.5),0))),0),0))))</f>
        <v>0</v>
      </c>
      <c s="588" r="BY94">
        <f>IF(ISNA((BU94*BU93)),0,IF((BR93=FALSE),IF((BR94=FALSE),IF(ISNA(BQ94),0,IF((BU93&lt;BW$44),IF((BU94&lt;BW$44),((BW$44-((BU93+BU94)*0.5))*BX94),(((BW$44-BU93)*0.5)*BX94)),IF((BU94&lt;BW$44),(((BW$44-BU94)*0.5)*BX94),0))),0),0))</f>
        <v>0</v>
      </c>
      <c s="588" r="BZ94">
        <f>IF(ISNA((BU94*BU93)),0,IF((BR93=FALSE),IF((BR94=FALSE),IF(ISNA(BU94),0,IF((BU93&lt;BW$44),IF((BU94&lt;BW$44),(((BX94^2)+((BU94-BU93)^2))^0.5),(((BX94^2)+((BW$44-BU93)^2))^0.5)),IF((BU94&lt;BW$44),(((BX94^2)+((BW$44-BU94)^2))^0.5),0))),0),0))</f>
        <v>0</v>
      </c>
      <c s="588" r="CA94">
        <f>IF(ISNUMBER((BU94*BU93)),IF((BU93&gt;=BG$148),IF((BU94&lt;BG$148),1,0),IF((BU94&gt;=BG$148),IF((BU93&lt;BG$148),1,0),0)),0)</f>
        <v>0</v>
      </c>
      <c s="588" r="CB94">
        <f>IF(ISNA((BU94*BU93)),0,(IF((BT94&lt;BT93),-1,1)*(IF(ISNA(BU94),0,IF((BU93&lt;BG$148),IF((BU94&lt;BG$148),(((BT94-BT93)^2)^0.5),(((((BG$148-BU93)*(BT94-BT93))/(BU94-BU93))^2)^0.5)),IF((BU94&lt;BG$148),(((((BG$148-BU94)*(BT94-BT93))/(BU93-BU94))^2)^0.5),0))))))</f>
        <v>0</v>
      </c>
      <c s="441" r="CC94">
        <f>IF((BY94&gt;0),(MAX(CC$47:CC93)+1),0)</f>
        <v>0</v>
      </c>
      <c s="388" r="CD94"/>
      <c s="406" r="CE94"/>
      <c s="886" r="CF94"/>
      <c s="886" r="CG94"/>
      <c s="886" r="CH94"/>
      <c s="886" r="CI94"/>
      <c s="418" r="CJ94"/>
      <c s="550" r="CK94"/>
      <c s="550" r="CL94"/>
      <c t="str" s="620" r="CM94">
        <f>IF((COUNT(CL94:CL$146,CN94:CN$146)=0),NA(),IF(ISBLANK(CL94),CM93,(CM93+(CL94-CN93))))</f>
        <v>#N/A:explicit</v>
      </c>
      <c s="550" r="CN94"/>
      <c t="str" s="620" r="CO94">
        <f>IF(OR(ISBLANK(CN94),ISNUMBER(CL95)),NA(),(CM94-CN94))</f>
        <v>#N/A:explicit</v>
      </c>
      <c t="b" s="895" r="CP94">
        <v>0</v>
      </c>
      <c s="631" r="CQ94"/>
      <c t="str" s="309" r="CR94">
        <f>IF((COUNT(CK94:CK$146)=0),NA(),IF(ISBLANK(CK94),IF(ISBLANK(CK93),MAX(CK$46:CK94),CK93),CK94))</f>
        <v>#N/A:explicit</v>
      </c>
      <c t="str" s="861" r="CS94">
        <f>IF(ISNA(CO94),IF(ISNUMBER(CR94),CS93,NA()),CO94)</f>
        <v>#N/A:explicit</v>
      </c>
      <c s="861" r="CT94">
        <f>IF(ISNUMBER(CS94),CS94,(CM$46+1000))</f>
        <v>1000</v>
      </c>
      <c t="str" s="588" r="CU94">
        <f>IF((CP94=TRUE),NA(),IF((CU$44=(CM$46-MAX(CN$46:CN$146))),NA(),CU$44))</f>
        <v>#N/A:explicit</v>
      </c>
      <c s="588" r="CV94">
        <f>IF((ISNA(((CS94*CR94)*CS93))),0,(IF((CR94&lt;CR93),-1,1)*(IF((CP93=FALSE),IF((CP94=FALSE),IF(ISNA(CS94),0,IF((CS93&lt;CU$44),IF((CS94&lt;CU$44),(((CR94-CR93)^2)^0.5),(((((CU$44-CS93)*(CR94-CR93))/(CS94-CS93))^2)^0.5)),IF((CS94&lt;CU$44),(((((CU$44-CS94)*(CR94-CR93))/(CS93-CS94))^2)^0.5),0))),0),0))))</f>
        <v>0</v>
      </c>
      <c s="588" r="CW94">
        <f>IF(ISNA((CS94*CS93)),0,IF((CP93=FALSE),IF((CP94=FALSE),IF(ISNA(CO94),0,IF((CS93&lt;CU$44),IF((CS94&lt;CU$44),((CU$44-((CS93+CS94)*0.5))*CV94),(((CU$44-CS93)*0.5)*CV94)),IF((CS94&lt;CU$44),(((CU$44-CS94)*0.5)*CV94),0))),0),0))</f>
        <v>0</v>
      </c>
      <c s="588" r="CX94">
        <f>IF(ISNA((CS94*CS93)),0,IF((CP93=FALSE),IF((CP94=FALSE),IF(ISNA(CS94),0,IF((CS93&lt;CU$44),IF((CS94&lt;CU$44),(((CV94^2)+((CS94-CS93)^2))^0.5),(((CV94^2)+((CU$44-CS93)^2))^0.5)),IF((CS94&lt;CU$44),(((CV94^2)+((CU$44-CS94)^2))^0.5),0))),0),0))</f>
        <v>0</v>
      </c>
      <c s="588" r="CY94">
        <f>IF(ISNUMBER((CS94*CS93)),IF((CS93&gt;=CE$148),IF((CS94&lt;CE$148),1,0),IF((CS94&gt;=CE$148),IF((CS93&lt;CE$148),1,0),0)),0)</f>
        <v>0</v>
      </c>
      <c s="588" r="CZ94">
        <f>IF(ISNA((CS94*CS93)),0,(IF((CR94&lt;CR93),-1,1)*(IF(ISNA(CS94),0,IF((CS93&lt;CE$148),IF((CS94&lt;CE$148),(((CR94-CR93)^2)^0.5),(((((CE$148-CS93)*(CR94-CR93))/(CS94-CS93))^2)^0.5)),IF((CS94&lt;CE$148),(((((CE$148-CS94)*(CR94-CR93))/(CS93-CS94))^2)^0.5),0))))))</f>
        <v>0</v>
      </c>
      <c s="441" r="DA94">
        <f>IF((CW94&gt;0),(MAX(DA$47:DA93)+1),0)</f>
        <v>0</v>
      </c>
      <c s="388" r="DB94"/>
      <c s="406" r="DC94"/>
      <c s="886" r="DD94"/>
      <c s="886" r="DE94"/>
      <c s="886" r="DF94"/>
      <c s="886" r="DG94"/>
      <c s="418" r="DH94"/>
      <c s="550" r="DI94"/>
      <c s="550" r="DJ94"/>
      <c t="str" s="620" r="DK94">
        <f>IF((COUNT(DJ94:DJ$146,DL94:DL$146)=0),NA(),IF(ISBLANK(DJ94),DK93,(DK93+(DJ94-DL93))))</f>
        <v>#N/A:explicit</v>
      </c>
      <c s="550" r="DL94"/>
      <c t="str" s="620" r="DM94">
        <f>IF(OR(ISBLANK(DL94),ISNUMBER(DJ95)),NA(),(DK94-DL94))</f>
        <v>#N/A:explicit</v>
      </c>
      <c t="b" s="895" r="DN94">
        <v>0</v>
      </c>
      <c s="631" r="DO94"/>
      <c t="str" s="309" r="DP94">
        <f>IF((COUNT(DI94:DI$146)=0),NA(),IF(ISBLANK(DI94),IF(ISBLANK(DI93),MAX(DI$46:DI94),DI93),DI94))</f>
        <v>#N/A:explicit</v>
      </c>
      <c t="str" s="861" r="DQ94">
        <f>IF(ISNA(DM94),IF(ISNUMBER(DP94),DQ93,NA()),DM94)</f>
        <v>#N/A:explicit</v>
      </c>
      <c s="861" r="DR94">
        <f>IF(ISNUMBER(DQ94),DQ94,(DK$46+1000))</f>
        <v>1000</v>
      </c>
      <c t="str" s="588" r="DS94">
        <f>IF((DN94=TRUE),NA(),IF((DS$44=(DK$46-MAX(DL$46:DL$146))),NA(),DS$44))</f>
        <v>#N/A:explicit</v>
      </c>
      <c s="588" r="DT94">
        <f>IF((ISNA(((DQ94*DP94)*DQ93))),0,(IF((DP94&lt;DP93),-1,1)*(IF((DN93=FALSE),IF((DN94=FALSE),IF(ISNA(DQ94),0,IF((DQ93&lt;DS$44),IF((DQ94&lt;DS$44),(((DP94-DP93)^2)^0.5),(((((DS$44-DQ93)*(DP94-DP93))/(DQ94-DQ93))^2)^0.5)),IF((DQ94&lt;DS$44),(((((DS$44-DQ94)*(DP94-DP93))/(DQ93-DQ94))^2)^0.5),0))),0),0))))</f>
        <v>0</v>
      </c>
      <c s="588" r="DU94">
        <f>IF(ISNA((DQ94*DQ93)),0,IF((DN93=FALSE),IF((DN94=FALSE),IF(ISNA(DM94),0,IF((DQ93&lt;DS$44),IF((DQ94&lt;DS$44),((DS$44-((DQ93+DQ94)*0.5))*DT94),(((DS$44-DQ93)*0.5)*DT94)),IF((DQ94&lt;DS$44),(((DS$44-DQ94)*0.5)*DT94),0))),0),0))</f>
        <v>0</v>
      </c>
      <c s="588" r="DV94">
        <f>IF(ISNA((DQ94*DQ93)),0,IF((DN93=FALSE),IF((DN94=FALSE),IF(ISNA(DQ94),0,IF((DQ93&lt;DS$44),IF((DQ94&lt;DS$44),(((DT94^2)+((DQ94-DQ93)^2))^0.5),(((DT94^2)+((DS$44-DQ93)^2))^0.5)),IF((DQ94&lt;DS$44),(((DT94^2)+((DS$44-DQ94)^2))^0.5),0))),0),0))</f>
        <v>0</v>
      </c>
      <c s="588" r="DW94">
        <f>IF(ISNUMBER((DQ94*DQ93)),IF((DQ93&gt;=DC$148),IF((DQ94&lt;DC$148),1,0),IF((DQ94&gt;=DC$148),IF((DQ93&lt;DC$148),1,0),0)),0)</f>
        <v>0</v>
      </c>
      <c s="588" r="DX94">
        <f>IF(ISNA((DQ94*DQ93)),0,(IF((DP94&lt;DP93),-1,1)*(IF(ISNA(DQ94),0,IF((DQ93&lt;DC$148),IF((DQ94&lt;DC$148),(((DP94-DP93)^2)^0.5),(((((DC$148-DQ93)*(DP94-DP93))/(DQ94-DQ93))^2)^0.5)),IF((DQ94&lt;DC$148),(((((DC$148-DQ94)*(DP94-DP93))/(DQ93-DQ94))^2)^0.5),0))))))</f>
        <v>0</v>
      </c>
      <c s="441" r="DY94">
        <f>IF((DU94&gt;0),(MAX(DY$47:DY93)+1),0)</f>
        <v>0</v>
      </c>
      <c s="388" r="DZ94"/>
      <c s="406" r="EA94"/>
      <c s="886" r="EB94"/>
      <c s="886" r="EC94"/>
      <c s="886" r="ED94"/>
      <c s="886" r="EE94"/>
      <c s="418" r="EF94"/>
      <c s="550" r="EG94"/>
      <c s="550" r="EH94"/>
      <c t="str" s="620" r="EI94">
        <f>IF((COUNT(EH94:EH$146,EJ94:EJ$146)=0),NA(),IF(ISBLANK(EH94),EI93,(EI93+(EH94-EJ93))))</f>
        <v>#N/A:explicit</v>
      </c>
      <c s="550" r="EJ94"/>
      <c t="str" s="620" r="EK94">
        <f>IF(OR(ISBLANK(EJ94),ISNUMBER(EH95)),NA(),(EI94-EJ94))</f>
        <v>#N/A:explicit</v>
      </c>
      <c t="b" s="895" r="EL94">
        <v>0</v>
      </c>
      <c s="631" r="EM94"/>
      <c t="str" s="309" r="EN94">
        <f>IF((COUNT(EG94:EG$146)=0),NA(),IF(ISBLANK(EG94),IF(ISBLANK(EG93),MAX(EG$46:EG94),EG93),EG94))</f>
        <v>#N/A:explicit</v>
      </c>
      <c t="str" s="861" r="EO94">
        <f>IF(ISNA(EK94),IF(ISNUMBER(EN94),EO93,NA()),EK94)</f>
        <v>#N/A:explicit</v>
      </c>
      <c s="861" r="EP94">
        <f>IF(ISNUMBER(EO94),EO94,(EI$46+1000))</f>
        <v>1000</v>
      </c>
      <c t="str" s="588" r="EQ94">
        <f>IF((EL94=TRUE),NA(),IF((EQ$44=(EI$46-MAX(EJ$46:EJ$146))),NA(),EQ$44))</f>
        <v>#N/A:explicit</v>
      </c>
      <c s="588" r="ER94">
        <f>IF((ISNA(((EO94*EN94)*EO93))),0,(IF((EN94&lt;EN93),-1,1)*(IF((EL93=FALSE),IF((EL94=FALSE),IF(ISNA(EO94),0,IF((EO93&lt;EQ$44),IF((EO94&lt;EQ$44),(((EN94-EN93)^2)^0.5),(((((EQ$44-EO93)*(EN94-EN93))/(EO94-EO93))^2)^0.5)),IF((EO94&lt;EQ$44),(((((EQ$44-EO94)*(EN94-EN93))/(EO93-EO94))^2)^0.5),0))),0),0))))</f>
        <v>0</v>
      </c>
      <c s="588" r="ES94">
        <f>IF(ISNA((EO94*EO93)),0,IF((EL93=FALSE),IF((EL94=FALSE),IF(ISNA(EK94),0,IF((EO93&lt;EQ$44),IF((EO94&lt;EQ$44),((EQ$44-((EO93+EO94)*0.5))*ER94),(((EQ$44-EO93)*0.5)*ER94)),IF((EO94&lt;EQ$44),(((EQ$44-EO94)*0.5)*ER94),0))),0),0))</f>
        <v>0</v>
      </c>
      <c s="588" r="ET94">
        <f>IF(ISNA((EO94*EO93)),0,IF((EL93=FALSE),IF((EL94=FALSE),IF(ISNA(EO94),0,IF((EO93&lt;EQ$44),IF((EO94&lt;EQ$44),(((ER94^2)+((EO94-EO93)^2))^0.5),(((ER94^2)+((EQ$44-EO93)^2))^0.5)),IF((EO94&lt;EQ$44),(((ER94^2)+((EQ$44-EO94)^2))^0.5),0))),0),0))</f>
        <v>0</v>
      </c>
      <c s="588" r="EU94">
        <f>IF(ISNUMBER((EO94*EO93)),IF((EO93&gt;=EA$148),IF((EO94&lt;EA$148),1,0),IF((EO94&gt;=EA$148),IF((EO93&lt;EA$148),1,0),0)),0)</f>
        <v>0</v>
      </c>
      <c s="588" r="EV94">
        <f>IF(ISNA((EO94*EO93)),0,(IF((EN94&lt;EN93),-1,1)*(IF(ISNA(EO94),0,IF((EO93&lt;EA$148),IF((EO94&lt;EA$148),(((EN94-EN93)^2)^0.5),(((((EA$148-EO93)*(EN94-EN93))/(EO94-EO93))^2)^0.5)),IF((EO94&lt;EA$148),(((((EA$148-EO94)*(EN94-EN93))/(EO93-EO94))^2)^0.5),0))))))</f>
        <v>0</v>
      </c>
      <c s="441" r="EW94">
        <f>IF((ES94&gt;0),(MAX(EW$47:EW93)+1),0)</f>
        <v>0</v>
      </c>
      <c s="388" r="EX94"/>
      <c s="406" r="EY94"/>
      <c s="886" r="EZ94"/>
      <c s="886" r="FA94"/>
      <c s="886" r="FB94"/>
      <c s="886" r="FC94"/>
      <c s="418" r="FD94"/>
      <c s="550" r="FE94"/>
      <c s="550" r="FF94"/>
      <c t="str" s="620" r="FG94">
        <f>IF((COUNT(FF94:FF$146,FH94:FH$146)=0),NA(),IF(ISBLANK(FF94),FG93,(FG93+(FF94-FH93))))</f>
        <v>#N/A:explicit</v>
      </c>
      <c s="550" r="FH94"/>
      <c t="str" s="620" r="FI94">
        <f>IF(OR(ISBLANK(FH94),ISNUMBER(FF95)),NA(),(FG94-FH94))</f>
        <v>#N/A:explicit</v>
      </c>
      <c t="b" s="895" r="FJ94">
        <v>0</v>
      </c>
      <c s="631" r="FK94"/>
      <c t="str" s="309" r="FL94">
        <f>IF((COUNT(FE94:FE$146)=0),NA(),IF(ISBLANK(FE94),IF(ISBLANK(FE93),MAX(FE$46:FE94),FE93),FE94))</f>
        <v>#N/A:explicit</v>
      </c>
      <c t="str" s="861" r="FM94">
        <f>IF(ISNA(FI94),IF(ISNUMBER(FL94),FM93,NA()),FI94)</f>
        <v>#N/A:explicit</v>
      </c>
      <c s="861" r="FN94">
        <f>IF(ISNUMBER(FM94),FM94,(FG$46+1000))</f>
        <v>1000</v>
      </c>
      <c t="str" s="588" r="FO94">
        <f>IF((FJ94=TRUE),NA(),IF((FO$44=(FG$46-MAX(FH$46:FH$146))),NA(),FO$44))</f>
        <v>#N/A:explicit</v>
      </c>
      <c s="588" r="FP94">
        <f>IF((ISNA(((FM94*FL94)*FM93))),0,(IF((FL94&lt;FL93),-1,1)*(IF((FJ93=FALSE),IF((FJ94=FALSE),IF(ISNA(FM94),0,IF((FM93&lt;FO$44),IF((FM94&lt;FO$44),(((FL94-FL93)^2)^0.5),(((((FO$44-FM93)*(FL94-FL93))/(FM94-FM93))^2)^0.5)),IF((FM94&lt;FO$44),(((((FO$44-FM94)*(FL94-FL93))/(FM93-FM94))^2)^0.5),0))),0),0))))</f>
        <v>0</v>
      </c>
      <c s="588" r="FQ94">
        <f>IF(ISNA((FM94*FM93)),0,IF((FJ93=FALSE),IF((FJ94=FALSE),IF(ISNA(FI94),0,IF((FM93&lt;FO$44),IF((FM94&lt;FO$44),((FO$44-((FM93+FM94)*0.5))*FP94),(((FO$44-FM93)*0.5)*FP94)),IF((FM94&lt;FO$44),(((FO$44-FM94)*0.5)*FP94),0))),0),0))</f>
        <v>0</v>
      </c>
      <c s="588" r="FR94">
        <f>IF(ISNA((FM94*FM93)),0,IF((FJ93=FALSE),IF((FJ94=FALSE),IF(ISNA(FM94),0,IF((FM93&lt;FO$44),IF((FM94&lt;FO$44),(((FP94^2)+((FM94-FM93)^2))^0.5),(((FP94^2)+((FO$44-FM93)^2))^0.5)),IF((FM94&lt;FO$44),(((FP94^2)+((FO$44-FM94)^2))^0.5),0))),0),0))</f>
        <v>0</v>
      </c>
      <c s="588" r="FS94">
        <f>IF(ISNUMBER((FM94*FM93)),IF((FM93&gt;=EY$148),IF((FM94&lt;EY$148),1,0),IF((FM94&gt;=EY$148),IF((FM93&lt;EY$148),1,0),0)),0)</f>
        <v>0</v>
      </c>
      <c s="588" r="FT94">
        <f>IF(ISNA((FM94*FM93)),0,(IF((FL94&lt;FL93),-1,1)*(IF(ISNA(FM94),0,IF((FM93&lt;EY$148),IF((FM94&lt;EY$148),(((FL94-FL93)^2)^0.5),(((((EY$148-FM93)*(FL94-FL93))/(FM94-FM93))^2)^0.5)),IF((FM94&lt;EY$148),(((((EY$148-FM94)*(FL94-FL93))/(FM93-FM94))^2)^0.5),0))))))</f>
        <v>0</v>
      </c>
      <c s="441" r="FU94">
        <f>IF((FQ94&gt;0),(MAX(FU$47:FU93)+1),0)</f>
        <v>0</v>
      </c>
      <c s="222" r="FV94"/>
      <c s="125" r="FW94"/>
      <c s="125" r="FX94"/>
      <c s="125" r="FY94"/>
      <c s="125" r="FZ94"/>
      <c s="125" r="GA94"/>
      <c s="125" r="GB94"/>
      <c s="125" r="GC94"/>
      <c s="125" r="GD94"/>
      <c s="125" r="GE94"/>
      <c s="125" r="GF94"/>
      <c s="125" r="GG94"/>
      <c s="125" r="GH94"/>
      <c s="125" r="GI94"/>
      <c s="125" r="GJ94"/>
      <c s="125" r="GK94"/>
      <c s="125" r="GL94"/>
      <c s="125" r="GM94"/>
      <c s="125" r="GN94"/>
      <c s="125" r="GO94"/>
      <c s="125" r="GP94"/>
      <c s="125" r="GQ94"/>
      <c s="125" r="GR94"/>
      <c s="125" r="GS94"/>
      <c s="125" r="GT94"/>
      <c s="125" r="GU94"/>
      <c s="125" r="GV94"/>
      <c s="125" r="GW94"/>
      <c s="125" r="GX94"/>
      <c s="125" r="GY94"/>
      <c s="125" r="GZ94"/>
      <c s="125" r="HA94"/>
      <c s="125" r="HB94"/>
    </row>
    <row r="95">
      <c s="822" r="A95"/>
      <c t="s" s="678" r="B95">
        <v>67</v>
      </c>
      <c s="402" r="C95"/>
      <c s="402" r="D95"/>
      <c t="str" s="129" r="E95">
        <f>"x-area pool "&amp;IF((H4=2),"(sq.m)","(sq.ft)")</f>
        <v>x-area pool (sq.ft)</v>
      </c>
      <c t="str" s="242" r="F95">
        <f>IF(ISBLANK(E57),IF(ISNUMBER(E58),E58,"---"),E57)</f>
        <v>---</v>
      </c>
      <c t="str" s="366" r="G95">
        <f>IF(ISBLANK(G57),IF(ISNUMBER(G58),G58,"---"),G57)</f>
        <v>---</v>
      </c>
      <c t="str" s="456" r="H95">
        <f>IF(ISBLANK(H57),IF(ISNUMBER(H58),H58,"---"),H57)</f>
        <v>---</v>
      </c>
      <c s="51" r="I95"/>
      <c s="822" r="J95"/>
      <c s="406" r="K95"/>
      <c s="886" r="L95"/>
      <c s="886" r="M95"/>
      <c s="886" r="N95"/>
      <c s="886" r="O95"/>
      <c s="418" r="P95"/>
      <c s="550" r="Q95"/>
      <c s="550" r="R95"/>
      <c t="str" s="620" r="S95">
        <f>IF((COUNT(R95:R$146,T95:T$146)=0),NA(),IF(ISBLANK(R95),S94,(S94+(R95-T94))))</f>
        <v>#N/A:explicit</v>
      </c>
      <c s="550" r="T95"/>
      <c t="str" s="620" r="U95">
        <f>IF(OR(ISBLANK(T95),ISNUMBER(R96)),NA(),(S95-T95))</f>
        <v>#N/A:explicit</v>
      </c>
      <c t="b" s="895" r="V95">
        <v>0</v>
      </c>
      <c s="631" r="W95"/>
      <c t="str" s="309" r="X95">
        <f>IF((COUNT(Q95:Q$146)=0),NA(),IF(ISBLANK(Q95),IF(ISBLANK(Q94),MAX(Q$46:Q95),Q94),Q95))</f>
        <v>#N/A:explicit</v>
      </c>
      <c t="str" s="861" r="Y95">
        <f>IF(ISNA(U95),IF(ISNUMBER(X95),Y94,NA()),U95)</f>
        <v>#N/A:explicit</v>
      </c>
      <c s="861" r="Z95">
        <f>IF(ISNUMBER(Y95),Y95,(S$46+1000))</f>
        <v>1000</v>
      </c>
      <c t="str" s="588" r="AA95">
        <f>IF((V95=TRUE),NA(),IF((AA$44=(S$46-MAX(T$46:T$146))),NA(),AA$44))</f>
        <v>#N/A:explicit</v>
      </c>
      <c s="588" r="AB95">
        <f>IF((ISNA(((Y95*X95)*Y94))),0,(IF((X95&lt;X94),-1,1)*(IF((V94=FALSE),IF((V95=FALSE),IF(ISNA(Y95),0,IF((Y94&lt;AA$44),IF((Y95&lt;AA$44),(((X95-X94)^2)^0.5),(((((AA$44-Y94)*(X95-X94))/(Y95-Y94))^2)^0.5)),IF((Y95&lt;AA$44),(((((AA$44-Y95)*(X95-X94))/(Y94-Y95))^2)^0.5),0))),0),0))))</f>
        <v>0</v>
      </c>
      <c s="588" r="AC95">
        <f>IF(ISNA((Y95*Y94)),0,IF((V94=FALSE),IF((V95=FALSE),IF(ISNA(U95),0,IF((Y94&lt;AA$44),IF((Y95&lt;AA$44),((AA$44-((Y94+Y95)*0.5))*AB95),(((AA$44-Y94)*0.5)*AB95)),IF((Y95&lt;AA$44),(((AA$44-Y95)*0.5)*AB95),0))),0),0))</f>
        <v>0</v>
      </c>
      <c s="588" r="AD95">
        <f>IF(ISNA((Y95*Y94)),0,IF((V94=FALSE),IF((V95=FALSE),IF(ISNA(Y95),0,IF((Y94&lt;AA$44),IF((Y95&lt;AA$44),(((AB95^2)+((Y95-Y94)^2))^0.5),(((AB95^2)+((AA$44-Y94)^2))^0.5)),IF((Y95&lt;AA$44),(((AB95^2)+((AA$44-Y95)^2))^0.5),0))),0),0))</f>
        <v>0</v>
      </c>
      <c s="588" r="AE95">
        <f>IF(ISNUMBER((Y95*Y94)),IF((Y94&gt;=K$148),IF((Y95&lt;K$148),1,0),IF((Y95&gt;=K$148),IF((Y94&lt;K$148),1,0),0)),0)</f>
        <v>0</v>
      </c>
      <c s="588" r="AF95">
        <f>IF(ISNA((Y95*Y94)),0,(IF((X95&lt;X94),-1,1)*(IF(ISNA(Y95),0,IF((Y94&lt;K$148),IF((Y95&lt;K$148),(((X95-X94)^2)^0.5),(((((K$148-Y94)*(X95-X94))/(Y95-Y94))^2)^0.5)),IF((Y95&lt;K$148),(((((K$148-Y95)*(X95-X94))/(Y94-Y95))^2)^0.5),0))))))</f>
        <v>0</v>
      </c>
      <c s="441" r="AG95">
        <f>IF((AC95&gt;0),(MAX(AG$47:AG94)+1),0)</f>
        <v>0</v>
      </c>
      <c s="388" r="AH95"/>
      <c s="406" r="AI95"/>
      <c s="886" r="AJ95"/>
      <c s="886" r="AK95"/>
      <c s="886" r="AL95"/>
      <c s="886" r="AM95"/>
      <c s="418" r="AN95"/>
      <c s="550" r="AO95"/>
      <c s="550" r="AP95"/>
      <c t="str" s="620" r="AQ95">
        <f>IF((COUNT(AP95:AP$146,AR95:AR$146)=0),NA(),IF(ISBLANK(AP95),AQ94,(AQ94+(AP95-AR94))))</f>
        <v>#N/A:explicit</v>
      </c>
      <c s="550" r="AR95"/>
      <c t="str" s="620" r="AS95">
        <f>IF(OR(ISBLANK(AR95),ISNUMBER(AP96)),NA(),(AQ95-AR95))</f>
        <v>#N/A:explicit</v>
      </c>
      <c t="b" s="895" r="AT95">
        <v>0</v>
      </c>
      <c s="631" r="AU95"/>
      <c t="str" s="309" r="AV95">
        <f>IF((COUNT(AO95:AO$146)=0),NA(),IF(ISBLANK(AO95),IF(ISBLANK(AO94),MAX(AO$46:AO95),AO94),AO95))</f>
        <v>#N/A:explicit</v>
      </c>
      <c t="str" s="861" r="AW95">
        <f>IF(ISNA(AS95),IF(ISNUMBER(AV95),AW94,NA()),AS95)</f>
        <v>#N/A:explicit</v>
      </c>
      <c s="861" r="AX95">
        <f>IF(ISNUMBER(AW95),AW95,(AQ$46+1000))</f>
        <v>1000</v>
      </c>
      <c t="str" s="588" r="AY95">
        <f>IF((AT95=TRUE),NA(),IF((AY$44=(AQ$46-MAX(AR$46:AR$146))),NA(),AY$44))</f>
        <v>#N/A:explicit</v>
      </c>
      <c s="588" r="AZ95">
        <f>IF((ISNA(((AW95*AV95)*AW94))),0,(IF((AV95&lt;AV94),-1,1)*(IF((AT94=FALSE),IF((AT95=FALSE),IF(ISNA(AW95),0,IF((AW94&lt;AY$44),IF((AW95&lt;AY$44),(((AV95-AV94)^2)^0.5),(((((AY$44-AW94)*(AV95-AV94))/(AW95-AW94))^2)^0.5)),IF((AW95&lt;AY$44),(((((AY$44-AW95)*(AV95-AV94))/(AW94-AW95))^2)^0.5),0))),0),0))))</f>
        <v>0</v>
      </c>
      <c s="588" r="BA95">
        <f>IF(ISNA((AW95*AW94)),0,IF((AT94=FALSE),IF((AT95=FALSE),IF(ISNA(AS95),0,IF((AW94&lt;AY$44),IF((AW95&lt;AY$44),((AY$44-((AW94+AW95)*0.5))*AZ95),(((AY$44-AW94)*0.5)*AZ95)),IF((AW95&lt;AY$44),(((AY$44-AW95)*0.5)*AZ95),0))),0),0))</f>
        <v>0</v>
      </c>
      <c s="588" r="BB95">
        <f>IF(ISNA((AW95*AW94)),0,IF((AT94=FALSE),IF((AT95=FALSE),IF(ISNA(AW95),0,IF((AW94&lt;AY$44),IF((AW95&lt;AY$44),(((AZ95^2)+((AW95-AW94)^2))^0.5),(((AZ95^2)+((AY$44-AW94)^2))^0.5)),IF((AW95&lt;AY$44),(((AZ95^2)+((AY$44-AW95)^2))^0.5),0))),0),0))</f>
        <v>0</v>
      </c>
      <c s="588" r="BC95">
        <f>IF(ISNUMBER((AW95*AW94)),IF((AW94&gt;=AI$148),IF((AW95&lt;AI$148),1,0),IF((AW95&gt;=AI$148),IF((AW94&lt;AI$148),1,0),0)),0)</f>
        <v>0</v>
      </c>
      <c s="588" r="BD95">
        <f>IF(ISNA((AW95*AW94)),0,(IF((AV95&lt;AV94),-1,1)*(IF(ISNA(AW95),0,IF((AW94&lt;AI$148),IF((AW95&lt;AI$148),(((AV95-AV94)^2)^0.5),(((((AI$148-AW94)*(AV95-AV94))/(AW95-AW94))^2)^0.5)),IF((AW95&lt;AI$148),(((((AI$148-AW95)*(AV95-AV94))/(AW94-AW95))^2)^0.5),0))))))</f>
        <v>0</v>
      </c>
      <c s="441" r="BE95">
        <f>IF((BA95&gt;0),(MAX(BE$47:BE94)+1),0)</f>
        <v>0</v>
      </c>
      <c s="388" r="BF95"/>
      <c s="406" r="BG95"/>
      <c s="886" r="BH95"/>
      <c s="886" r="BI95"/>
      <c s="886" r="BJ95"/>
      <c s="886" r="BK95"/>
      <c s="418" r="BL95"/>
      <c s="550" r="BM95"/>
      <c s="550" r="BN95"/>
      <c t="str" s="620" r="BO95">
        <f>IF((COUNT(BN95:BN$146,BP95:BP$146)=0),NA(),IF(ISBLANK(BN95),BO94,(BO94+(BN95-BP94))))</f>
        <v>#N/A:explicit</v>
      </c>
      <c s="550" r="BP95"/>
      <c t="str" s="620" r="BQ95">
        <f>IF(OR(ISBLANK(BP95),ISNUMBER(BN96)),NA(),(BO95-BP95))</f>
        <v>#N/A:explicit</v>
      </c>
      <c t="b" s="895" r="BR95">
        <v>0</v>
      </c>
      <c s="631" r="BS95"/>
      <c t="str" s="309" r="BT95">
        <f>IF((COUNT(BM95:BM$146)=0),NA(),IF(ISBLANK(BM95),IF(ISBLANK(BM94),MAX(BM$46:BM95),BM94),BM95))</f>
        <v>#N/A:explicit</v>
      </c>
      <c t="str" s="861" r="BU95">
        <f>IF(ISNA(BQ95),IF(ISNUMBER(BT95),BU94,NA()),BQ95)</f>
        <v>#N/A:explicit</v>
      </c>
      <c s="861" r="BV95">
        <f>IF(ISNUMBER(BU95),BU95,(BO$46+1000))</f>
        <v>1000</v>
      </c>
      <c t="str" s="588" r="BW95">
        <f>IF((BR95=TRUE),NA(),IF((BW$44=(BO$46-MAX(BP$46:BP$146))),NA(),BW$44))</f>
        <v>#N/A:explicit</v>
      </c>
      <c s="588" r="BX95">
        <f>IF((ISNA(((BU95*BT95)*BU94))),0,(IF((BT95&lt;BT94),-1,1)*(IF((BR94=FALSE),IF((BR95=FALSE),IF(ISNA(BU95),0,IF((BU94&lt;BW$44),IF((BU95&lt;BW$44),(((BT95-BT94)^2)^0.5),(((((BW$44-BU94)*(BT95-BT94))/(BU95-BU94))^2)^0.5)),IF((BU95&lt;BW$44),(((((BW$44-BU95)*(BT95-BT94))/(BU94-BU95))^2)^0.5),0))),0),0))))</f>
        <v>0</v>
      </c>
      <c s="588" r="BY95">
        <f>IF(ISNA((BU95*BU94)),0,IF((BR94=FALSE),IF((BR95=FALSE),IF(ISNA(BQ95),0,IF((BU94&lt;BW$44),IF((BU95&lt;BW$44),((BW$44-((BU94+BU95)*0.5))*BX95),(((BW$44-BU94)*0.5)*BX95)),IF((BU95&lt;BW$44),(((BW$44-BU95)*0.5)*BX95),0))),0),0))</f>
        <v>0</v>
      </c>
      <c s="588" r="BZ95">
        <f>IF(ISNA((BU95*BU94)),0,IF((BR94=FALSE),IF((BR95=FALSE),IF(ISNA(BU95),0,IF((BU94&lt;BW$44),IF((BU95&lt;BW$44),(((BX95^2)+((BU95-BU94)^2))^0.5),(((BX95^2)+((BW$44-BU94)^2))^0.5)),IF((BU95&lt;BW$44),(((BX95^2)+((BW$44-BU95)^2))^0.5),0))),0),0))</f>
        <v>0</v>
      </c>
      <c s="588" r="CA95">
        <f>IF(ISNUMBER((BU95*BU94)),IF((BU94&gt;=BG$148),IF((BU95&lt;BG$148),1,0),IF((BU95&gt;=BG$148),IF((BU94&lt;BG$148),1,0),0)),0)</f>
        <v>0</v>
      </c>
      <c s="588" r="CB95">
        <f>IF(ISNA((BU95*BU94)),0,(IF((BT95&lt;BT94),-1,1)*(IF(ISNA(BU95),0,IF((BU94&lt;BG$148),IF((BU95&lt;BG$148),(((BT95-BT94)^2)^0.5),(((((BG$148-BU94)*(BT95-BT94))/(BU95-BU94))^2)^0.5)),IF((BU95&lt;BG$148),(((((BG$148-BU95)*(BT95-BT94))/(BU94-BU95))^2)^0.5),0))))))</f>
        <v>0</v>
      </c>
      <c s="441" r="CC95">
        <f>IF((BY95&gt;0),(MAX(CC$47:CC94)+1),0)</f>
        <v>0</v>
      </c>
      <c s="388" r="CD95"/>
      <c s="406" r="CE95"/>
      <c s="886" r="CF95"/>
      <c s="886" r="CG95"/>
      <c s="886" r="CH95"/>
      <c s="886" r="CI95"/>
      <c s="418" r="CJ95"/>
      <c s="550" r="CK95"/>
      <c s="550" r="CL95"/>
      <c t="str" s="620" r="CM95">
        <f>IF((COUNT(CL95:CL$146,CN95:CN$146)=0),NA(),IF(ISBLANK(CL95),CM94,(CM94+(CL95-CN94))))</f>
        <v>#N/A:explicit</v>
      </c>
      <c s="550" r="CN95"/>
      <c t="str" s="620" r="CO95">
        <f>IF(OR(ISBLANK(CN95),ISNUMBER(CL96)),NA(),(CM95-CN95))</f>
        <v>#N/A:explicit</v>
      </c>
      <c t="b" s="895" r="CP95">
        <v>0</v>
      </c>
      <c s="631" r="CQ95"/>
      <c t="str" s="309" r="CR95">
        <f>IF((COUNT(CK95:CK$146)=0),NA(),IF(ISBLANK(CK95),IF(ISBLANK(CK94),MAX(CK$46:CK95),CK94),CK95))</f>
        <v>#N/A:explicit</v>
      </c>
      <c t="str" s="861" r="CS95">
        <f>IF(ISNA(CO95),IF(ISNUMBER(CR95),CS94,NA()),CO95)</f>
        <v>#N/A:explicit</v>
      </c>
      <c s="861" r="CT95">
        <f>IF(ISNUMBER(CS95),CS95,(CM$46+1000))</f>
        <v>1000</v>
      </c>
      <c t="str" s="588" r="CU95">
        <f>IF((CP95=TRUE),NA(),IF((CU$44=(CM$46-MAX(CN$46:CN$146))),NA(),CU$44))</f>
        <v>#N/A:explicit</v>
      </c>
      <c s="588" r="CV95">
        <f>IF((ISNA(((CS95*CR95)*CS94))),0,(IF((CR95&lt;CR94),-1,1)*(IF((CP94=FALSE),IF((CP95=FALSE),IF(ISNA(CS95),0,IF((CS94&lt;CU$44),IF((CS95&lt;CU$44),(((CR95-CR94)^2)^0.5),(((((CU$44-CS94)*(CR95-CR94))/(CS95-CS94))^2)^0.5)),IF((CS95&lt;CU$44),(((((CU$44-CS95)*(CR95-CR94))/(CS94-CS95))^2)^0.5),0))),0),0))))</f>
        <v>0</v>
      </c>
      <c s="588" r="CW95">
        <f>IF(ISNA((CS95*CS94)),0,IF((CP94=FALSE),IF((CP95=FALSE),IF(ISNA(CO95),0,IF((CS94&lt;CU$44),IF((CS95&lt;CU$44),((CU$44-((CS94+CS95)*0.5))*CV95),(((CU$44-CS94)*0.5)*CV95)),IF((CS95&lt;CU$44),(((CU$44-CS95)*0.5)*CV95),0))),0),0))</f>
        <v>0</v>
      </c>
      <c s="588" r="CX95">
        <f>IF(ISNA((CS95*CS94)),0,IF((CP94=FALSE),IF((CP95=FALSE),IF(ISNA(CS95),0,IF((CS94&lt;CU$44),IF((CS95&lt;CU$44),(((CV95^2)+((CS95-CS94)^2))^0.5),(((CV95^2)+((CU$44-CS94)^2))^0.5)),IF((CS95&lt;CU$44),(((CV95^2)+((CU$44-CS95)^2))^0.5),0))),0),0))</f>
        <v>0</v>
      </c>
      <c s="588" r="CY95">
        <f>IF(ISNUMBER((CS95*CS94)),IF((CS94&gt;=CE$148),IF((CS95&lt;CE$148),1,0),IF((CS95&gt;=CE$148),IF((CS94&lt;CE$148),1,0),0)),0)</f>
        <v>0</v>
      </c>
      <c s="588" r="CZ95">
        <f>IF(ISNA((CS95*CS94)),0,(IF((CR95&lt;CR94),-1,1)*(IF(ISNA(CS95),0,IF((CS94&lt;CE$148),IF((CS95&lt;CE$148),(((CR95-CR94)^2)^0.5),(((((CE$148-CS94)*(CR95-CR94))/(CS95-CS94))^2)^0.5)),IF((CS95&lt;CE$148),(((((CE$148-CS95)*(CR95-CR94))/(CS94-CS95))^2)^0.5),0))))))</f>
        <v>0</v>
      </c>
      <c s="441" r="DA95">
        <f>IF((CW95&gt;0),(MAX(DA$47:DA94)+1),0)</f>
        <v>0</v>
      </c>
      <c s="388" r="DB95"/>
      <c s="406" r="DC95"/>
      <c s="886" r="DD95"/>
      <c s="886" r="DE95"/>
      <c s="886" r="DF95"/>
      <c s="886" r="DG95"/>
      <c s="418" r="DH95"/>
      <c s="550" r="DI95"/>
      <c s="550" r="DJ95"/>
      <c t="str" s="620" r="DK95">
        <f>IF((COUNT(DJ95:DJ$146,DL95:DL$146)=0),NA(),IF(ISBLANK(DJ95),DK94,(DK94+(DJ95-DL94))))</f>
        <v>#N/A:explicit</v>
      </c>
      <c s="550" r="DL95"/>
      <c t="str" s="620" r="DM95">
        <f>IF(OR(ISBLANK(DL95),ISNUMBER(DJ96)),NA(),(DK95-DL95))</f>
        <v>#N/A:explicit</v>
      </c>
      <c t="b" s="895" r="DN95">
        <v>0</v>
      </c>
      <c s="631" r="DO95"/>
      <c t="str" s="309" r="DP95">
        <f>IF((COUNT(DI95:DI$146)=0),NA(),IF(ISBLANK(DI95),IF(ISBLANK(DI94),MAX(DI$46:DI95),DI94),DI95))</f>
        <v>#N/A:explicit</v>
      </c>
      <c t="str" s="861" r="DQ95">
        <f>IF(ISNA(DM95),IF(ISNUMBER(DP95),DQ94,NA()),DM95)</f>
        <v>#N/A:explicit</v>
      </c>
      <c s="861" r="DR95">
        <f>IF(ISNUMBER(DQ95),DQ95,(DK$46+1000))</f>
        <v>1000</v>
      </c>
      <c t="str" s="588" r="DS95">
        <f>IF((DN95=TRUE),NA(),IF((DS$44=(DK$46-MAX(DL$46:DL$146))),NA(),DS$44))</f>
        <v>#N/A:explicit</v>
      </c>
      <c s="588" r="DT95">
        <f>IF((ISNA(((DQ95*DP95)*DQ94))),0,(IF((DP95&lt;DP94),-1,1)*(IF((DN94=FALSE),IF((DN95=FALSE),IF(ISNA(DQ95),0,IF((DQ94&lt;DS$44),IF((DQ95&lt;DS$44),(((DP95-DP94)^2)^0.5),(((((DS$44-DQ94)*(DP95-DP94))/(DQ95-DQ94))^2)^0.5)),IF((DQ95&lt;DS$44),(((((DS$44-DQ95)*(DP95-DP94))/(DQ94-DQ95))^2)^0.5),0))),0),0))))</f>
        <v>0</v>
      </c>
      <c s="588" r="DU95">
        <f>IF(ISNA((DQ95*DQ94)),0,IF((DN94=FALSE),IF((DN95=FALSE),IF(ISNA(DM95),0,IF((DQ94&lt;DS$44),IF((DQ95&lt;DS$44),((DS$44-((DQ94+DQ95)*0.5))*DT95),(((DS$44-DQ94)*0.5)*DT95)),IF((DQ95&lt;DS$44),(((DS$44-DQ95)*0.5)*DT95),0))),0),0))</f>
        <v>0</v>
      </c>
      <c s="588" r="DV95">
        <f>IF(ISNA((DQ95*DQ94)),0,IF((DN94=FALSE),IF((DN95=FALSE),IF(ISNA(DQ95),0,IF((DQ94&lt;DS$44),IF((DQ95&lt;DS$44),(((DT95^2)+((DQ95-DQ94)^2))^0.5),(((DT95^2)+((DS$44-DQ94)^2))^0.5)),IF((DQ95&lt;DS$44),(((DT95^2)+((DS$44-DQ95)^2))^0.5),0))),0),0))</f>
        <v>0</v>
      </c>
      <c s="588" r="DW95">
        <f>IF(ISNUMBER((DQ95*DQ94)),IF((DQ94&gt;=DC$148),IF((DQ95&lt;DC$148),1,0),IF((DQ95&gt;=DC$148),IF((DQ94&lt;DC$148),1,0),0)),0)</f>
        <v>0</v>
      </c>
      <c s="588" r="DX95">
        <f>IF(ISNA((DQ95*DQ94)),0,(IF((DP95&lt;DP94),-1,1)*(IF(ISNA(DQ95),0,IF((DQ94&lt;DC$148),IF((DQ95&lt;DC$148),(((DP95-DP94)^2)^0.5),(((((DC$148-DQ94)*(DP95-DP94))/(DQ95-DQ94))^2)^0.5)),IF((DQ95&lt;DC$148),(((((DC$148-DQ95)*(DP95-DP94))/(DQ94-DQ95))^2)^0.5),0))))))</f>
        <v>0</v>
      </c>
      <c s="441" r="DY95">
        <f>IF((DU95&gt;0),(MAX(DY$47:DY94)+1),0)</f>
        <v>0</v>
      </c>
      <c s="388" r="DZ95"/>
      <c s="406" r="EA95"/>
      <c s="886" r="EB95"/>
      <c s="886" r="EC95"/>
      <c s="886" r="ED95"/>
      <c s="886" r="EE95"/>
      <c s="418" r="EF95"/>
      <c s="550" r="EG95"/>
      <c s="550" r="EH95"/>
      <c t="str" s="620" r="EI95">
        <f>IF((COUNT(EH95:EH$146,EJ95:EJ$146)=0),NA(),IF(ISBLANK(EH95),EI94,(EI94+(EH95-EJ94))))</f>
        <v>#N/A:explicit</v>
      </c>
      <c s="550" r="EJ95"/>
      <c t="str" s="620" r="EK95">
        <f>IF(OR(ISBLANK(EJ95),ISNUMBER(EH96)),NA(),(EI95-EJ95))</f>
        <v>#N/A:explicit</v>
      </c>
      <c t="b" s="895" r="EL95">
        <v>0</v>
      </c>
      <c s="631" r="EM95"/>
      <c t="str" s="309" r="EN95">
        <f>IF((COUNT(EG95:EG$146)=0),NA(),IF(ISBLANK(EG95),IF(ISBLANK(EG94),MAX(EG$46:EG95),EG94),EG95))</f>
        <v>#N/A:explicit</v>
      </c>
      <c t="str" s="861" r="EO95">
        <f>IF(ISNA(EK95),IF(ISNUMBER(EN95),EO94,NA()),EK95)</f>
        <v>#N/A:explicit</v>
      </c>
      <c s="861" r="EP95">
        <f>IF(ISNUMBER(EO95),EO95,(EI$46+1000))</f>
        <v>1000</v>
      </c>
      <c t="str" s="588" r="EQ95">
        <f>IF((EL95=TRUE),NA(),IF((EQ$44=(EI$46-MAX(EJ$46:EJ$146))),NA(),EQ$44))</f>
        <v>#N/A:explicit</v>
      </c>
      <c s="588" r="ER95">
        <f>IF((ISNA(((EO95*EN95)*EO94))),0,(IF((EN95&lt;EN94),-1,1)*(IF((EL94=FALSE),IF((EL95=FALSE),IF(ISNA(EO95),0,IF((EO94&lt;EQ$44),IF((EO95&lt;EQ$44),(((EN95-EN94)^2)^0.5),(((((EQ$44-EO94)*(EN95-EN94))/(EO95-EO94))^2)^0.5)),IF((EO95&lt;EQ$44),(((((EQ$44-EO95)*(EN95-EN94))/(EO94-EO95))^2)^0.5),0))),0),0))))</f>
        <v>0</v>
      </c>
      <c s="588" r="ES95">
        <f>IF(ISNA((EO95*EO94)),0,IF((EL94=FALSE),IF((EL95=FALSE),IF(ISNA(EK95),0,IF((EO94&lt;EQ$44),IF((EO95&lt;EQ$44),((EQ$44-((EO94+EO95)*0.5))*ER95),(((EQ$44-EO94)*0.5)*ER95)),IF((EO95&lt;EQ$44),(((EQ$44-EO95)*0.5)*ER95),0))),0),0))</f>
        <v>0</v>
      </c>
      <c s="588" r="ET95">
        <f>IF(ISNA((EO95*EO94)),0,IF((EL94=FALSE),IF((EL95=FALSE),IF(ISNA(EO95),0,IF((EO94&lt;EQ$44),IF((EO95&lt;EQ$44),(((ER95^2)+((EO95-EO94)^2))^0.5),(((ER95^2)+((EQ$44-EO94)^2))^0.5)),IF((EO95&lt;EQ$44),(((ER95^2)+((EQ$44-EO95)^2))^0.5),0))),0),0))</f>
        <v>0</v>
      </c>
      <c s="588" r="EU95">
        <f>IF(ISNUMBER((EO95*EO94)),IF((EO94&gt;=EA$148),IF((EO95&lt;EA$148),1,0),IF((EO95&gt;=EA$148),IF((EO94&lt;EA$148),1,0),0)),0)</f>
        <v>0</v>
      </c>
      <c s="588" r="EV95">
        <f>IF(ISNA((EO95*EO94)),0,(IF((EN95&lt;EN94),-1,1)*(IF(ISNA(EO95),0,IF((EO94&lt;EA$148),IF((EO95&lt;EA$148),(((EN95-EN94)^2)^0.5),(((((EA$148-EO94)*(EN95-EN94))/(EO95-EO94))^2)^0.5)),IF((EO95&lt;EA$148),(((((EA$148-EO95)*(EN95-EN94))/(EO94-EO95))^2)^0.5),0))))))</f>
        <v>0</v>
      </c>
      <c s="441" r="EW95">
        <f>IF((ES95&gt;0),(MAX(EW$47:EW94)+1),0)</f>
        <v>0</v>
      </c>
      <c s="388" r="EX95"/>
      <c s="406" r="EY95"/>
      <c s="886" r="EZ95"/>
      <c s="886" r="FA95"/>
      <c s="886" r="FB95"/>
      <c s="886" r="FC95"/>
      <c s="418" r="FD95"/>
      <c s="550" r="FE95"/>
      <c s="550" r="FF95"/>
      <c t="str" s="620" r="FG95">
        <f>IF((COUNT(FF95:FF$146,FH95:FH$146)=0),NA(),IF(ISBLANK(FF95),FG94,(FG94+(FF95-FH94))))</f>
        <v>#N/A:explicit</v>
      </c>
      <c s="550" r="FH95"/>
      <c t="str" s="620" r="FI95">
        <f>IF(OR(ISBLANK(FH95),ISNUMBER(FF96)),NA(),(FG95-FH95))</f>
        <v>#N/A:explicit</v>
      </c>
      <c t="b" s="895" r="FJ95">
        <v>0</v>
      </c>
      <c s="631" r="FK95"/>
      <c t="str" s="309" r="FL95">
        <f>IF((COUNT(FE95:FE$146)=0),NA(),IF(ISBLANK(FE95),IF(ISBLANK(FE94),MAX(FE$46:FE95),FE94),FE95))</f>
        <v>#N/A:explicit</v>
      </c>
      <c t="str" s="861" r="FM95">
        <f>IF(ISNA(FI95),IF(ISNUMBER(FL95),FM94,NA()),FI95)</f>
        <v>#N/A:explicit</v>
      </c>
      <c s="861" r="FN95">
        <f>IF(ISNUMBER(FM95),FM95,(FG$46+1000))</f>
        <v>1000</v>
      </c>
      <c t="str" s="588" r="FO95">
        <f>IF((FJ95=TRUE),NA(),IF((FO$44=(FG$46-MAX(FH$46:FH$146))),NA(),FO$44))</f>
        <v>#N/A:explicit</v>
      </c>
      <c s="588" r="FP95">
        <f>IF((ISNA(((FM95*FL95)*FM94))),0,(IF((FL95&lt;FL94),-1,1)*(IF((FJ94=FALSE),IF((FJ95=FALSE),IF(ISNA(FM95),0,IF((FM94&lt;FO$44),IF((FM95&lt;FO$44),(((FL95-FL94)^2)^0.5),(((((FO$44-FM94)*(FL95-FL94))/(FM95-FM94))^2)^0.5)),IF((FM95&lt;FO$44),(((((FO$44-FM95)*(FL95-FL94))/(FM94-FM95))^2)^0.5),0))),0),0))))</f>
        <v>0</v>
      </c>
      <c s="588" r="FQ95">
        <f>IF(ISNA((FM95*FM94)),0,IF((FJ94=FALSE),IF((FJ95=FALSE),IF(ISNA(FI95),0,IF((FM94&lt;FO$44),IF((FM95&lt;FO$44),((FO$44-((FM94+FM95)*0.5))*FP95),(((FO$44-FM94)*0.5)*FP95)),IF((FM95&lt;FO$44),(((FO$44-FM95)*0.5)*FP95),0))),0),0))</f>
        <v>0</v>
      </c>
      <c s="588" r="FR95">
        <f>IF(ISNA((FM95*FM94)),0,IF((FJ94=FALSE),IF((FJ95=FALSE),IF(ISNA(FM95),0,IF((FM94&lt;FO$44),IF((FM95&lt;FO$44),(((FP95^2)+((FM95-FM94)^2))^0.5),(((FP95^2)+((FO$44-FM94)^2))^0.5)),IF((FM95&lt;FO$44),(((FP95^2)+((FO$44-FM95)^2))^0.5),0))),0),0))</f>
        <v>0</v>
      </c>
      <c s="588" r="FS95">
        <f>IF(ISNUMBER((FM95*FM94)),IF((FM94&gt;=EY$148),IF((FM95&lt;EY$148),1,0),IF((FM95&gt;=EY$148),IF((FM94&lt;EY$148),1,0),0)),0)</f>
        <v>0</v>
      </c>
      <c s="588" r="FT95">
        <f>IF(ISNA((FM95*FM94)),0,(IF((FL95&lt;FL94),-1,1)*(IF(ISNA(FM95),0,IF((FM94&lt;EY$148),IF((FM95&lt;EY$148),(((FL95-FL94)^2)^0.5),(((((EY$148-FM94)*(FL95-FL94))/(FM95-FM94))^2)^0.5)),IF((FM95&lt;EY$148),(((((EY$148-FM95)*(FL95-FL94))/(FM94-FM95))^2)^0.5),0))))))</f>
        <v>0</v>
      </c>
      <c s="441" r="FU95">
        <f>IF((FQ95&gt;0),(MAX(FU$47:FU94)+1),0)</f>
        <v>0</v>
      </c>
      <c s="222" r="FV95"/>
      <c s="125" r="FW95"/>
      <c s="125" r="FX95"/>
      <c s="125" r="FY95"/>
      <c s="125" r="FZ95"/>
      <c s="125" r="GA95"/>
      <c s="125" r="GB95"/>
      <c s="125" r="GC95"/>
      <c s="125" r="GD95"/>
      <c s="125" r="GE95"/>
      <c s="125" r="GF95"/>
      <c s="125" r="GG95"/>
      <c s="125" r="GH95"/>
      <c s="125" r="GI95"/>
      <c s="125" r="GJ95"/>
      <c s="125" r="GK95"/>
      <c s="125" r="GL95"/>
      <c s="125" r="GM95"/>
      <c s="125" r="GN95"/>
      <c s="125" r="GO95"/>
      <c s="125" r="GP95"/>
      <c s="125" r="GQ95"/>
      <c s="125" r="GR95"/>
      <c s="125" r="GS95"/>
      <c s="125" r="GT95"/>
      <c s="125" r="GU95"/>
      <c s="125" r="GV95"/>
      <c s="125" r="GW95"/>
      <c s="125" r="GX95"/>
      <c s="125" r="GY95"/>
      <c s="125" r="GZ95"/>
      <c s="125" r="HA95"/>
      <c s="125" r="HB95"/>
    </row>
    <row r="96">
      <c s="822" r="A96"/>
      <c s="908" r="B96"/>
      <c s="551" r="C96"/>
      <c s="551" r="D96"/>
      <c t="str" s="812" r="E96">
        <f>"width pool "&amp;IF((H4=2),"(m)","(ft)")</f>
        <v>width pool (ft)</v>
      </c>
      <c t="str" s="719" r="F96">
        <f>IF(ISBLANK(E60),IF(ISNUMBER(E61),E61,"---"),E60)</f>
        <v>---</v>
      </c>
      <c t="str" s="286" r="G96">
        <f>IF(ISBLANK(G60),IF(ISNUMBER(G61),G61,"---"),G60)</f>
        <v>---</v>
      </c>
      <c t="str" s="224" r="H96">
        <f>IF(ISBLANK(H60),IF(ISNUMBER(H61),H61,"---"),H60)</f>
        <v>---</v>
      </c>
      <c s="51" r="I96"/>
      <c s="822" r="J96"/>
      <c s="406" r="K96"/>
      <c s="886" r="L96"/>
      <c s="886" r="M96"/>
      <c s="886" r="N96"/>
      <c s="886" r="O96"/>
      <c s="418" r="P96"/>
      <c s="550" r="Q96"/>
      <c s="550" r="R96"/>
      <c t="str" s="620" r="S96">
        <f>IF((COUNT(R96:R$146,T96:T$146)=0),NA(),IF(ISBLANK(R96),S95,(S95+(R96-T95))))</f>
        <v>#N/A:explicit</v>
      </c>
      <c s="550" r="T96"/>
      <c t="str" s="620" r="U96">
        <f>IF(OR(ISBLANK(T96),ISNUMBER(R97)),NA(),(S96-T96))</f>
        <v>#N/A:explicit</v>
      </c>
      <c t="b" s="895" r="V96">
        <v>0</v>
      </c>
      <c s="631" r="W96"/>
      <c t="str" s="309" r="X96">
        <f>IF((COUNT(Q96:Q$146)=0),NA(),IF(ISBLANK(Q96),IF(ISBLANK(Q95),MAX(Q$46:Q96),Q95),Q96))</f>
        <v>#N/A:explicit</v>
      </c>
      <c t="str" s="861" r="Y96">
        <f>IF(ISNA(U96),IF(ISNUMBER(X96),Y95,NA()),U96)</f>
        <v>#N/A:explicit</v>
      </c>
      <c s="861" r="Z96">
        <f>IF(ISNUMBER(Y96),Y96,(S$46+1000))</f>
        <v>1000</v>
      </c>
      <c t="str" s="588" r="AA96">
        <f>IF((V96=TRUE),NA(),IF((AA$44=(S$46-MAX(T$46:T$146))),NA(),AA$44))</f>
        <v>#N/A:explicit</v>
      </c>
      <c s="588" r="AB96">
        <f>IF((ISNA(((Y96*X96)*Y95))),0,(IF((X96&lt;X95),-1,1)*(IF((V95=FALSE),IF((V96=FALSE),IF(ISNA(Y96),0,IF((Y95&lt;AA$44),IF((Y96&lt;AA$44),(((X96-X95)^2)^0.5),(((((AA$44-Y95)*(X96-X95))/(Y96-Y95))^2)^0.5)),IF((Y96&lt;AA$44),(((((AA$44-Y96)*(X96-X95))/(Y95-Y96))^2)^0.5),0))),0),0))))</f>
        <v>0</v>
      </c>
      <c s="588" r="AC96">
        <f>IF(ISNA((Y96*Y95)),0,IF((V95=FALSE),IF((V96=FALSE),IF(ISNA(U96),0,IF((Y95&lt;AA$44),IF((Y96&lt;AA$44),((AA$44-((Y95+Y96)*0.5))*AB96),(((AA$44-Y95)*0.5)*AB96)),IF((Y96&lt;AA$44),(((AA$44-Y96)*0.5)*AB96),0))),0),0))</f>
        <v>0</v>
      </c>
      <c s="588" r="AD96">
        <f>IF(ISNA((Y96*Y95)),0,IF((V95=FALSE),IF((V96=FALSE),IF(ISNA(Y96),0,IF((Y95&lt;AA$44),IF((Y96&lt;AA$44),(((AB96^2)+((Y96-Y95)^2))^0.5),(((AB96^2)+((AA$44-Y95)^2))^0.5)),IF((Y96&lt;AA$44),(((AB96^2)+((AA$44-Y96)^2))^0.5),0))),0),0))</f>
        <v>0</v>
      </c>
      <c s="588" r="AE96">
        <f>IF(ISNUMBER((Y96*Y95)),IF((Y95&gt;=K$148),IF((Y96&lt;K$148),1,0),IF((Y96&gt;=K$148),IF((Y95&lt;K$148),1,0),0)),0)</f>
        <v>0</v>
      </c>
      <c s="588" r="AF96">
        <f>IF(ISNA((Y96*Y95)),0,(IF((X96&lt;X95),-1,1)*(IF(ISNA(Y96),0,IF((Y95&lt;K$148),IF((Y96&lt;K$148),(((X96-X95)^2)^0.5),(((((K$148-Y95)*(X96-X95))/(Y96-Y95))^2)^0.5)),IF((Y96&lt;K$148),(((((K$148-Y96)*(X96-X95))/(Y95-Y96))^2)^0.5),0))))))</f>
        <v>0</v>
      </c>
      <c s="441" r="AG96">
        <f>IF((AC96&gt;0),(MAX(AG$47:AG95)+1),0)</f>
        <v>0</v>
      </c>
      <c s="388" r="AH96"/>
      <c s="406" r="AI96"/>
      <c s="886" r="AJ96"/>
      <c s="886" r="AK96"/>
      <c s="886" r="AL96"/>
      <c s="886" r="AM96"/>
      <c s="418" r="AN96"/>
      <c s="550" r="AO96"/>
      <c s="550" r="AP96"/>
      <c t="str" s="620" r="AQ96">
        <f>IF((COUNT(AP96:AP$146,AR96:AR$146)=0),NA(),IF(ISBLANK(AP96),AQ95,(AQ95+(AP96-AR95))))</f>
        <v>#N/A:explicit</v>
      </c>
      <c s="550" r="AR96"/>
      <c t="str" s="620" r="AS96">
        <f>IF(OR(ISBLANK(AR96),ISNUMBER(AP97)),NA(),(AQ96-AR96))</f>
        <v>#N/A:explicit</v>
      </c>
      <c t="b" s="895" r="AT96">
        <v>0</v>
      </c>
      <c s="631" r="AU96"/>
      <c t="str" s="309" r="AV96">
        <f>IF((COUNT(AO96:AO$146)=0),NA(),IF(ISBLANK(AO96),IF(ISBLANK(AO95),MAX(AO$46:AO96),AO95),AO96))</f>
        <v>#N/A:explicit</v>
      </c>
      <c t="str" s="861" r="AW96">
        <f>IF(ISNA(AS96),IF(ISNUMBER(AV96),AW95,NA()),AS96)</f>
        <v>#N/A:explicit</v>
      </c>
      <c s="861" r="AX96">
        <f>IF(ISNUMBER(AW96),AW96,(AQ$46+1000))</f>
        <v>1000</v>
      </c>
      <c t="str" s="588" r="AY96">
        <f>IF((AT96=TRUE),NA(),IF((AY$44=(AQ$46-MAX(AR$46:AR$146))),NA(),AY$44))</f>
        <v>#N/A:explicit</v>
      </c>
      <c s="588" r="AZ96">
        <f>IF((ISNA(((AW96*AV96)*AW95))),0,(IF((AV96&lt;AV95),-1,1)*(IF((AT95=FALSE),IF((AT96=FALSE),IF(ISNA(AW96),0,IF((AW95&lt;AY$44),IF((AW96&lt;AY$44),(((AV96-AV95)^2)^0.5),(((((AY$44-AW95)*(AV96-AV95))/(AW96-AW95))^2)^0.5)),IF((AW96&lt;AY$44),(((((AY$44-AW96)*(AV96-AV95))/(AW95-AW96))^2)^0.5),0))),0),0))))</f>
        <v>0</v>
      </c>
      <c s="588" r="BA96">
        <f>IF(ISNA((AW96*AW95)),0,IF((AT95=FALSE),IF((AT96=FALSE),IF(ISNA(AS96),0,IF((AW95&lt;AY$44),IF((AW96&lt;AY$44),((AY$44-((AW95+AW96)*0.5))*AZ96),(((AY$44-AW95)*0.5)*AZ96)),IF((AW96&lt;AY$44),(((AY$44-AW96)*0.5)*AZ96),0))),0),0))</f>
        <v>0</v>
      </c>
      <c s="588" r="BB96">
        <f>IF(ISNA((AW96*AW95)),0,IF((AT95=FALSE),IF((AT96=FALSE),IF(ISNA(AW96),0,IF((AW95&lt;AY$44),IF((AW96&lt;AY$44),(((AZ96^2)+((AW96-AW95)^2))^0.5),(((AZ96^2)+((AY$44-AW95)^2))^0.5)),IF((AW96&lt;AY$44),(((AZ96^2)+((AY$44-AW96)^2))^0.5),0))),0),0))</f>
        <v>0</v>
      </c>
      <c s="588" r="BC96">
        <f>IF(ISNUMBER((AW96*AW95)),IF((AW95&gt;=AI$148),IF((AW96&lt;AI$148),1,0),IF((AW96&gt;=AI$148),IF((AW95&lt;AI$148),1,0),0)),0)</f>
        <v>0</v>
      </c>
      <c s="588" r="BD96">
        <f>IF(ISNA((AW96*AW95)),0,(IF((AV96&lt;AV95),-1,1)*(IF(ISNA(AW96),0,IF((AW95&lt;AI$148),IF((AW96&lt;AI$148),(((AV96-AV95)^2)^0.5),(((((AI$148-AW95)*(AV96-AV95))/(AW96-AW95))^2)^0.5)),IF((AW96&lt;AI$148),(((((AI$148-AW96)*(AV96-AV95))/(AW95-AW96))^2)^0.5),0))))))</f>
        <v>0</v>
      </c>
      <c s="441" r="BE96">
        <f>IF((BA96&gt;0),(MAX(BE$47:BE95)+1),0)</f>
        <v>0</v>
      </c>
      <c s="388" r="BF96"/>
      <c s="406" r="BG96"/>
      <c s="886" r="BH96"/>
      <c s="886" r="BI96"/>
      <c s="886" r="BJ96"/>
      <c s="886" r="BK96"/>
      <c s="418" r="BL96"/>
      <c s="550" r="BM96"/>
      <c s="550" r="BN96"/>
      <c t="str" s="620" r="BO96">
        <f>IF((COUNT(BN96:BN$146,BP96:BP$146)=0),NA(),IF(ISBLANK(BN96),BO95,(BO95+(BN96-BP95))))</f>
        <v>#N/A:explicit</v>
      </c>
      <c s="550" r="BP96"/>
      <c t="str" s="620" r="BQ96">
        <f>IF(OR(ISBLANK(BP96),ISNUMBER(BN97)),NA(),(BO96-BP96))</f>
        <v>#N/A:explicit</v>
      </c>
      <c t="b" s="895" r="BR96">
        <v>0</v>
      </c>
      <c s="631" r="BS96"/>
      <c t="str" s="309" r="BT96">
        <f>IF((COUNT(BM96:BM$146)=0),NA(),IF(ISBLANK(BM96),IF(ISBLANK(BM95),MAX(BM$46:BM96),BM95),BM96))</f>
        <v>#N/A:explicit</v>
      </c>
      <c t="str" s="861" r="BU96">
        <f>IF(ISNA(BQ96),IF(ISNUMBER(BT96),BU95,NA()),BQ96)</f>
        <v>#N/A:explicit</v>
      </c>
      <c s="861" r="BV96">
        <f>IF(ISNUMBER(BU96),BU96,(BO$46+1000))</f>
        <v>1000</v>
      </c>
      <c t="str" s="588" r="BW96">
        <f>IF((BR96=TRUE),NA(),IF((BW$44=(BO$46-MAX(BP$46:BP$146))),NA(),BW$44))</f>
        <v>#N/A:explicit</v>
      </c>
      <c s="588" r="BX96">
        <f>IF((ISNA(((BU96*BT96)*BU95))),0,(IF((BT96&lt;BT95),-1,1)*(IF((BR95=FALSE),IF((BR96=FALSE),IF(ISNA(BU96),0,IF((BU95&lt;BW$44),IF((BU96&lt;BW$44),(((BT96-BT95)^2)^0.5),(((((BW$44-BU95)*(BT96-BT95))/(BU96-BU95))^2)^0.5)),IF((BU96&lt;BW$44),(((((BW$44-BU96)*(BT96-BT95))/(BU95-BU96))^2)^0.5),0))),0),0))))</f>
        <v>0</v>
      </c>
      <c s="588" r="BY96">
        <f>IF(ISNA((BU96*BU95)),0,IF((BR95=FALSE),IF((BR96=FALSE),IF(ISNA(BQ96),0,IF((BU95&lt;BW$44),IF((BU96&lt;BW$44),((BW$44-((BU95+BU96)*0.5))*BX96),(((BW$44-BU95)*0.5)*BX96)),IF((BU96&lt;BW$44),(((BW$44-BU96)*0.5)*BX96),0))),0),0))</f>
        <v>0</v>
      </c>
      <c s="588" r="BZ96">
        <f>IF(ISNA((BU96*BU95)),0,IF((BR95=FALSE),IF((BR96=FALSE),IF(ISNA(BU96),0,IF((BU95&lt;BW$44),IF((BU96&lt;BW$44),(((BX96^2)+((BU96-BU95)^2))^0.5),(((BX96^2)+((BW$44-BU95)^2))^0.5)),IF((BU96&lt;BW$44),(((BX96^2)+((BW$44-BU96)^2))^0.5),0))),0),0))</f>
        <v>0</v>
      </c>
      <c s="588" r="CA96">
        <f>IF(ISNUMBER((BU96*BU95)),IF((BU95&gt;=BG$148),IF((BU96&lt;BG$148),1,0),IF((BU96&gt;=BG$148),IF((BU95&lt;BG$148),1,0),0)),0)</f>
        <v>0</v>
      </c>
      <c s="588" r="CB96">
        <f>IF(ISNA((BU96*BU95)),0,(IF((BT96&lt;BT95),-1,1)*(IF(ISNA(BU96),0,IF((BU95&lt;BG$148),IF((BU96&lt;BG$148),(((BT96-BT95)^2)^0.5),(((((BG$148-BU95)*(BT96-BT95))/(BU96-BU95))^2)^0.5)),IF((BU96&lt;BG$148),(((((BG$148-BU96)*(BT96-BT95))/(BU95-BU96))^2)^0.5),0))))))</f>
        <v>0</v>
      </c>
      <c s="441" r="CC96">
        <f>IF((BY96&gt;0),(MAX(CC$47:CC95)+1),0)</f>
        <v>0</v>
      </c>
      <c s="388" r="CD96"/>
      <c s="406" r="CE96"/>
      <c s="886" r="CF96"/>
      <c s="886" r="CG96"/>
      <c s="886" r="CH96"/>
      <c s="886" r="CI96"/>
      <c s="418" r="CJ96"/>
      <c s="550" r="CK96"/>
      <c s="550" r="CL96"/>
      <c t="str" s="620" r="CM96">
        <f>IF((COUNT(CL96:CL$146,CN96:CN$146)=0),NA(),IF(ISBLANK(CL96),CM95,(CM95+(CL96-CN95))))</f>
        <v>#N/A:explicit</v>
      </c>
      <c s="550" r="CN96"/>
      <c t="str" s="620" r="CO96">
        <f>IF(OR(ISBLANK(CN96),ISNUMBER(CL97)),NA(),(CM96-CN96))</f>
        <v>#N/A:explicit</v>
      </c>
      <c t="b" s="895" r="CP96">
        <v>0</v>
      </c>
      <c s="631" r="CQ96"/>
      <c t="str" s="309" r="CR96">
        <f>IF((COUNT(CK96:CK$146)=0),NA(),IF(ISBLANK(CK96),IF(ISBLANK(CK95),MAX(CK$46:CK96),CK95),CK96))</f>
        <v>#N/A:explicit</v>
      </c>
      <c t="str" s="861" r="CS96">
        <f>IF(ISNA(CO96),IF(ISNUMBER(CR96),CS95,NA()),CO96)</f>
        <v>#N/A:explicit</v>
      </c>
      <c s="861" r="CT96">
        <f>IF(ISNUMBER(CS96),CS96,(CM$46+1000))</f>
        <v>1000</v>
      </c>
      <c t="str" s="588" r="CU96">
        <f>IF((CP96=TRUE),NA(),IF((CU$44=(CM$46-MAX(CN$46:CN$146))),NA(),CU$44))</f>
        <v>#N/A:explicit</v>
      </c>
      <c s="588" r="CV96">
        <f>IF((ISNA(((CS96*CR96)*CS95))),0,(IF((CR96&lt;CR95),-1,1)*(IF((CP95=FALSE),IF((CP96=FALSE),IF(ISNA(CS96),0,IF((CS95&lt;CU$44),IF((CS96&lt;CU$44),(((CR96-CR95)^2)^0.5),(((((CU$44-CS95)*(CR96-CR95))/(CS96-CS95))^2)^0.5)),IF((CS96&lt;CU$44),(((((CU$44-CS96)*(CR96-CR95))/(CS95-CS96))^2)^0.5),0))),0),0))))</f>
        <v>0</v>
      </c>
      <c s="588" r="CW96">
        <f>IF(ISNA((CS96*CS95)),0,IF((CP95=FALSE),IF((CP96=FALSE),IF(ISNA(CO96),0,IF((CS95&lt;CU$44),IF((CS96&lt;CU$44),((CU$44-((CS95+CS96)*0.5))*CV96),(((CU$44-CS95)*0.5)*CV96)),IF((CS96&lt;CU$44),(((CU$44-CS96)*0.5)*CV96),0))),0),0))</f>
        <v>0</v>
      </c>
      <c s="588" r="CX96">
        <f>IF(ISNA((CS96*CS95)),0,IF((CP95=FALSE),IF((CP96=FALSE),IF(ISNA(CS96),0,IF((CS95&lt;CU$44),IF((CS96&lt;CU$44),(((CV96^2)+((CS96-CS95)^2))^0.5),(((CV96^2)+((CU$44-CS95)^2))^0.5)),IF((CS96&lt;CU$44),(((CV96^2)+((CU$44-CS96)^2))^0.5),0))),0),0))</f>
        <v>0</v>
      </c>
      <c s="588" r="CY96">
        <f>IF(ISNUMBER((CS96*CS95)),IF((CS95&gt;=CE$148),IF((CS96&lt;CE$148),1,0),IF((CS96&gt;=CE$148),IF((CS95&lt;CE$148),1,0),0)),0)</f>
        <v>0</v>
      </c>
      <c s="588" r="CZ96">
        <f>IF(ISNA((CS96*CS95)),0,(IF((CR96&lt;CR95),-1,1)*(IF(ISNA(CS96),0,IF((CS95&lt;CE$148),IF((CS96&lt;CE$148),(((CR96-CR95)^2)^0.5),(((((CE$148-CS95)*(CR96-CR95))/(CS96-CS95))^2)^0.5)),IF((CS96&lt;CE$148),(((((CE$148-CS96)*(CR96-CR95))/(CS95-CS96))^2)^0.5),0))))))</f>
        <v>0</v>
      </c>
      <c s="441" r="DA96">
        <f>IF((CW96&gt;0),(MAX(DA$47:DA95)+1),0)</f>
        <v>0</v>
      </c>
      <c s="388" r="DB96"/>
      <c s="406" r="DC96"/>
      <c s="886" r="DD96"/>
      <c s="886" r="DE96"/>
      <c s="886" r="DF96"/>
      <c s="886" r="DG96"/>
      <c s="418" r="DH96"/>
      <c s="550" r="DI96"/>
      <c s="550" r="DJ96"/>
      <c t="str" s="620" r="DK96">
        <f>IF((COUNT(DJ96:DJ$146,DL96:DL$146)=0),NA(),IF(ISBLANK(DJ96),DK95,(DK95+(DJ96-DL95))))</f>
        <v>#N/A:explicit</v>
      </c>
      <c s="550" r="DL96"/>
      <c t="str" s="620" r="DM96">
        <f>IF(OR(ISBLANK(DL96),ISNUMBER(DJ97)),NA(),(DK96-DL96))</f>
        <v>#N/A:explicit</v>
      </c>
      <c t="b" s="895" r="DN96">
        <v>0</v>
      </c>
      <c s="631" r="DO96"/>
      <c t="str" s="309" r="DP96">
        <f>IF((COUNT(DI96:DI$146)=0),NA(),IF(ISBLANK(DI96),IF(ISBLANK(DI95),MAX(DI$46:DI96),DI95),DI96))</f>
        <v>#N/A:explicit</v>
      </c>
      <c t="str" s="861" r="DQ96">
        <f>IF(ISNA(DM96),IF(ISNUMBER(DP96),DQ95,NA()),DM96)</f>
        <v>#N/A:explicit</v>
      </c>
      <c s="861" r="DR96">
        <f>IF(ISNUMBER(DQ96),DQ96,(DK$46+1000))</f>
        <v>1000</v>
      </c>
      <c t="str" s="588" r="DS96">
        <f>IF((DN96=TRUE),NA(),IF((DS$44=(DK$46-MAX(DL$46:DL$146))),NA(),DS$44))</f>
        <v>#N/A:explicit</v>
      </c>
      <c s="588" r="DT96">
        <f>IF((ISNA(((DQ96*DP96)*DQ95))),0,(IF((DP96&lt;DP95),-1,1)*(IF((DN95=FALSE),IF((DN96=FALSE),IF(ISNA(DQ96),0,IF((DQ95&lt;DS$44),IF((DQ96&lt;DS$44),(((DP96-DP95)^2)^0.5),(((((DS$44-DQ95)*(DP96-DP95))/(DQ96-DQ95))^2)^0.5)),IF((DQ96&lt;DS$44),(((((DS$44-DQ96)*(DP96-DP95))/(DQ95-DQ96))^2)^0.5),0))),0),0))))</f>
        <v>0</v>
      </c>
      <c s="588" r="DU96">
        <f>IF(ISNA((DQ96*DQ95)),0,IF((DN95=FALSE),IF((DN96=FALSE),IF(ISNA(DM96),0,IF((DQ95&lt;DS$44),IF((DQ96&lt;DS$44),((DS$44-((DQ95+DQ96)*0.5))*DT96),(((DS$44-DQ95)*0.5)*DT96)),IF((DQ96&lt;DS$44),(((DS$44-DQ96)*0.5)*DT96),0))),0),0))</f>
        <v>0</v>
      </c>
      <c s="588" r="DV96">
        <f>IF(ISNA((DQ96*DQ95)),0,IF((DN95=FALSE),IF((DN96=FALSE),IF(ISNA(DQ96),0,IF((DQ95&lt;DS$44),IF((DQ96&lt;DS$44),(((DT96^2)+((DQ96-DQ95)^2))^0.5),(((DT96^2)+((DS$44-DQ95)^2))^0.5)),IF((DQ96&lt;DS$44),(((DT96^2)+((DS$44-DQ96)^2))^0.5),0))),0),0))</f>
        <v>0</v>
      </c>
      <c s="588" r="DW96">
        <f>IF(ISNUMBER((DQ96*DQ95)),IF((DQ95&gt;=DC$148),IF((DQ96&lt;DC$148),1,0),IF((DQ96&gt;=DC$148),IF((DQ95&lt;DC$148),1,0),0)),0)</f>
        <v>0</v>
      </c>
      <c s="588" r="DX96">
        <f>IF(ISNA((DQ96*DQ95)),0,(IF((DP96&lt;DP95),-1,1)*(IF(ISNA(DQ96),0,IF((DQ95&lt;DC$148),IF((DQ96&lt;DC$148),(((DP96-DP95)^2)^0.5),(((((DC$148-DQ95)*(DP96-DP95))/(DQ96-DQ95))^2)^0.5)),IF((DQ96&lt;DC$148),(((((DC$148-DQ96)*(DP96-DP95))/(DQ95-DQ96))^2)^0.5),0))))))</f>
        <v>0</v>
      </c>
      <c s="441" r="DY96">
        <f>IF((DU96&gt;0),(MAX(DY$47:DY95)+1),0)</f>
        <v>0</v>
      </c>
      <c s="388" r="DZ96"/>
      <c s="406" r="EA96"/>
      <c s="886" r="EB96"/>
      <c s="886" r="EC96"/>
      <c s="886" r="ED96"/>
      <c s="886" r="EE96"/>
      <c s="418" r="EF96"/>
      <c s="550" r="EG96"/>
      <c s="550" r="EH96"/>
      <c t="str" s="620" r="EI96">
        <f>IF((COUNT(EH96:EH$146,EJ96:EJ$146)=0),NA(),IF(ISBLANK(EH96),EI95,(EI95+(EH96-EJ95))))</f>
        <v>#N/A:explicit</v>
      </c>
      <c s="550" r="EJ96"/>
      <c t="str" s="620" r="EK96">
        <f>IF(OR(ISBLANK(EJ96),ISNUMBER(EH97)),NA(),(EI96-EJ96))</f>
        <v>#N/A:explicit</v>
      </c>
      <c t="b" s="895" r="EL96">
        <v>0</v>
      </c>
      <c s="631" r="EM96"/>
      <c t="str" s="309" r="EN96">
        <f>IF((COUNT(EG96:EG$146)=0),NA(),IF(ISBLANK(EG96),IF(ISBLANK(EG95),MAX(EG$46:EG96),EG95),EG96))</f>
        <v>#N/A:explicit</v>
      </c>
      <c t="str" s="861" r="EO96">
        <f>IF(ISNA(EK96),IF(ISNUMBER(EN96),EO95,NA()),EK96)</f>
        <v>#N/A:explicit</v>
      </c>
      <c s="861" r="EP96">
        <f>IF(ISNUMBER(EO96),EO96,(EI$46+1000))</f>
        <v>1000</v>
      </c>
      <c t="str" s="588" r="EQ96">
        <f>IF((EL96=TRUE),NA(),IF((EQ$44=(EI$46-MAX(EJ$46:EJ$146))),NA(),EQ$44))</f>
        <v>#N/A:explicit</v>
      </c>
      <c s="588" r="ER96">
        <f>IF((ISNA(((EO96*EN96)*EO95))),0,(IF((EN96&lt;EN95),-1,1)*(IF((EL95=FALSE),IF((EL96=FALSE),IF(ISNA(EO96),0,IF((EO95&lt;EQ$44),IF((EO96&lt;EQ$44),(((EN96-EN95)^2)^0.5),(((((EQ$44-EO95)*(EN96-EN95))/(EO96-EO95))^2)^0.5)),IF((EO96&lt;EQ$44),(((((EQ$44-EO96)*(EN96-EN95))/(EO95-EO96))^2)^0.5),0))),0),0))))</f>
        <v>0</v>
      </c>
      <c s="588" r="ES96">
        <f>IF(ISNA((EO96*EO95)),0,IF((EL95=FALSE),IF((EL96=FALSE),IF(ISNA(EK96),0,IF((EO95&lt;EQ$44),IF((EO96&lt;EQ$44),((EQ$44-((EO95+EO96)*0.5))*ER96),(((EQ$44-EO95)*0.5)*ER96)),IF((EO96&lt;EQ$44),(((EQ$44-EO96)*0.5)*ER96),0))),0),0))</f>
        <v>0</v>
      </c>
      <c s="588" r="ET96">
        <f>IF(ISNA((EO96*EO95)),0,IF((EL95=FALSE),IF((EL96=FALSE),IF(ISNA(EO96),0,IF((EO95&lt;EQ$44),IF((EO96&lt;EQ$44),(((ER96^2)+((EO96-EO95)^2))^0.5),(((ER96^2)+((EQ$44-EO95)^2))^0.5)),IF((EO96&lt;EQ$44),(((ER96^2)+((EQ$44-EO96)^2))^0.5),0))),0),0))</f>
        <v>0</v>
      </c>
      <c s="588" r="EU96">
        <f>IF(ISNUMBER((EO96*EO95)),IF((EO95&gt;=EA$148),IF((EO96&lt;EA$148),1,0),IF((EO96&gt;=EA$148),IF((EO95&lt;EA$148),1,0),0)),0)</f>
        <v>0</v>
      </c>
      <c s="588" r="EV96">
        <f>IF(ISNA((EO96*EO95)),0,(IF((EN96&lt;EN95),-1,1)*(IF(ISNA(EO96),0,IF((EO95&lt;EA$148),IF((EO96&lt;EA$148),(((EN96-EN95)^2)^0.5),(((((EA$148-EO95)*(EN96-EN95))/(EO96-EO95))^2)^0.5)),IF((EO96&lt;EA$148),(((((EA$148-EO96)*(EN96-EN95))/(EO95-EO96))^2)^0.5),0))))))</f>
        <v>0</v>
      </c>
      <c s="441" r="EW96">
        <f>IF((ES96&gt;0),(MAX(EW$47:EW95)+1),0)</f>
        <v>0</v>
      </c>
      <c s="388" r="EX96"/>
      <c s="406" r="EY96"/>
      <c s="886" r="EZ96"/>
      <c s="886" r="FA96"/>
      <c s="886" r="FB96"/>
      <c s="886" r="FC96"/>
      <c s="418" r="FD96"/>
      <c s="550" r="FE96"/>
      <c s="550" r="FF96"/>
      <c t="str" s="620" r="FG96">
        <f>IF((COUNT(FF96:FF$146,FH96:FH$146)=0),NA(),IF(ISBLANK(FF96),FG95,(FG95+(FF96-FH95))))</f>
        <v>#N/A:explicit</v>
      </c>
      <c s="550" r="FH96"/>
      <c t="str" s="620" r="FI96">
        <f>IF(OR(ISBLANK(FH96),ISNUMBER(FF97)),NA(),(FG96-FH96))</f>
        <v>#N/A:explicit</v>
      </c>
      <c t="b" s="895" r="FJ96">
        <v>0</v>
      </c>
      <c s="631" r="FK96"/>
      <c t="str" s="309" r="FL96">
        <f>IF((COUNT(FE96:FE$146)=0),NA(),IF(ISBLANK(FE96),IF(ISBLANK(FE95),MAX(FE$46:FE96),FE95),FE96))</f>
        <v>#N/A:explicit</v>
      </c>
      <c t="str" s="861" r="FM96">
        <f>IF(ISNA(FI96),IF(ISNUMBER(FL96),FM95,NA()),FI96)</f>
        <v>#N/A:explicit</v>
      </c>
      <c s="861" r="FN96">
        <f>IF(ISNUMBER(FM96),FM96,(FG$46+1000))</f>
        <v>1000</v>
      </c>
      <c t="str" s="588" r="FO96">
        <f>IF((FJ96=TRUE),NA(),IF((FO$44=(FG$46-MAX(FH$46:FH$146))),NA(),FO$44))</f>
        <v>#N/A:explicit</v>
      </c>
      <c s="588" r="FP96">
        <f>IF((ISNA(((FM96*FL96)*FM95))),0,(IF((FL96&lt;FL95),-1,1)*(IF((FJ95=FALSE),IF((FJ96=FALSE),IF(ISNA(FM96),0,IF((FM95&lt;FO$44),IF((FM96&lt;FO$44),(((FL96-FL95)^2)^0.5),(((((FO$44-FM95)*(FL96-FL95))/(FM96-FM95))^2)^0.5)),IF((FM96&lt;FO$44),(((((FO$44-FM96)*(FL96-FL95))/(FM95-FM96))^2)^0.5),0))),0),0))))</f>
        <v>0</v>
      </c>
      <c s="588" r="FQ96">
        <f>IF(ISNA((FM96*FM95)),0,IF((FJ95=FALSE),IF((FJ96=FALSE),IF(ISNA(FI96),0,IF((FM95&lt;FO$44),IF((FM96&lt;FO$44),((FO$44-((FM95+FM96)*0.5))*FP96),(((FO$44-FM95)*0.5)*FP96)),IF((FM96&lt;FO$44),(((FO$44-FM96)*0.5)*FP96),0))),0),0))</f>
        <v>0</v>
      </c>
      <c s="588" r="FR96">
        <f>IF(ISNA((FM96*FM95)),0,IF((FJ95=FALSE),IF((FJ96=FALSE),IF(ISNA(FM96),0,IF((FM95&lt;FO$44),IF((FM96&lt;FO$44),(((FP96^2)+((FM96-FM95)^2))^0.5),(((FP96^2)+((FO$44-FM95)^2))^0.5)),IF((FM96&lt;FO$44),(((FP96^2)+((FO$44-FM96)^2))^0.5),0))),0),0))</f>
        <v>0</v>
      </c>
      <c s="588" r="FS96">
        <f>IF(ISNUMBER((FM96*FM95)),IF((FM95&gt;=EY$148),IF((FM96&lt;EY$148),1,0),IF((FM96&gt;=EY$148),IF((FM95&lt;EY$148),1,0),0)),0)</f>
        <v>0</v>
      </c>
      <c s="588" r="FT96">
        <f>IF(ISNA((FM96*FM95)),0,(IF((FL96&lt;FL95),-1,1)*(IF(ISNA(FM96),0,IF((FM95&lt;EY$148),IF((FM96&lt;EY$148),(((FL96-FL95)^2)^0.5),(((((EY$148-FM95)*(FL96-FL95))/(FM96-FM95))^2)^0.5)),IF((FM96&lt;EY$148),(((((EY$148-FM96)*(FL96-FL95))/(FM95-FM96))^2)^0.5),0))))))</f>
        <v>0</v>
      </c>
      <c s="441" r="FU96">
        <f>IF((FQ96&gt;0),(MAX(FU$47:FU95)+1),0)</f>
        <v>0</v>
      </c>
      <c s="222" r="FV96"/>
      <c s="125" r="FW96"/>
      <c s="125" r="FX96"/>
      <c s="125" r="FY96"/>
      <c s="125" r="FZ96"/>
      <c s="125" r="GA96"/>
      <c s="125" r="GB96"/>
      <c s="125" r="GC96"/>
      <c s="125" r="GD96"/>
      <c s="125" r="GE96"/>
      <c s="125" r="GF96"/>
      <c s="125" r="GG96"/>
      <c s="125" r="GH96"/>
      <c s="125" r="GI96"/>
      <c s="125" r="GJ96"/>
      <c s="125" r="GK96"/>
      <c s="125" r="GL96"/>
      <c s="125" r="GM96"/>
      <c s="125" r="GN96"/>
      <c s="125" r="GO96"/>
      <c s="125" r="GP96"/>
      <c s="125" r="GQ96"/>
      <c s="125" r="GR96"/>
      <c s="125" r="GS96"/>
      <c s="125" r="GT96"/>
      <c s="125" r="GU96"/>
      <c s="125" r="GV96"/>
      <c s="125" r="GW96"/>
      <c s="125" r="GX96"/>
      <c s="125" r="GY96"/>
      <c s="125" r="GZ96"/>
      <c s="125" r="HA96"/>
      <c s="125" r="HB96"/>
    </row>
    <row r="97">
      <c s="822" r="A97"/>
      <c s="908" r="B97"/>
      <c s="551" r="C97"/>
      <c s="551" r="D97"/>
      <c t="str" s="812" r="E97">
        <f>"max depth pool "&amp;IF((H4=2),"(m)","(ft)")</f>
        <v>max depth pool (ft)</v>
      </c>
      <c t="str" s="719" r="F97">
        <f>IF(ISBLANK(E63),IF(ISNUMBER(E64),E64,"---"),E63)</f>
        <v>---</v>
      </c>
      <c t="str" s="286" r="G97">
        <f>IF(ISBLANK(G63),IF(ISNUMBER(G64),G64,"---"),G63)</f>
        <v>---</v>
      </c>
      <c t="str" s="224" r="H97">
        <f>IF(ISBLANK(H63),IF(ISNUMBER(H64),H64,"---"),H63)</f>
        <v>---</v>
      </c>
      <c s="51" r="I97"/>
      <c s="822" r="J97"/>
      <c s="406" r="K97"/>
      <c s="886" r="L97"/>
      <c s="886" r="M97"/>
      <c s="886" r="N97"/>
      <c s="886" r="O97"/>
      <c s="418" r="P97"/>
      <c s="550" r="Q97"/>
      <c s="550" r="R97"/>
      <c t="str" s="620" r="S97">
        <f>IF((COUNT(R97:R$146,T97:T$146)=0),NA(),IF(ISBLANK(R97),S96,(S96+(R97-T96))))</f>
        <v>#N/A:explicit</v>
      </c>
      <c s="550" r="T97"/>
      <c t="str" s="620" r="U97">
        <f>IF(OR(ISBLANK(T97),ISNUMBER(R98)),NA(),(S97-T97))</f>
        <v>#N/A:explicit</v>
      </c>
      <c t="b" s="895" r="V97">
        <v>0</v>
      </c>
      <c s="631" r="W97"/>
      <c t="str" s="309" r="X97">
        <f>IF((COUNT(Q97:Q$146)=0),NA(),IF(ISBLANK(Q97),IF(ISBLANK(Q96),MAX(Q$46:Q97),Q96),Q97))</f>
        <v>#N/A:explicit</v>
      </c>
      <c t="str" s="861" r="Y97">
        <f>IF(ISNA(U97),IF(ISNUMBER(X97),Y96,NA()),U97)</f>
        <v>#N/A:explicit</v>
      </c>
      <c s="861" r="Z97">
        <f>IF(ISNUMBER(Y97),Y97,(S$46+1000))</f>
        <v>1000</v>
      </c>
      <c t="str" s="588" r="AA97">
        <f>IF((V97=TRUE),NA(),IF((AA$44=(S$46-MAX(T$46:T$146))),NA(),AA$44))</f>
        <v>#N/A:explicit</v>
      </c>
      <c s="588" r="AB97">
        <f>IF((ISNA(((Y97*X97)*Y96))),0,(IF((X97&lt;X96),-1,1)*(IF((V96=FALSE),IF((V97=FALSE),IF(ISNA(Y97),0,IF((Y96&lt;AA$44),IF((Y97&lt;AA$44),(((X97-X96)^2)^0.5),(((((AA$44-Y96)*(X97-X96))/(Y97-Y96))^2)^0.5)),IF((Y97&lt;AA$44),(((((AA$44-Y97)*(X97-X96))/(Y96-Y97))^2)^0.5),0))),0),0))))</f>
        <v>0</v>
      </c>
      <c s="588" r="AC97">
        <f>IF(ISNA((Y97*Y96)),0,IF((V96=FALSE),IF((V97=FALSE),IF(ISNA(U97),0,IF((Y96&lt;AA$44),IF((Y97&lt;AA$44),((AA$44-((Y96+Y97)*0.5))*AB97),(((AA$44-Y96)*0.5)*AB97)),IF((Y97&lt;AA$44),(((AA$44-Y97)*0.5)*AB97),0))),0),0))</f>
        <v>0</v>
      </c>
      <c s="588" r="AD97">
        <f>IF(ISNA((Y97*Y96)),0,IF((V96=FALSE),IF((V97=FALSE),IF(ISNA(Y97),0,IF((Y96&lt;AA$44),IF((Y97&lt;AA$44),(((AB97^2)+((Y97-Y96)^2))^0.5),(((AB97^2)+((AA$44-Y96)^2))^0.5)),IF((Y97&lt;AA$44),(((AB97^2)+((AA$44-Y97)^2))^0.5),0))),0),0))</f>
        <v>0</v>
      </c>
      <c s="588" r="AE97">
        <f>IF(ISNUMBER((Y97*Y96)),IF((Y96&gt;=K$148),IF((Y97&lt;K$148),1,0),IF((Y97&gt;=K$148),IF((Y96&lt;K$148),1,0),0)),0)</f>
        <v>0</v>
      </c>
      <c s="588" r="AF97">
        <f>IF(ISNA((Y97*Y96)),0,(IF((X97&lt;X96),-1,1)*(IF(ISNA(Y97),0,IF((Y96&lt;K$148),IF((Y97&lt;K$148),(((X97-X96)^2)^0.5),(((((K$148-Y96)*(X97-X96))/(Y97-Y96))^2)^0.5)),IF((Y97&lt;K$148),(((((K$148-Y97)*(X97-X96))/(Y96-Y97))^2)^0.5),0))))))</f>
        <v>0</v>
      </c>
      <c s="441" r="AG97">
        <f>IF((AC97&gt;0),(MAX(AG$47:AG96)+1),0)</f>
        <v>0</v>
      </c>
      <c s="388" r="AH97"/>
      <c s="406" r="AI97"/>
      <c s="886" r="AJ97"/>
      <c s="886" r="AK97"/>
      <c s="886" r="AL97"/>
      <c s="886" r="AM97"/>
      <c s="418" r="AN97"/>
      <c s="550" r="AO97"/>
      <c s="550" r="AP97"/>
      <c t="str" s="620" r="AQ97">
        <f>IF((COUNT(AP97:AP$146,AR97:AR$146)=0),NA(),IF(ISBLANK(AP97),AQ96,(AQ96+(AP97-AR96))))</f>
        <v>#N/A:explicit</v>
      </c>
      <c s="550" r="AR97"/>
      <c t="str" s="620" r="AS97">
        <f>IF(OR(ISBLANK(AR97),ISNUMBER(AP98)),NA(),(AQ97-AR97))</f>
        <v>#N/A:explicit</v>
      </c>
      <c t="b" s="895" r="AT97">
        <v>0</v>
      </c>
      <c s="631" r="AU97"/>
      <c t="str" s="309" r="AV97">
        <f>IF((COUNT(AO97:AO$146)=0),NA(),IF(ISBLANK(AO97),IF(ISBLANK(AO96),MAX(AO$46:AO97),AO96),AO97))</f>
        <v>#N/A:explicit</v>
      </c>
      <c t="str" s="861" r="AW97">
        <f>IF(ISNA(AS97),IF(ISNUMBER(AV97),AW96,NA()),AS97)</f>
        <v>#N/A:explicit</v>
      </c>
      <c s="861" r="AX97">
        <f>IF(ISNUMBER(AW97),AW97,(AQ$46+1000))</f>
        <v>1000</v>
      </c>
      <c t="str" s="588" r="AY97">
        <f>IF((AT97=TRUE),NA(),IF((AY$44=(AQ$46-MAX(AR$46:AR$146))),NA(),AY$44))</f>
        <v>#N/A:explicit</v>
      </c>
      <c s="588" r="AZ97">
        <f>IF((ISNA(((AW97*AV97)*AW96))),0,(IF((AV97&lt;AV96),-1,1)*(IF((AT96=FALSE),IF((AT97=FALSE),IF(ISNA(AW97),0,IF((AW96&lt;AY$44),IF((AW97&lt;AY$44),(((AV97-AV96)^2)^0.5),(((((AY$44-AW96)*(AV97-AV96))/(AW97-AW96))^2)^0.5)),IF((AW97&lt;AY$44),(((((AY$44-AW97)*(AV97-AV96))/(AW96-AW97))^2)^0.5),0))),0),0))))</f>
        <v>0</v>
      </c>
      <c s="588" r="BA97">
        <f>IF(ISNA((AW97*AW96)),0,IF((AT96=FALSE),IF((AT97=FALSE),IF(ISNA(AS97),0,IF((AW96&lt;AY$44),IF((AW97&lt;AY$44),((AY$44-((AW96+AW97)*0.5))*AZ97),(((AY$44-AW96)*0.5)*AZ97)),IF((AW97&lt;AY$44),(((AY$44-AW97)*0.5)*AZ97),0))),0),0))</f>
        <v>0</v>
      </c>
      <c s="588" r="BB97">
        <f>IF(ISNA((AW97*AW96)),0,IF((AT96=FALSE),IF((AT97=FALSE),IF(ISNA(AW97),0,IF((AW96&lt;AY$44),IF((AW97&lt;AY$44),(((AZ97^2)+((AW97-AW96)^2))^0.5),(((AZ97^2)+((AY$44-AW96)^2))^0.5)),IF((AW97&lt;AY$44),(((AZ97^2)+((AY$44-AW97)^2))^0.5),0))),0),0))</f>
        <v>0</v>
      </c>
      <c s="588" r="BC97">
        <f>IF(ISNUMBER((AW97*AW96)),IF((AW96&gt;=AI$148),IF((AW97&lt;AI$148),1,0),IF((AW97&gt;=AI$148),IF((AW96&lt;AI$148),1,0),0)),0)</f>
        <v>0</v>
      </c>
      <c s="588" r="BD97">
        <f>IF(ISNA((AW97*AW96)),0,(IF((AV97&lt;AV96),-1,1)*(IF(ISNA(AW97),0,IF((AW96&lt;AI$148),IF((AW97&lt;AI$148),(((AV97-AV96)^2)^0.5),(((((AI$148-AW96)*(AV97-AV96))/(AW97-AW96))^2)^0.5)),IF((AW97&lt;AI$148),(((((AI$148-AW97)*(AV97-AV96))/(AW96-AW97))^2)^0.5),0))))))</f>
        <v>0</v>
      </c>
      <c s="441" r="BE97">
        <f>IF((BA97&gt;0),(MAX(BE$47:BE96)+1),0)</f>
        <v>0</v>
      </c>
      <c s="388" r="BF97"/>
      <c s="406" r="BG97"/>
      <c s="886" r="BH97"/>
      <c s="886" r="BI97"/>
      <c s="886" r="BJ97"/>
      <c s="886" r="BK97"/>
      <c s="418" r="BL97"/>
      <c s="550" r="BM97"/>
      <c s="550" r="BN97"/>
      <c t="str" s="620" r="BO97">
        <f>IF((COUNT(BN97:BN$146,BP97:BP$146)=0),NA(),IF(ISBLANK(BN97),BO96,(BO96+(BN97-BP96))))</f>
        <v>#N/A:explicit</v>
      </c>
      <c s="550" r="BP97"/>
      <c t="str" s="620" r="BQ97">
        <f>IF(OR(ISBLANK(BP97),ISNUMBER(BN98)),NA(),(BO97-BP97))</f>
        <v>#N/A:explicit</v>
      </c>
      <c t="b" s="895" r="BR97">
        <v>0</v>
      </c>
      <c s="631" r="BS97"/>
      <c t="str" s="309" r="BT97">
        <f>IF((COUNT(BM97:BM$146)=0),NA(),IF(ISBLANK(BM97),IF(ISBLANK(BM96),MAX(BM$46:BM97),BM96),BM97))</f>
        <v>#N/A:explicit</v>
      </c>
      <c t="str" s="861" r="BU97">
        <f>IF(ISNA(BQ97),IF(ISNUMBER(BT97),BU96,NA()),BQ97)</f>
        <v>#N/A:explicit</v>
      </c>
      <c s="861" r="BV97">
        <f>IF(ISNUMBER(BU97),BU97,(BO$46+1000))</f>
        <v>1000</v>
      </c>
      <c t="str" s="588" r="BW97">
        <f>IF((BR97=TRUE),NA(),IF((BW$44=(BO$46-MAX(BP$46:BP$146))),NA(),BW$44))</f>
        <v>#N/A:explicit</v>
      </c>
      <c s="588" r="BX97">
        <f>IF((ISNA(((BU97*BT97)*BU96))),0,(IF((BT97&lt;BT96),-1,1)*(IF((BR96=FALSE),IF((BR97=FALSE),IF(ISNA(BU97),0,IF((BU96&lt;BW$44),IF((BU97&lt;BW$44),(((BT97-BT96)^2)^0.5),(((((BW$44-BU96)*(BT97-BT96))/(BU97-BU96))^2)^0.5)),IF((BU97&lt;BW$44),(((((BW$44-BU97)*(BT97-BT96))/(BU96-BU97))^2)^0.5),0))),0),0))))</f>
        <v>0</v>
      </c>
      <c s="588" r="BY97">
        <f>IF(ISNA((BU97*BU96)),0,IF((BR96=FALSE),IF((BR97=FALSE),IF(ISNA(BQ97),0,IF((BU96&lt;BW$44),IF((BU97&lt;BW$44),((BW$44-((BU96+BU97)*0.5))*BX97),(((BW$44-BU96)*0.5)*BX97)),IF((BU97&lt;BW$44),(((BW$44-BU97)*0.5)*BX97),0))),0),0))</f>
        <v>0</v>
      </c>
      <c s="588" r="BZ97">
        <f>IF(ISNA((BU97*BU96)),0,IF((BR96=FALSE),IF((BR97=FALSE),IF(ISNA(BU97),0,IF((BU96&lt;BW$44),IF((BU97&lt;BW$44),(((BX97^2)+((BU97-BU96)^2))^0.5),(((BX97^2)+((BW$44-BU96)^2))^0.5)),IF((BU97&lt;BW$44),(((BX97^2)+((BW$44-BU97)^2))^0.5),0))),0),0))</f>
        <v>0</v>
      </c>
      <c s="588" r="CA97">
        <f>IF(ISNUMBER((BU97*BU96)),IF((BU96&gt;=BG$148),IF((BU97&lt;BG$148),1,0),IF((BU97&gt;=BG$148),IF((BU96&lt;BG$148),1,0),0)),0)</f>
        <v>0</v>
      </c>
      <c s="588" r="CB97">
        <f>IF(ISNA((BU97*BU96)),0,(IF((BT97&lt;BT96),-1,1)*(IF(ISNA(BU97),0,IF((BU96&lt;BG$148),IF((BU97&lt;BG$148),(((BT97-BT96)^2)^0.5),(((((BG$148-BU96)*(BT97-BT96))/(BU97-BU96))^2)^0.5)),IF((BU97&lt;BG$148),(((((BG$148-BU97)*(BT97-BT96))/(BU96-BU97))^2)^0.5),0))))))</f>
        <v>0</v>
      </c>
      <c s="441" r="CC97">
        <f>IF((BY97&gt;0),(MAX(CC$47:CC96)+1),0)</f>
        <v>0</v>
      </c>
      <c s="388" r="CD97"/>
      <c s="406" r="CE97"/>
      <c s="886" r="CF97"/>
      <c s="886" r="CG97"/>
      <c s="886" r="CH97"/>
      <c s="886" r="CI97"/>
      <c s="418" r="CJ97"/>
      <c s="550" r="CK97"/>
      <c s="550" r="CL97"/>
      <c t="str" s="620" r="CM97">
        <f>IF((COUNT(CL97:CL$146,CN97:CN$146)=0),NA(),IF(ISBLANK(CL97),CM96,(CM96+(CL97-CN96))))</f>
        <v>#N/A:explicit</v>
      </c>
      <c s="550" r="CN97"/>
      <c t="str" s="620" r="CO97">
        <f>IF(OR(ISBLANK(CN97),ISNUMBER(CL98)),NA(),(CM97-CN97))</f>
        <v>#N/A:explicit</v>
      </c>
      <c t="b" s="895" r="CP97">
        <v>0</v>
      </c>
      <c s="631" r="CQ97"/>
      <c t="str" s="309" r="CR97">
        <f>IF((COUNT(CK97:CK$146)=0),NA(),IF(ISBLANK(CK97),IF(ISBLANK(CK96),MAX(CK$46:CK97),CK96),CK97))</f>
        <v>#N/A:explicit</v>
      </c>
      <c t="str" s="861" r="CS97">
        <f>IF(ISNA(CO97),IF(ISNUMBER(CR97),CS96,NA()),CO97)</f>
        <v>#N/A:explicit</v>
      </c>
      <c s="861" r="CT97">
        <f>IF(ISNUMBER(CS97),CS97,(CM$46+1000))</f>
        <v>1000</v>
      </c>
      <c t="str" s="588" r="CU97">
        <f>IF((CP97=TRUE),NA(),IF((CU$44=(CM$46-MAX(CN$46:CN$146))),NA(),CU$44))</f>
        <v>#N/A:explicit</v>
      </c>
      <c s="588" r="CV97">
        <f>IF((ISNA(((CS97*CR97)*CS96))),0,(IF((CR97&lt;CR96),-1,1)*(IF((CP96=FALSE),IF((CP97=FALSE),IF(ISNA(CS97),0,IF((CS96&lt;CU$44),IF((CS97&lt;CU$44),(((CR97-CR96)^2)^0.5),(((((CU$44-CS96)*(CR97-CR96))/(CS97-CS96))^2)^0.5)),IF((CS97&lt;CU$44),(((((CU$44-CS97)*(CR97-CR96))/(CS96-CS97))^2)^0.5),0))),0),0))))</f>
        <v>0</v>
      </c>
      <c s="588" r="CW97">
        <f>IF(ISNA((CS97*CS96)),0,IF((CP96=FALSE),IF((CP97=FALSE),IF(ISNA(CO97),0,IF((CS96&lt;CU$44),IF((CS97&lt;CU$44),((CU$44-((CS96+CS97)*0.5))*CV97),(((CU$44-CS96)*0.5)*CV97)),IF((CS97&lt;CU$44),(((CU$44-CS97)*0.5)*CV97),0))),0),0))</f>
        <v>0</v>
      </c>
      <c s="588" r="CX97">
        <f>IF(ISNA((CS97*CS96)),0,IF((CP96=FALSE),IF((CP97=FALSE),IF(ISNA(CS97),0,IF((CS96&lt;CU$44),IF((CS97&lt;CU$44),(((CV97^2)+((CS97-CS96)^2))^0.5),(((CV97^2)+((CU$44-CS96)^2))^0.5)),IF((CS97&lt;CU$44),(((CV97^2)+((CU$44-CS97)^2))^0.5),0))),0),0))</f>
        <v>0</v>
      </c>
      <c s="588" r="CY97">
        <f>IF(ISNUMBER((CS97*CS96)),IF((CS96&gt;=CE$148),IF((CS97&lt;CE$148),1,0),IF((CS97&gt;=CE$148),IF((CS96&lt;CE$148),1,0),0)),0)</f>
        <v>0</v>
      </c>
      <c s="588" r="CZ97">
        <f>IF(ISNA((CS97*CS96)),0,(IF((CR97&lt;CR96),-1,1)*(IF(ISNA(CS97),0,IF((CS96&lt;CE$148),IF((CS97&lt;CE$148),(((CR97-CR96)^2)^0.5),(((((CE$148-CS96)*(CR97-CR96))/(CS97-CS96))^2)^0.5)),IF((CS97&lt;CE$148),(((((CE$148-CS97)*(CR97-CR96))/(CS96-CS97))^2)^0.5),0))))))</f>
        <v>0</v>
      </c>
      <c s="441" r="DA97">
        <f>IF((CW97&gt;0),(MAX(DA$47:DA96)+1),0)</f>
        <v>0</v>
      </c>
      <c s="388" r="DB97"/>
      <c s="406" r="DC97"/>
      <c s="886" r="DD97"/>
      <c s="886" r="DE97"/>
      <c s="886" r="DF97"/>
      <c s="886" r="DG97"/>
      <c s="418" r="DH97"/>
      <c s="550" r="DI97"/>
      <c s="550" r="DJ97"/>
      <c t="str" s="620" r="DK97">
        <f>IF((COUNT(DJ97:DJ$146,DL97:DL$146)=0),NA(),IF(ISBLANK(DJ97),DK96,(DK96+(DJ97-DL96))))</f>
        <v>#N/A:explicit</v>
      </c>
      <c s="550" r="DL97"/>
      <c t="str" s="620" r="DM97">
        <f>IF(OR(ISBLANK(DL97),ISNUMBER(DJ98)),NA(),(DK97-DL97))</f>
        <v>#N/A:explicit</v>
      </c>
      <c t="b" s="895" r="DN97">
        <v>0</v>
      </c>
      <c s="631" r="DO97"/>
      <c t="str" s="309" r="DP97">
        <f>IF((COUNT(DI97:DI$146)=0),NA(),IF(ISBLANK(DI97),IF(ISBLANK(DI96),MAX(DI$46:DI97),DI96),DI97))</f>
        <v>#N/A:explicit</v>
      </c>
      <c t="str" s="861" r="DQ97">
        <f>IF(ISNA(DM97),IF(ISNUMBER(DP97),DQ96,NA()),DM97)</f>
        <v>#N/A:explicit</v>
      </c>
      <c s="861" r="DR97">
        <f>IF(ISNUMBER(DQ97),DQ97,(DK$46+1000))</f>
        <v>1000</v>
      </c>
      <c t="str" s="588" r="DS97">
        <f>IF((DN97=TRUE),NA(),IF((DS$44=(DK$46-MAX(DL$46:DL$146))),NA(),DS$44))</f>
        <v>#N/A:explicit</v>
      </c>
      <c s="588" r="DT97">
        <f>IF((ISNA(((DQ97*DP97)*DQ96))),0,(IF((DP97&lt;DP96),-1,1)*(IF((DN96=FALSE),IF((DN97=FALSE),IF(ISNA(DQ97),0,IF((DQ96&lt;DS$44),IF((DQ97&lt;DS$44),(((DP97-DP96)^2)^0.5),(((((DS$44-DQ96)*(DP97-DP96))/(DQ97-DQ96))^2)^0.5)),IF((DQ97&lt;DS$44),(((((DS$44-DQ97)*(DP97-DP96))/(DQ96-DQ97))^2)^0.5),0))),0),0))))</f>
        <v>0</v>
      </c>
      <c s="588" r="DU97">
        <f>IF(ISNA((DQ97*DQ96)),0,IF((DN96=FALSE),IF((DN97=FALSE),IF(ISNA(DM97),0,IF((DQ96&lt;DS$44),IF((DQ97&lt;DS$44),((DS$44-((DQ96+DQ97)*0.5))*DT97),(((DS$44-DQ96)*0.5)*DT97)),IF((DQ97&lt;DS$44),(((DS$44-DQ97)*0.5)*DT97),0))),0),0))</f>
        <v>0</v>
      </c>
      <c s="588" r="DV97">
        <f>IF(ISNA((DQ97*DQ96)),0,IF((DN96=FALSE),IF((DN97=FALSE),IF(ISNA(DQ97),0,IF((DQ96&lt;DS$44),IF((DQ97&lt;DS$44),(((DT97^2)+((DQ97-DQ96)^2))^0.5),(((DT97^2)+((DS$44-DQ96)^2))^0.5)),IF((DQ97&lt;DS$44),(((DT97^2)+((DS$44-DQ97)^2))^0.5),0))),0),0))</f>
        <v>0</v>
      </c>
      <c s="588" r="DW97">
        <f>IF(ISNUMBER((DQ97*DQ96)),IF((DQ96&gt;=DC$148),IF((DQ97&lt;DC$148),1,0),IF((DQ97&gt;=DC$148),IF((DQ96&lt;DC$148),1,0),0)),0)</f>
        <v>0</v>
      </c>
      <c s="588" r="DX97">
        <f>IF(ISNA((DQ97*DQ96)),0,(IF((DP97&lt;DP96),-1,1)*(IF(ISNA(DQ97),0,IF((DQ96&lt;DC$148),IF((DQ97&lt;DC$148),(((DP97-DP96)^2)^0.5),(((((DC$148-DQ96)*(DP97-DP96))/(DQ97-DQ96))^2)^0.5)),IF((DQ97&lt;DC$148),(((((DC$148-DQ97)*(DP97-DP96))/(DQ96-DQ97))^2)^0.5),0))))))</f>
        <v>0</v>
      </c>
      <c s="441" r="DY97">
        <f>IF((DU97&gt;0),(MAX(DY$47:DY96)+1),0)</f>
        <v>0</v>
      </c>
      <c s="388" r="DZ97"/>
      <c s="406" r="EA97"/>
      <c s="886" r="EB97"/>
      <c s="886" r="EC97"/>
      <c s="886" r="ED97"/>
      <c s="886" r="EE97"/>
      <c s="418" r="EF97"/>
      <c s="550" r="EG97"/>
      <c s="550" r="EH97"/>
      <c t="str" s="620" r="EI97">
        <f>IF((COUNT(EH97:EH$146,EJ97:EJ$146)=0),NA(),IF(ISBLANK(EH97),EI96,(EI96+(EH97-EJ96))))</f>
        <v>#N/A:explicit</v>
      </c>
      <c s="550" r="EJ97"/>
      <c t="str" s="620" r="EK97">
        <f>IF(OR(ISBLANK(EJ97),ISNUMBER(EH98)),NA(),(EI97-EJ97))</f>
        <v>#N/A:explicit</v>
      </c>
      <c t="b" s="895" r="EL97">
        <v>0</v>
      </c>
      <c s="631" r="EM97"/>
      <c t="str" s="309" r="EN97">
        <f>IF((COUNT(EG97:EG$146)=0),NA(),IF(ISBLANK(EG97),IF(ISBLANK(EG96),MAX(EG$46:EG97),EG96),EG97))</f>
        <v>#N/A:explicit</v>
      </c>
      <c t="str" s="861" r="EO97">
        <f>IF(ISNA(EK97),IF(ISNUMBER(EN97),EO96,NA()),EK97)</f>
        <v>#N/A:explicit</v>
      </c>
      <c s="861" r="EP97">
        <f>IF(ISNUMBER(EO97),EO97,(EI$46+1000))</f>
        <v>1000</v>
      </c>
      <c t="str" s="588" r="EQ97">
        <f>IF((EL97=TRUE),NA(),IF((EQ$44=(EI$46-MAX(EJ$46:EJ$146))),NA(),EQ$44))</f>
        <v>#N/A:explicit</v>
      </c>
      <c s="588" r="ER97">
        <f>IF((ISNA(((EO97*EN97)*EO96))),0,(IF((EN97&lt;EN96),-1,1)*(IF((EL96=FALSE),IF((EL97=FALSE),IF(ISNA(EO97),0,IF((EO96&lt;EQ$44),IF((EO97&lt;EQ$44),(((EN97-EN96)^2)^0.5),(((((EQ$44-EO96)*(EN97-EN96))/(EO97-EO96))^2)^0.5)),IF((EO97&lt;EQ$44),(((((EQ$44-EO97)*(EN97-EN96))/(EO96-EO97))^2)^0.5),0))),0),0))))</f>
        <v>0</v>
      </c>
      <c s="588" r="ES97">
        <f>IF(ISNA((EO97*EO96)),0,IF((EL96=FALSE),IF((EL97=FALSE),IF(ISNA(EK97),0,IF((EO96&lt;EQ$44),IF((EO97&lt;EQ$44),((EQ$44-((EO96+EO97)*0.5))*ER97),(((EQ$44-EO96)*0.5)*ER97)),IF((EO97&lt;EQ$44),(((EQ$44-EO97)*0.5)*ER97),0))),0),0))</f>
        <v>0</v>
      </c>
      <c s="588" r="ET97">
        <f>IF(ISNA((EO97*EO96)),0,IF((EL96=FALSE),IF((EL97=FALSE),IF(ISNA(EO97),0,IF((EO96&lt;EQ$44),IF((EO97&lt;EQ$44),(((ER97^2)+((EO97-EO96)^2))^0.5),(((ER97^2)+((EQ$44-EO96)^2))^0.5)),IF((EO97&lt;EQ$44),(((ER97^2)+((EQ$44-EO97)^2))^0.5),0))),0),0))</f>
        <v>0</v>
      </c>
      <c s="588" r="EU97">
        <f>IF(ISNUMBER((EO97*EO96)),IF((EO96&gt;=EA$148),IF((EO97&lt;EA$148),1,0),IF((EO97&gt;=EA$148),IF((EO96&lt;EA$148),1,0),0)),0)</f>
        <v>0</v>
      </c>
      <c s="588" r="EV97">
        <f>IF(ISNA((EO97*EO96)),0,(IF((EN97&lt;EN96),-1,1)*(IF(ISNA(EO97),0,IF((EO96&lt;EA$148),IF((EO97&lt;EA$148),(((EN97-EN96)^2)^0.5),(((((EA$148-EO96)*(EN97-EN96))/(EO97-EO96))^2)^0.5)),IF((EO97&lt;EA$148),(((((EA$148-EO97)*(EN97-EN96))/(EO96-EO97))^2)^0.5),0))))))</f>
        <v>0</v>
      </c>
      <c s="441" r="EW97">
        <f>IF((ES97&gt;0),(MAX(EW$47:EW96)+1),0)</f>
        <v>0</v>
      </c>
      <c s="388" r="EX97"/>
      <c s="406" r="EY97"/>
      <c s="886" r="EZ97"/>
      <c s="886" r="FA97"/>
      <c s="886" r="FB97"/>
      <c s="886" r="FC97"/>
      <c s="418" r="FD97"/>
      <c s="550" r="FE97"/>
      <c s="550" r="FF97"/>
      <c t="str" s="620" r="FG97">
        <f>IF((COUNT(FF97:FF$146,FH97:FH$146)=0),NA(),IF(ISBLANK(FF97),FG96,(FG96+(FF97-FH96))))</f>
        <v>#N/A:explicit</v>
      </c>
      <c s="550" r="FH97"/>
      <c t="str" s="620" r="FI97">
        <f>IF(OR(ISBLANK(FH97),ISNUMBER(FF98)),NA(),(FG97-FH97))</f>
        <v>#N/A:explicit</v>
      </c>
      <c t="b" s="895" r="FJ97">
        <v>0</v>
      </c>
      <c s="631" r="FK97"/>
      <c t="str" s="309" r="FL97">
        <f>IF((COUNT(FE97:FE$146)=0),NA(),IF(ISBLANK(FE97),IF(ISBLANK(FE96),MAX(FE$46:FE97),FE96),FE97))</f>
        <v>#N/A:explicit</v>
      </c>
      <c t="str" s="861" r="FM97">
        <f>IF(ISNA(FI97),IF(ISNUMBER(FL97),FM96,NA()),FI97)</f>
        <v>#N/A:explicit</v>
      </c>
      <c s="861" r="FN97">
        <f>IF(ISNUMBER(FM97),FM97,(FG$46+1000))</f>
        <v>1000</v>
      </c>
      <c t="str" s="588" r="FO97">
        <f>IF((FJ97=TRUE),NA(),IF((FO$44=(FG$46-MAX(FH$46:FH$146))),NA(),FO$44))</f>
        <v>#N/A:explicit</v>
      </c>
      <c s="588" r="FP97">
        <f>IF((ISNA(((FM97*FL97)*FM96))),0,(IF((FL97&lt;FL96),-1,1)*(IF((FJ96=FALSE),IF((FJ97=FALSE),IF(ISNA(FM97),0,IF((FM96&lt;FO$44),IF((FM97&lt;FO$44),(((FL97-FL96)^2)^0.5),(((((FO$44-FM96)*(FL97-FL96))/(FM97-FM96))^2)^0.5)),IF((FM97&lt;FO$44),(((((FO$44-FM97)*(FL97-FL96))/(FM96-FM97))^2)^0.5),0))),0),0))))</f>
        <v>0</v>
      </c>
      <c s="588" r="FQ97">
        <f>IF(ISNA((FM97*FM96)),0,IF((FJ96=FALSE),IF((FJ97=FALSE),IF(ISNA(FI97),0,IF((FM96&lt;FO$44),IF((FM97&lt;FO$44),((FO$44-((FM96+FM97)*0.5))*FP97),(((FO$44-FM96)*0.5)*FP97)),IF((FM97&lt;FO$44),(((FO$44-FM97)*0.5)*FP97),0))),0),0))</f>
        <v>0</v>
      </c>
      <c s="588" r="FR97">
        <f>IF(ISNA((FM97*FM96)),0,IF((FJ96=FALSE),IF((FJ97=FALSE),IF(ISNA(FM97),0,IF((FM96&lt;FO$44),IF((FM97&lt;FO$44),(((FP97^2)+((FM97-FM96)^2))^0.5),(((FP97^2)+((FO$44-FM96)^2))^0.5)),IF((FM97&lt;FO$44),(((FP97^2)+((FO$44-FM97)^2))^0.5),0))),0),0))</f>
        <v>0</v>
      </c>
      <c s="588" r="FS97">
        <f>IF(ISNUMBER((FM97*FM96)),IF((FM96&gt;=EY$148),IF((FM97&lt;EY$148),1,0),IF((FM97&gt;=EY$148),IF((FM96&lt;EY$148),1,0),0)),0)</f>
        <v>0</v>
      </c>
      <c s="588" r="FT97">
        <f>IF(ISNA((FM97*FM96)),0,(IF((FL97&lt;FL96),-1,1)*(IF(ISNA(FM97),0,IF((FM96&lt;EY$148),IF((FM97&lt;EY$148),(((FL97-FL96)^2)^0.5),(((((EY$148-FM96)*(FL97-FL96))/(FM97-FM96))^2)^0.5)),IF((FM97&lt;EY$148),(((((EY$148-FM97)*(FL97-FL96))/(FM96-FM97))^2)^0.5),0))))))</f>
        <v>0</v>
      </c>
      <c s="441" r="FU97">
        <f>IF((FQ97&gt;0),(MAX(FU$47:FU96)+1),0)</f>
        <v>0</v>
      </c>
      <c s="222" r="FV97"/>
      <c s="125" r="FW97"/>
      <c s="125" r="FX97"/>
      <c s="125" r="FY97"/>
      <c s="125" r="FZ97"/>
      <c s="125" r="GA97"/>
      <c s="125" r="GB97"/>
      <c s="125" r="GC97"/>
      <c s="125" r="GD97"/>
      <c s="125" r="GE97"/>
      <c s="125" r="GF97"/>
      <c s="125" r="GG97"/>
      <c s="125" r="GH97"/>
      <c s="125" r="GI97"/>
      <c s="125" r="GJ97"/>
      <c s="125" r="GK97"/>
      <c s="125" r="GL97"/>
      <c s="125" r="GM97"/>
      <c s="125" r="GN97"/>
      <c s="125" r="GO97"/>
      <c s="125" r="GP97"/>
      <c s="761" r="GQ97"/>
      <c s="761" r="GR97"/>
      <c s="761" r="GS97"/>
      <c s="761" r="GT97"/>
      <c s="761" r="GU97"/>
      <c s="125" r="GV97"/>
      <c s="125" r="GW97"/>
      <c s="125" r="GX97"/>
      <c s="125" r="GY97"/>
      <c s="125" r="GZ97"/>
      <c s="125" r="HA97"/>
      <c s="125" r="HB97"/>
    </row>
    <row r="98">
      <c s="822" r="A98"/>
      <c s="20" r="B98"/>
      <c s="414" r="C98"/>
      <c s="414" r="D98"/>
      <c t="str" s="393" r="E98">
        <f>"hydraulic radius "&amp;IF((H4=2),"(m)","(ft)")</f>
        <v>hydraulic radius (ft)</v>
      </c>
      <c t="str" s="350" r="F98">
        <f>IF(ISBLANK(E66),IF(ISNUMBER(E67),E67,"---"),E66)</f>
        <v>---</v>
      </c>
      <c s="893" r="G98"/>
      <c s="312" r="H98"/>
      <c s="51" r="I98"/>
      <c s="822" r="J98"/>
      <c s="406" r="K98"/>
      <c s="886" r="L98"/>
      <c s="886" r="M98"/>
      <c s="886" r="N98"/>
      <c s="886" r="O98"/>
      <c s="418" r="P98"/>
      <c s="550" r="Q98"/>
      <c s="550" r="R98"/>
      <c t="str" s="620" r="S98">
        <f>IF((COUNT(R98:R$146,T98:T$146)=0),NA(),IF(ISBLANK(R98),S97,(S97+(R98-T97))))</f>
        <v>#N/A:explicit</v>
      </c>
      <c s="550" r="T98"/>
      <c t="str" s="620" r="U98">
        <f>IF(OR(ISBLANK(T98),ISNUMBER(R99)),NA(),(S98-T98))</f>
        <v>#N/A:explicit</v>
      </c>
      <c t="b" s="895" r="V98">
        <v>0</v>
      </c>
      <c s="631" r="W98"/>
      <c t="str" s="309" r="X98">
        <f>IF((COUNT(Q98:Q$146)=0),NA(),IF(ISBLANK(Q98),IF(ISBLANK(Q97),MAX(Q$46:Q98),Q97),Q98))</f>
        <v>#N/A:explicit</v>
      </c>
      <c t="str" s="861" r="Y98">
        <f>IF(ISNA(U98),IF(ISNUMBER(X98),Y97,NA()),U98)</f>
        <v>#N/A:explicit</v>
      </c>
      <c s="861" r="Z98">
        <f>IF(ISNUMBER(Y98),Y98,(S$46+1000))</f>
        <v>1000</v>
      </c>
      <c t="str" s="588" r="AA98">
        <f>IF((V98=TRUE),NA(),IF((AA$44=(S$46-MAX(T$46:T$146))),NA(),AA$44))</f>
        <v>#N/A:explicit</v>
      </c>
      <c s="588" r="AB98">
        <f>IF((ISNA(((Y98*X98)*Y97))),0,(IF((X98&lt;X97),-1,1)*(IF((V97=FALSE),IF((V98=FALSE),IF(ISNA(Y98),0,IF((Y97&lt;AA$44),IF((Y98&lt;AA$44),(((X98-X97)^2)^0.5),(((((AA$44-Y97)*(X98-X97))/(Y98-Y97))^2)^0.5)),IF((Y98&lt;AA$44),(((((AA$44-Y98)*(X98-X97))/(Y97-Y98))^2)^0.5),0))),0),0))))</f>
        <v>0</v>
      </c>
      <c s="588" r="AC98">
        <f>IF(ISNA((Y98*Y97)),0,IF((V97=FALSE),IF((V98=FALSE),IF(ISNA(U98),0,IF((Y97&lt;AA$44),IF((Y98&lt;AA$44),((AA$44-((Y97+Y98)*0.5))*AB98),(((AA$44-Y97)*0.5)*AB98)),IF((Y98&lt;AA$44),(((AA$44-Y98)*0.5)*AB98),0))),0),0))</f>
        <v>0</v>
      </c>
      <c s="588" r="AD98">
        <f>IF(ISNA((Y98*Y97)),0,IF((V97=FALSE),IF((V98=FALSE),IF(ISNA(Y98),0,IF((Y97&lt;AA$44),IF((Y98&lt;AA$44),(((AB98^2)+((Y98-Y97)^2))^0.5),(((AB98^2)+((AA$44-Y97)^2))^0.5)),IF((Y98&lt;AA$44),(((AB98^2)+((AA$44-Y98)^2))^0.5),0))),0),0))</f>
        <v>0</v>
      </c>
      <c s="588" r="AE98">
        <f>IF(ISNUMBER((Y98*Y97)),IF((Y97&gt;=K$148),IF((Y98&lt;K$148),1,0),IF((Y98&gt;=K$148),IF((Y97&lt;K$148),1,0),0)),0)</f>
        <v>0</v>
      </c>
      <c s="588" r="AF98">
        <f>IF(ISNA((Y98*Y97)),0,(IF((X98&lt;X97),-1,1)*(IF(ISNA(Y98),0,IF((Y97&lt;K$148),IF((Y98&lt;K$148),(((X98-X97)^2)^0.5),(((((K$148-Y97)*(X98-X97))/(Y98-Y97))^2)^0.5)),IF((Y98&lt;K$148),(((((K$148-Y98)*(X98-X97))/(Y97-Y98))^2)^0.5),0))))))</f>
        <v>0</v>
      </c>
      <c s="441" r="AG98">
        <f>IF((AC98&gt;0),(MAX(AG$47:AG97)+1),0)</f>
        <v>0</v>
      </c>
      <c s="388" r="AH98"/>
      <c s="406" r="AI98"/>
      <c s="886" r="AJ98"/>
      <c s="886" r="AK98"/>
      <c s="886" r="AL98"/>
      <c s="886" r="AM98"/>
      <c s="418" r="AN98"/>
      <c s="550" r="AO98"/>
      <c s="550" r="AP98"/>
      <c t="str" s="620" r="AQ98">
        <f>IF((COUNT(AP98:AP$146,AR98:AR$146)=0),NA(),IF(ISBLANK(AP98),AQ97,(AQ97+(AP98-AR97))))</f>
        <v>#N/A:explicit</v>
      </c>
      <c s="550" r="AR98"/>
      <c t="str" s="620" r="AS98">
        <f>IF(OR(ISBLANK(AR98),ISNUMBER(AP99)),NA(),(AQ98-AR98))</f>
        <v>#N/A:explicit</v>
      </c>
      <c t="b" s="895" r="AT98">
        <v>0</v>
      </c>
      <c s="631" r="AU98"/>
      <c t="str" s="309" r="AV98">
        <f>IF((COUNT(AO98:AO$146)=0),NA(),IF(ISBLANK(AO98),IF(ISBLANK(AO97),MAX(AO$46:AO98),AO97),AO98))</f>
        <v>#N/A:explicit</v>
      </c>
      <c t="str" s="861" r="AW98">
        <f>IF(ISNA(AS98),IF(ISNUMBER(AV98),AW97,NA()),AS98)</f>
        <v>#N/A:explicit</v>
      </c>
      <c s="861" r="AX98">
        <f>IF(ISNUMBER(AW98),AW98,(AQ$46+1000))</f>
        <v>1000</v>
      </c>
      <c t="str" s="588" r="AY98">
        <f>IF((AT98=TRUE),NA(),IF((AY$44=(AQ$46-MAX(AR$46:AR$146))),NA(),AY$44))</f>
        <v>#N/A:explicit</v>
      </c>
      <c s="588" r="AZ98">
        <f>IF((ISNA(((AW98*AV98)*AW97))),0,(IF((AV98&lt;AV97),-1,1)*(IF((AT97=FALSE),IF((AT98=FALSE),IF(ISNA(AW98),0,IF((AW97&lt;AY$44),IF((AW98&lt;AY$44),(((AV98-AV97)^2)^0.5),(((((AY$44-AW97)*(AV98-AV97))/(AW98-AW97))^2)^0.5)),IF((AW98&lt;AY$44),(((((AY$44-AW98)*(AV98-AV97))/(AW97-AW98))^2)^0.5),0))),0),0))))</f>
        <v>0</v>
      </c>
      <c s="588" r="BA98">
        <f>IF(ISNA((AW98*AW97)),0,IF((AT97=FALSE),IF((AT98=FALSE),IF(ISNA(AS98),0,IF((AW97&lt;AY$44),IF((AW98&lt;AY$44),((AY$44-((AW97+AW98)*0.5))*AZ98),(((AY$44-AW97)*0.5)*AZ98)),IF((AW98&lt;AY$44),(((AY$44-AW98)*0.5)*AZ98),0))),0),0))</f>
        <v>0</v>
      </c>
      <c s="588" r="BB98">
        <f>IF(ISNA((AW98*AW97)),0,IF((AT97=FALSE),IF((AT98=FALSE),IF(ISNA(AW98),0,IF((AW97&lt;AY$44),IF((AW98&lt;AY$44),(((AZ98^2)+((AW98-AW97)^2))^0.5),(((AZ98^2)+((AY$44-AW97)^2))^0.5)),IF((AW98&lt;AY$44),(((AZ98^2)+((AY$44-AW98)^2))^0.5),0))),0),0))</f>
        <v>0</v>
      </c>
      <c s="588" r="BC98">
        <f>IF(ISNUMBER((AW98*AW97)),IF((AW97&gt;=AI$148),IF((AW98&lt;AI$148),1,0),IF((AW98&gt;=AI$148),IF((AW97&lt;AI$148),1,0),0)),0)</f>
        <v>0</v>
      </c>
      <c s="588" r="BD98">
        <f>IF(ISNA((AW98*AW97)),0,(IF((AV98&lt;AV97),-1,1)*(IF(ISNA(AW98),0,IF((AW97&lt;AI$148),IF((AW98&lt;AI$148),(((AV98-AV97)^2)^0.5),(((((AI$148-AW97)*(AV98-AV97))/(AW98-AW97))^2)^0.5)),IF((AW98&lt;AI$148),(((((AI$148-AW98)*(AV98-AV97))/(AW97-AW98))^2)^0.5),0))))))</f>
        <v>0</v>
      </c>
      <c s="441" r="BE98">
        <f>IF((BA98&gt;0),(MAX(BE$47:BE97)+1),0)</f>
        <v>0</v>
      </c>
      <c s="388" r="BF98"/>
      <c s="406" r="BG98"/>
      <c s="886" r="BH98"/>
      <c s="886" r="BI98"/>
      <c s="886" r="BJ98"/>
      <c s="886" r="BK98"/>
      <c s="418" r="BL98"/>
      <c s="550" r="BM98"/>
      <c s="550" r="BN98"/>
      <c t="str" s="620" r="BO98">
        <f>IF((COUNT(BN98:BN$146,BP98:BP$146)=0),NA(),IF(ISBLANK(BN98),BO97,(BO97+(BN98-BP97))))</f>
        <v>#N/A:explicit</v>
      </c>
      <c s="550" r="BP98"/>
      <c t="str" s="620" r="BQ98">
        <f>IF(OR(ISBLANK(BP98),ISNUMBER(BN99)),NA(),(BO98-BP98))</f>
        <v>#N/A:explicit</v>
      </c>
      <c t="b" s="895" r="BR98">
        <v>0</v>
      </c>
      <c s="631" r="BS98"/>
      <c t="str" s="309" r="BT98">
        <f>IF((COUNT(BM98:BM$146)=0),NA(),IF(ISBLANK(BM98),IF(ISBLANK(BM97),MAX(BM$46:BM98),BM97),BM98))</f>
        <v>#N/A:explicit</v>
      </c>
      <c t="str" s="861" r="BU98">
        <f>IF(ISNA(BQ98),IF(ISNUMBER(BT98),BU97,NA()),BQ98)</f>
        <v>#N/A:explicit</v>
      </c>
      <c s="861" r="BV98">
        <f>IF(ISNUMBER(BU98),BU98,(BO$46+1000))</f>
        <v>1000</v>
      </c>
      <c t="str" s="588" r="BW98">
        <f>IF((BR98=TRUE),NA(),IF((BW$44=(BO$46-MAX(BP$46:BP$146))),NA(),BW$44))</f>
        <v>#N/A:explicit</v>
      </c>
      <c s="588" r="BX98">
        <f>IF((ISNA(((BU98*BT98)*BU97))),0,(IF((BT98&lt;BT97),-1,1)*(IF((BR97=FALSE),IF((BR98=FALSE),IF(ISNA(BU98),0,IF((BU97&lt;BW$44),IF((BU98&lt;BW$44),(((BT98-BT97)^2)^0.5),(((((BW$44-BU97)*(BT98-BT97))/(BU98-BU97))^2)^0.5)),IF((BU98&lt;BW$44),(((((BW$44-BU98)*(BT98-BT97))/(BU97-BU98))^2)^0.5),0))),0),0))))</f>
        <v>0</v>
      </c>
      <c s="588" r="BY98">
        <f>IF(ISNA((BU98*BU97)),0,IF((BR97=FALSE),IF((BR98=FALSE),IF(ISNA(BQ98),0,IF((BU97&lt;BW$44),IF((BU98&lt;BW$44),((BW$44-((BU97+BU98)*0.5))*BX98),(((BW$44-BU97)*0.5)*BX98)),IF((BU98&lt;BW$44),(((BW$44-BU98)*0.5)*BX98),0))),0),0))</f>
        <v>0</v>
      </c>
      <c s="588" r="BZ98">
        <f>IF(ISNA((BU98*BU97)),0,IF((BR97=FALSE),IF((BR98=FALSE),IF(ISNA(BU98),0,IF((BU97&lt;BW$44),IF((BU98&lt;BW$44),(((BX98^2)+((BU98-BU97)^2))^0.5),(((BX98^2)+((BW$44-BU97)^2))^0.5)),IF((BU98&lt;BW$44),(((BX98^2)+((BW$44-BU98)^2))^0.5),0))),0),0))</f>
        <v>0</v>
      </c>
      <c s="588" r="CA98">
        <f>IF(ISNUMBER((BU98*BU97)),IF((BU97&gt;=BG$148),IF((BU98&lt;BG$148),1,0),IF((BU98&gt;=BG$148),IF((BU97&lt;BG$148),1,0),0)),0)</f>
        <v>0</v>
      </c>
      <c s="588" r="CB98">
        <f>IF(ISNA((BU98*BU97)),0,(IF((BT98&lt;BT97),-1,1)*(IF(ISNA(BU98),0,IF((BU97&lt;BG$148),IF((BU98&lt;BG$148),(((BT98-BT97)^2)^0.5),(((((BG$148-BU97)*(BT98-BT97))/(BU98-BU97))^2)^0.5)),IF((BU98&lt;BG$148),(((((BG$148-BU98)*(BT98-BT97))/(BU97-BU98))^2)^0.5),0))))))</f>
        <v>0</v>
      </c>
      <c s="441" r="CC98">
        <f>IF((BY98&gt;0),(MAX(CC$47:CC97)+1),0)</f>
        <v>0</v>
      </c>
      <c s="388" r="CD98"/>
      <c s="406" r="CE98"/>
      <c s="886" r="CF98"/>
      <c s="886" r="CG98"/>
      <c s="886" r="CH98"/>
      <c s="886" r="CI98"/>
      <c s="418" r="CJ98"/>
      <c s="550" r="CK98"/>
      <c s="550" r="CL98"/>
      <c t="str" s="620" r="CM98">
        <f>IF((COUNT(CL98:CL$146,CN98:CN$146)=0),NA(),IF(ISBLANK(CL98),CM97,(CM97+(CL98-CN97))))</f>
        <v>#N/A:explicit</v>
      </c>
      <c s="550" r="CN98"/>
      <c t="str" s="620" r="CO98">
        <f>IF(OR(ISBLANK(CN98),ISNUMBER(CL99)),NA(),(CM98-CN98))</f>
        <v>#N/A:explicit</v>
      </c>
      <c t="b" s="895" r="CP98">
        <v>0</v>
      </c>
      <c s="631" r="CQ98"/>
      <c t="str" s="309" r="CR98">
        <f>IF((COUNT(CK98:CK$146)=0),NA(),IF(ISBLANK(CK98),IF(ISBLANK(CK97),MAX(CK$46:CK98),CK97),CK98))</f>
        <v>#N/A:explicit</v>
      </c>
      <c t="str" s="861" r="CS98">
        <f>IF(ISNA(CO98),IF(ISNUMBER(CR98),CS97,NA()),CO98)</f>
        <v>#N/A:explicit</v>
      </c>
      <c s="861" r="CT98">
        <f>IF(ISNUMBER(CS98),CS98,(CM$46+1000))</f>
        <v>1000</v>
      </c>
      <c t="str" s="588" r="CU98">
        <f>IF((CP98=TRUE),NA(),IF((CU$44=(CM$46-MAX(CN$46:CN$146))),NA(),CU$44))</f>
        <v>#N/A:explicit</v>
      </c>
      <c s="588" r="CV98">
        <f>IF((ISNA(((CS98*CR98)*CS97))),0,(IF((CR98&lt;CR97),-1,1)*(IF((CP97=FALSE),IF((CP98=FALSE),IF(ISNA(CS98),0,IF((CS97&lt;CU$44),IF((CS98&lt;CU$44),(((CR98-CR97)^2)^0.5),(((((CU$44-CS97)*(CR98-CR97))/(CS98-CS97))^2)^0.5)),IF((CS98&lt;CU$44),(((((CU$44-CS98)*(CR98-CR97))/(CS97-CS98))^2)^0.5),0))),0),0))))</f>
        <v>0</v>
      </c>
      <c s="588" r="CW98">
        <f>IF(ISNA((CS98*CS97)),0,IF((CP97=FALSE),IF((CP98=FALSE),IF(ISNA(CO98),0,IF((CS97&lt;CU$44),IF((CS98&lt;CU$44),((CU$44-((CS97+CS98)*0.5))*CV98),(((CU$44-CS97)*0.5)*CV98)),IF((CS98&lt;CU$44),(((CU$44-CS98)*0.5)*CV98),0))),0),0))</f>
        <v>0</v>
      </c>
      <c s="588" r="CX98">
        <f>IF(ISNA((CS98*CS97)),0,IF((CP97=FALSE),IF((CP98=FALSE),IF(ISNA(CS98),0,IF((CS97&lt;CU$44),IF((CS98&lt;CU$44),(((CV98^2)+((CS98-CS97)^2))^0.5),(((CV98^2)+((CU$44-CS97)^2))^0.5)),IF((CS98&lt;CU$44),(((CV98^2)+((CU$44-CS98)^2))^0.5),0))),0),0))</f>
        <v>0</v>
      </c>
      <c s="588" r="CY98">
        <f>IF(ISNUMBER((CS98*CS97)),IF((CS97&gt;=CE$148),IF((CS98&lt;CE$148),1,0),IF((CS98&gt;=CE$148),IF((CS97&lt;CE$148),1,0),0)),0)</f>
        <v>0</v>
      </c>
      <c s="588" r="CZ98">
        <f>IF(ISNA((CS98*CS97)),0,(IF((CR98&lt;CR97),-1,1)*(IF(ISNA(CS98),0,IF((CS97&lt;CE$148),IF((CS98&lt;CE$148),(((CR98-CR97)^2)^0.5),(((((CE$148-CS97)*(CR98-CR97))/(CS98-CS97))^2)^0.5)),IF((CS98&lt;CE$148),(((((CE$148-CS98)*(CR98-CR97))/(CS97-CS98))^2)^0.5),0))))))</f>
        <v>0</v>
      </c>
      <c s="441" r="DA98">
        <f>IF((CW98&gt;0),(MAX(DA$47:DA97)+1),0)</f>
        <v>0</v>
      </c>
      <c s="388" r="DB98"/>
      <c s="406" r="DC98"/>
      <c s="886" r="DD98"/>
      <c s="886" r="DE98"/>
      <c s="886" r="DF98"/>
      <c s="886" r="DG98"/>
      <c s="418" r="DH98"/>
      <c s="550" r="DI98"/>
      <c s="550" r="DJ98"/>
      <c t="str" s="620" r="DK98">
        <f>IF((COUNT(DJ98:DJ$146,DL98:DL$146)=0),NA(),IF(ISBLANK(DJ98),DK97,(DK97+(DJ98-DL97))))</f>
        <v>#N/A:explicit</v>
      </c>
      <c s="550" r="DL98"/>
      <c t="str" s="620" r="DM98">
        <f>IF(OR(ISBLANK(DL98),ISNUMBER(DJ99)),NA(),(DK98-DL98))</f>
        <v>#N/A:explicit</v>
      </c>
      <c t="b" s="895" r="DN98">
        <v>0</v>
      </c>
      <c s="631" r="DO98"/>
      <c t="str" s="309" r="DP98">
        <f>IF((COUNT(DI98:DI$146)=0),NA(),IF(ISBLANK(DI98),IF(ISBLANK(DI97),MAX(DI$46:DI98),DI97),DI98))</f>
        <v>#N/A:explicit</v>
      </c>
      <c t="str" s="861" r="DQ98">
        <f>IF(ISNA(DM98),IF(ISNUMBER(DP98),DQ97,NA()),DM98)</f>
        <v>#N/A:explicit</v>
      </c>
      <c s="861" r="DR98">
        <f>IF(ISNUMBER(DQ98),DQ98,(DK$46+1000))</f>
        <v>1000</v>
      </c>
      <c t="str" s="588" r="DS98">
        <f>IF((DN98=TRUE),NA(),IF((DS$44=(DK$46-MAX(DL$46:DL$146))),NA(),DS$44))</f>
        <v>#N/A:explicit</v>
      </c>
      <c s="588" r="DT98">
        <f>IF((ISNA(((DQ98*DP98)*DQ97))),0,(IF((DP98&lt;DP97),-1,1)*(IF((DN97=FALSE),IF((DN98=FALSE),IF(ISNA(DQ98),0,IF((DQ97&lt;DS$44),IF((DQ98&lt;DS$44),(((DP98-DP97)^2)^0.5),(((((DS$44-DQ97)*(DP98-DP97))/(DQ98-DQ97))^2)^0.5)),IF((DQ98&lt;DS$44),(((((DS$44-DQ98)*(DP98-DP97))/(DQ97-DQ98))^2)^0.5),0))),0),0))))</f>
        <v>0</v>
      </c>
      <c s="588" r="DU98">
        <f>IF(ISNA((DQ98*DQ97)),0,IF((DN97=FALSE),IF((DN98=FALSE),IF(ISNA(DM98),0,IF((DQ97&lt;DS$44),IF((DQ98&lt;DS$44),((DS$44-((DQ97+DQ98)*0.5))*DT98),(((DS$44-DQ97)*0.5)*DT98)),IF((DQ98&lt;DS$44),(((DS$44-DQ98)*0.5)*DT98),0))),0),0))</f>
        <v>0</v>
      </c>
      <c s="588" r="DV98">
        <f>IF(ISNA((DQ98*DQ97)),0,IF((DN97=FALSE),IF((DN98=FALSE),IF(ISNA(DQ98),0,IF((DQ97&lt;DS$44),IF((DQ98&lt;DS$44),(((DT98^2)+((DQ98-DQ97)^2))^0.5),(((DT98^2)+((DS$44-DQ97)^2))^0.5)),IF((DQ98&lt;DS$44),(((DT98^2)+((DS$44-DQ98)^2))^0.5),0))),0),0))</f>
        <v>0</v>
      </c>
      <c s="588" r="DW98">
        <f>IF(ISNUMBER((DQ98*DQ97)),IF((DQ97&gt;=DC$148),IF((DQ98&lt;DC$148),1,0),IF((DQ98&gt;=DC$148),IF((DQ97&lt;DC$148),1,0),0)),0)</f>
        <v>0</v>
      </c>
      <c s="588" r="DX98">
        <f>IF(ISNA((DQ98*DQ97)),0,(IF((DP98&lt;DP97),-1,1)*(IF(ISNA(DQ98),0,IF((DQ97&lt;DC$148),IF((DQ98&lt;DC$148),(((DP98-DP97)^2)^0.5),(((((DC$148-DQ97)*(DP98-DP97))/(DQ98-DQ97))^2)^0.5)),IF((DQ98&lt;DC$148),(((((DC$148-DQ98)*(DP98-DP97))/(DQ97-DQ98))^2)^0.5),0))))))</f>
        <v>0</v>
      </c>
      <c s="441" r="DY98">
        <f>IF((DU98&gt;0),(MAX(DY$47:DY97)+1),0)</f>
        <v>0</v>
      </c>
      <c s="388" r="DZ98"/>
      <c s="406" r="EA98"/>
      <c s="886" r="EB98"/>
      <c s="886" r="EC98"/>
      <c s="886" r="ED98"/>
      <c s="886" r="EE98"/>
      <c s="418" r="EF98"/>
      <c s="550" r="EG98"/>
      <c s="550" r="EH98"/>
      <c t="str" s="620" r="EI98">
        <f>IF((COUNT(EH98:EH$146,EJ98:EJ$146)=0),NA(),IF(ISBLANK(EH98),EI97,(EI97+(EH98-EJ97))))</f>
        <v>#N/A:explicit</v>
      </c>
      <c s="550" r="EJ98"/>
      <c t="str" s="620" r="EK98">
        <f>IF(OR(ISBLANK(EJ98),ISNUMBER(EH99)),NA(),(EI98-EJ98))</f>
        <v>#N/A:explicit</v>
      </c>
      <c t="b" s="895" r="EL98">
        <v>0</v>
      </c>
      <c s="631" r="EM98"/>
      <c t="str" s="309" r="EN98">
        <f>IF((COUNT(EG98:EG$146)=0),NA(),IF(ISBLANK(EG98),IF(ISBLANK(EG97),MAX(EG$46:EG98),EG97),EG98))</f>
        <v>#N/A:explicit</v>
      </c>
      <c t="str" s="861" r="EO98">
        <f>IF(ISNA(EK98),IF(ISNUMBER(EN98),EO97,NA()),EK98)</f>
        <v>#N/A:explicit</v>
      </c>
      <c s="861" r="EP98">
        <f>IF(ISNUMBER(EO98),EO98,(EI$46+1000))</f>
        <v>1000</v>
      </c>
      <c t="str" s="588" r="EQ98">
        <f>IF((EL98=TRUE),NA(),IF((EQ$44=(EI$46-MAX(EJ$46:EJ$146))),NA(),EQ$44))</f>
        <v>#N/A:explicit</v>
      </c>
      <c s="588" r="ER98">
        <f>IF((ISNA(((EO98*EN98)*EO97))),0,(IF((EN98&lt;EN97),-1,1)*(IF((EL97=FALSE),IF((EL98=FALSE),IF(ISNA(EO98),0,IF((EO97&lt;EQ$44),IF((EO98&lt;EQ$44),(((EN98-EN97)^2)^0.5),(((((EQ$44-EO97)*(EN98-EN97))/(EO98-EO97))^2)^0.5)),IF((EO98&lt;EQ$44),(((((EQ$44-EO98)*(EN98-EN97))/(EO97-EO98))^2)^0.5),0))),0),0))))</f>
        <v>0</v>
      </c>
      <c s="588" r="ES98">
        <f>IF(ISNA((EO98*EO97)),0,IF((EL97=FALSE),IF((EL98=FALSE),IF(ISNA(EK98),0,IF((EO97&lt;EQ$44),IF((EO98&lt;EQ$44),((EQ$44-((EO97+EO98)*0.5))*ER98),(((EQ$44-EO97)*0.5)*ER98)),IF((EO98&lt;EQ$44),(((EQ$44-EO98)*0.5)*ER98),0))),0),0))</f>
        <v>0</v>
      </c>
      <c s="588" r="ET98">
        <f>IF(ISNA((EO98*EO97)),0,IF((EL97=FALSE),IF((EL98=FALSE),IF(ISNA(EO98),0,IF((EO97&lt;EQ$44),IF((EO98&lt;EQ$44),(((ER98^2)+((EO98-EO97)^2))^0.5),(((ER98^2)+((EQ$44-EO97)^2))^0.5)),IF((EO98&lt;EQ$44),(((ER98^2)+((EQ$44-EO98)^2))^0.5),0))),0),0))</f>
        <v>0</v>
      </c>
      <c s="588" r="EU98">
        <f>IF(ISNUMBER((EO98*EO97)),IF((EO97&gt;=EA$148),IF((EO98&lt;EA$148),1,0),IF((EO98&gt;=EA$148),IF((EO97&lt;EA$148),1,0),0)),0)</f>
        <v>0</v>
      </c>
      <c s="588" r="EV98">
        <f>IF(ISNA((EO98*EO97)),0,(IF((EN98&lt;EN97),-1,1)*(IF(ISNA(EO98),0,IF((EO97&lt;EA$148),IF((EO98&lt;EA$148),(((EN98-EN97)^2)^0.5),(((((EA$148-EO97)*(EN98-EN97))/(EO98-EO97))^2)^0.5)),IF((EO98&lt;EA$148),(((((EA$148-EO98)*(EN98-EN97))/(EO97-EO98))^2)^0.5),0))))))</f>
        <v>0</v>
      </c>
      <c s="441" r="EW98">
        <f>IF((ES98&gt;0),(MAX(EW$47:EW97)+1),0)</f>
        <v>0</v>
      </c>
      <c s="388" r="EX98"/>
      <c s="406" r="EY98"/>
      <c s="886" r="EZ98"/>
      <c s="886" r="FA98"/>
      <c s="886" r="FB98"/>
      <c s="886" r="FC98"/>
      <c s="418" r="FD98"/>
      <c s="550" r="FE98"/>
      <c s="550" r="FF98"/>
      <c t="str" s="620" r="FG98">
        <f>IF((COUNT(FF98:FF$146,FH98:FH$146)=0),NA(),IF(ISBLANK(FF98),FG97,(FG97+(FF98-FH97))))</f>
        <v>#N/A:explicit</v>
      </c>
      <c s="550" r="FH98"/>
      <c t="str" s="620" r="FI98">
        <f>IF(OR(ISBLANK(FH98),ISNUMBER(FF99)),NA(),(FG98-FH98))</f>
        <v>#N/A:explicit</v>
      </c>
      <c t="b" s="895" r="FJ98">
        <v>0</v>
      </c>
      <c s="631" r="FK98"/>
      <c t="str" s="309" r="FL98">
        <f>IF((COUNT(FE98:FE$146)=0),NA(),IF(ISBLANK(FE98),IF(ISBLANK(FE97),MAX(FE$46:FE98),FE97),FE98))</f>
        <v>#N/A:explicit</v>
      </c>
      <c t="str" s="861" r="FM98">
        <f>IF(ISNA(FI98),IF(ISNUMBER(FL98),FM97,NA()),FI98)</f>
        <v>#N/A:explicit</v>
      </c>
      <c s="861" r="FN98">
        <f>IF(ISNUMBER(FM98),FM98,(FG$46+1000))</f>
        <v>1000</v>
      </c>
      <c t="str" s="588" r="FO98">
        <f>IF((FJ98=TRUE),NA(),IF((FO$44=(FG$46-MAX(FH$46:FH$146))),NA(),FO$44))</f>
        <v>#N/A:explicit</v>
      </c>
      <c s="588" r="FP98">
        <f>IF((ISNA(((FM98*FL98)*FM97))),0,(IF((FL98&lt;FL97),-1,1)*(IF((FJ97=FALSE),IF((FJ98=FALSE),IF(ISNA(FM98),0,IF((FM97&lt;FO$44),IF((FM98&lt;FO$44),(((FL98-FL97)^2)^0.5),(((((FO$44-FM97)*(FL98-FL97))/(FM98-FM97))^2)^0.5)),IF((FM98&lt;FO$44),(((((FO$44-FM98)*(FL98-FL97))/(FM97-FM98))^2)^0.5),0))),0),0))))</f>
        <v>0</v>
      </c>
      <c s="588" r="FQ98">
        <f>IF(ISNA((FM98*FM97)),0,IF((FJ97=FALSE),IF((FJ98=FALSE),IF(ISNA(FI98),0,IF((FM97&lt;FO$44),IF((FM98&lt;FO$44),((FO$44-((FM97+FM98)*0.5))*FP98),(((FO$44-FM97)*0.5)*FP98)),IF((FM98&lt;FO$44),(((FO$44-FM98)*0.5)*FP98),0))),0),0))</f>
        <v>0</v>
      </c>
      <c s="588" r="FR98">
        <f>IF(ISNA((FM98*FM97)),0,IF((FJ97=FALSE),IF((FJ98=FALSE),IF(ISNA(FM98),0,IF((FM97&lt;FO$44),IF((FM98&lt;FO$44),(((FP98^2)+((FM98-FM97)^2))^0.5),(((FP98^2)+((FO$44-FM97)^2))^0.5)),IF((FM98&lt;FO$44),(((FP98^2)+((FO$44-FM98)^2))^0.5),0))),0),0))</f>
        <v>0</v>
      </c>
      <c s="588" r="FS98">
        <f>IF(ISNUMBER((FM98*FM97)),IF((FM97&gt;=EY$148),IF((FM98&lt;EY$148),1,0),IF((FM98&gt;=EY$148),IF((FM97&lt;EY$148),1,0),0)),0)</f>
        <v>0</v>
      </c>
      <c s="588" r="FT98">
        <f>IF(ISNA((FM98*FM97)),0,(IF((FL98&lt;FL97),-1,1)*(IF(ISNA(FM98),0,IF((FM97&lt;EY$148),IF((FM98&lt;EY$148),(((FL98-FL97)^2)^0.5),(((((EY$148-FM97)*(FL98-FL97))/(FM98-FM97))^2)^0.5)),IF((FM98&lt;EY$148),(((((EY$148-FM98)*(FL98-FL97))/(FM97-FM98))^2)^0.5),0))))))</f>
        <v>0</v>
      </c>
      <c s="441" r="FU98">
        <f>IF((FQ98&gt;0),(MAX(FU$47:FU97)+1),0)</f>
        <v>0</v>
      </c>
      <c s="222" r="FV98"/>
      <c s="125" r="FW98"/>
      <c s="125" r="FX98"/>
      <c s="125" r="FY98"/>
      <c s="125" r="FZ98"/>
      <c s="125" r="GA98"/>
      <c s="125" r="GB98"/>
      <c s="125" r="GC98"/>
      <c s="125" r="GD98"/>
      <c s="125" r="GE98"/>
      <c s="125" r="GF98"/>
      <c s="125" r="GG98"/>
      <c s="125" r="GH98"/>
      <c s="125" r="GI98"/>
      <c s="125" r="GJ98"/>
      <c s="125" r="GK98"/>
      <c s="125" r="GL98"/>
      <c s="125" r="GM98"/>
      <c s="125" r="GN98"/>
      <c s="125" r="GO98"/>
      <c s="125" r="GP98"/>
      <c s="761" r="GQ98"/>
      <c s="761" r="GR98"/>
      <c s="761" r="GS98"/>
      <c s="761" r="GT98"/>
      <c s="761" r="GU98"/>
      <c s="125" r="GV98"/>
      <c s="125" r="GW98"/>
      <c s="125" r="GX98"/>
      <c s="125" r="GY98"/>
      <c s="125" r="GZ98"/>
      <c s="125" r="HA98"/>
      <c s="125" r="HB98"/>
    </row>
    <row r="99">
      <c s="822" r="A99"/>
      <c t="s" s="858" r="B99">
        <v>603</v>
      </c>
      <c s="202" r="C99"/>
      <c s="202" r="D99"/>
      <c s="202" r="E99"/>
      <c t="s" s="202" r="F99">
        <v>75</v>
      </c>
      <c t="s" s="202" r="G99">
        <v>76</v>
      </c>
      <c t="s" s="46" r="H99">
        <v>77</v>
      </c>
      <c s="51" r="I99"/>
      <c s="822" r="J99"/>
      <c s="406" r="K99"/>
      <c s="886" r="L99"/>
      <c s="886" r="M99"/>
      <c s="886" r="N99"/>
      <c s="886" r="O99"/>
      <c s="418" r="P99"/>
      <c s="550" r="Q99"/>
      <c s="550" r="R99"/>
      <c t="str" s="620" r="S99">
        <f>IF((COUNT(R99:R$146,T99:T$146)=0),NA(),IF(ISBLANK(R99),S98,(S98+(R99-T98))))</f>
        <v>#N/A:explicit</v>
      </c>
      <c s="550" r="T99"/>
      <c t="str" s="620" r="U99">
        <f>IF(OR(ISBLANK(T99),ISNUMBER(R100)),NA(),(S99-T99))</f>
        <v>#N/A:explicit</v>
      </c>
      <c t="b" s="895" r="V99">
        <v>0</v>
      </c>
      <c s="631" r="W99"/>
      <c t="str" s="309" r="X99">
        <f>IF((COUNT(Q99:Q$146)=0),NA(),IF(ISBLANK(Q99),IF(ISBLANK(Q98),MAX(Q$46:Q99),Q98),Q99))</f>
        <v>#N/A:explicit</v>
      </c>
      <c t="str" s="861" r="Y99">
        <f>IF(ISNA(U99),IF(ISNUMBER(X99),Y98,NA()),U99)</f>
        <v>#N/A:explicit</v>
      </c>
      <c s="861" r="Z99">
        <f>IF(ISNUMBER(Y99),Y99,(S$46+1000))</f>
        <v>1000</v>
      </c>
      <c t="str" s="588" r="AA99">
        <f>IF((V99=TRUE),NA(),IF((AA$44=(S$46-MAX(T$46:T$146))),NA(),AA$44))</f>
        <v>#N/A:explicit</v>
      </c>
      <c s="588" r="AB99">
        <f>IF((ISNA(((Y99*X99)*Y98))),0,(IF((X99&lt;X98),-1,1)*(IF((V98=FALSE),IF((V99=FALSE),IF(ISNA(Y99),0,IF((Y98&lt;AA$44),IF((Y99&lt;AA$44),(((X99-X98)^2)^0.5),(((((AA$44-Y98)*(X99-X98))/(Y99-Y98))^2)^0.5)),IF((Y99&lt;AA$44),(((((AA$44-Y99)*(X99-X98))/(Y98-Y99))^2)^0.5),0))),0),0))))</f>
        <v>0</v>
      </c>
      <c s="588" r="AC99">
        <f>IF(ISNA((Y99*Y98)),0,IF((V98=FALSE),IF((V99=FALSE),IF(ISNA(U99),0,IF((Y98&lt;AA$44),IF((Y99&lt;AA$44),((AA$44-((Y98+Y99)*0.5))*AB99),(((AA$44-Y98)*0.5)*AB99)),IF((Y99&lt;AA$44),(((AA$44-Y99)*0.5)*AB99),0))),0),0))</f>
        <v>0</v>
      </c>
      <c s="588" r="AD99">
        <f>IF(ISNA((Y99*Y98)),0,IF((V98=FALSE),IF((V99=FALSE),IF(ISNA(Y99),0,IF((Y98&lt;AA$44),IF((Y99&lt;AA$44),(((AB99^2)+((Y99-Y98)^2))^0.5),(((AB99^2)+((AA$44-Y98)^2))^0.5)),IF((Y99&lt;AA$44),(((AB99^2)+((AA$44-Y99)^2))^0.5),0))),0),0))</f>
        <v>0</v>
      </c>
      <c s="588" r="AE99">
        <f>IF(ISNUMBER((Y99*Y98)),IF((Y98&gt;=K$148),IF((Y99&lt;K$148),1,0),IF((Y99&gt;=K$148),IF((Y98&lt;K$148),1,0),0)),0)</f>
        <v>0</v>
      </c>
      <c s="588" r="AF99">
        <f>IF(ISNA((Y99*Y98)),0,(IF((X99&lt;X98),-1,1)*(IF(ISNA(Y99),0,IF((Y98&lt;K$148),IF((Y99&lt;K$148),(((X99-X98)^2)^0.5),(((((K$148-Y98)*(X99-X98))/(Y99-Y98))^2)^0.5)),IF((Y99&lt;K$148),(((((K$148-Y99)*(X99-X98))/(Y98-Y99))^2)^0.5),0))))))</f>
        <v>0</v>
      </c>
      <c s="441" r="AG99">
        <f>IF((AC99&gt;0),(MAX(AG$47:AG98)+1),0)</f>
        <v>0</v>
      </c>
      <c s="388" r="AH99"/>
      <c s="406" r="AI99"/>
      <c s="886" r="AJ99"/>
      <c s="886" r="AK99"/>
      <c s="886" r="AL99"/>
      <c s="886" r="AM99"/>
      <c s="418" r="AN99"/>
      <c s="550" r="AO99"/>
      <c s="550" r="AP99"/>
      <c t="str" s="620" r="AQ99">
        <f>IF((COUNT(AP99:AP$146,AR99:AR$146)=0),NA(),IF(ISBLANK(AP99),AQ98,(AQ98+(AP99-AR98))))</f>
        <v>#N/A:explicit</v>
      </c>
      <c s="550" r="AR99"/>
      <c t="str" s="620" r="AS99">
        <f>IF(OR(ISBLANK(AR99),ISNUMBER(AP100)),NA(),(AQ99-AR99))</f>
        <v>#N/A:explicit</v>
      </c>
      <c t="b" s="895" r="AT99">
        <v>0</v>
      </c>
      <c s="631" r="AU99"/>
      <c t="str" s="309" r="AV99">
        <f>IF((COUNT(AO99:AO$146)=0),NA(),IF(ISBLANK(AO99),IF(ISBLANK(AO98),MAX(AO$46:AO99),AO98),AO99))</f>
        <v>#N/A:explicit</v>
      </c>
      <c t="str" s="861" r="AW99">
        <f>IF(ISNA(AS99),IF(ISNUMBER(AV99),AW98,NA()),AS99)</f>
        <v>#N/A:explicit</v>
      </c>
      <c s="861" r="AX99">
        <f>IF(ISNUMBER(AW99),AW99,(AQ$46+1000))</f>
        <v>1000</v>
      </c>
      <c t="str" s="588" r="AY99">
        <f>IF((AT99=TRUE),NA(),IF((AY$44=(AQ$46-MAX(AR$46:AR$146))),NA(),AY$44))</f>
        <v>#N/A:explicit</v>
      </c>
      <c s="588" r="AZ99">
        <f>IF((ISNA(((AW99*AV99)*AW98))),0,(IF((AV99&lt;AV98),-1,1)*(IF((AT98=FALSE),IF((AT99=FALSE),IF(ISNA(AW99),0,IF((AW98&lt;AY$44),IF((AW99&lt;AY$44),(((AV99-AV98)^2)^0.5),(((((AY$44-AW98)*(AV99-AV98))/(AW99-AW98))^2)^0.5)),IF((AW99&lt;AY$44),(((((AY$44-AW99)*(AV99-AV98))/(AW98-AW99))^2)^0.5),0))),0),0))))</f>
        <v>0</v>
      </c>
      <c s="588" r="BA99">
        <f>IF(ISNA((AW99*AW98)),0,IF((AT98=FALSE),IF((AT99=FALSE),IF(ISNA(AS99),0,IF((AW98&lt;AY$44),IF((AW99&lt;AY$44),((AY$44-((AW98+AW99)*0.5))*AZ99),(((AY$44-AW98)*0.5)*AZ99)),IF((AW99&lt;AY$44),(((AY$44-AW99)*0.5)*AZ99),0))),0),0))</f>
        <v>0</v>
      </c>
      <c s="588" r="BB99">
        <f>IF(ISNA((AW99*AW98)),0,IF((AT98=FALSE),IF((AT99=FALSE),IF(ISNA(AW99),0,IF((AW98&lt;AY$44),IF((AW99&lt;AY$44),(((AZ99^2)+((AW99-AW98)^2))^0.5),(((AZ99^2)+((AY$44-AW98)^2))^0.5)),IF((AW99&lt;AY$44),(((AZ99^2)+((AY$44-AW99)^2))^0.5),0))),0),0))</f>
        <v>0</v>
      </c>
      <c s="588" r="BC99">
        <f>IF(ISNUMBER((AW99*AW98)),IF((AW98&gt;=AI$148),IF((AW99&lt;AI$148),1,0),IF((AW99&gt;=AI$148),IF((AW98&lt;AI$148),1,0),0)),0)</f>
        <v>0</v>
      </c>
      <c s="588" r="BD99">
        <f>IF(ISNA((AW99*AW98)),0,(IF((AV99&lt;AV98),-1,1)*(IF(ISNA(AW99),0,IF((AW98&lt;AI$148),IF((AW99&lt;AI$148),(((AV99-AV98)^2)^0.5),(((((AI$148-AW98)*(AV99-AV98))/(AW99-AW98))^2)^0.5)),IF((AW99&lt;AI$148),(((((AI$148-AW99)*(AV99-AV98))/(AW98-AW99))^2)^0.5),0))))))</f>
        <v>0</v>
      </c>
      <c s="441" r="BE99">
        <f>IF((BA99&gt;0),(MAX(BE$47:BE98)+1),0)</f>
        <v>0</v>
      </c>
      <c s="388" r="BF99"/>
      <c s="406" r="BG99"/>
      <c s="886" r="BH99"/>
      <c s="886" r="BI99"/>
      <c s="886" r="BJ99"/>
      <c s="886" r="BK99"/>
      <c s="418" r="BL99"/>
      <c s="550" r="BM99"/>
      <c s="550" r="BN99"/>
      <c t="str" s="620" r="BO99">
        <f>IF((COUNT(BN99:BN$146,BP99:BP$146)=0),NA(),IF(ISBLANK(BN99),BO98,(BO98+(BN99-BP98))))</f>
        <v>#N/A:explicit</v>
      </c>
      <c s="550" r="BP99"/>
      <c t="str" s="620" r="BQ99">
        <f>IF(OR(ISBLANK(BP99),ISNUMBER(BN100)),NA(),(BO99-BP99))</f>
        <v>#N/A:explicit</v>
      </c>
      <c t="b" s="895" r="BR99">
        <v>0</v>
      </c>
      <c s="631" r="BS99"/>
      <c t="str" s="309" r="BT99">
        <f>IF((COUNT(BM99:BM$146)=0),NA(),IF(ISBLANK(BM99),IF(ISBLANK(BM98),MAX(BM$46:BM99),BM98),BM99))</f>
        <v>#N/A:explicit</v>
      </c>
      <c t="str" s="861" r="BU99">
        <f>IF(ISNA(BQ99),IF(ISNUMBER(BT99),BU98,NA()),BQ99)</f>
        <v>#N/A:explicit</v>
      </c>
      <c s="861" r="BV99">
        <f>IF(ISNUMBER(BU99),BU99,(BO$46+1000))</f>
        <v>1000</v>
      </c>
      <c t="str" s="588" r="BW99">
        <f>IF((BR99=TRUE),NA(),IF((BW$44=(BO$46-MAX(BP$46:BP$146))),NA(),BW$44))</f>
        <v>#N/A:explicit</v>
      </c>
      <c s="588" r="BX99">
        <f>IF((ISNA(((BU99*BT99)*BU98))),0,(IF((BT99&lt;BT98),-1,1)*(IF((BR98=FALSE),IF((BR99=FALSE),IF(ISNA(BU99),0,IF((BU98&lt;BW$44),IF((BU99&lt;BW$44),(((BT99-BT98)^2)^0.5),(((((BW$44-BU98)*(BT99-BT98))/(BU99-BU98))^2)^0.5)),IF((BU99&lt;BW$44),(((((BW$44-BU99)*(BT99-BT98))/(BU98-BU99))^2)^0.5),0))),0),0))))</f>
        <v>0</v>
      </c>
      <c s="588" r="BY99">
        <f>IF(ISNA((BU99*BU98)),0,IF((BR98=FALSE),IF((BR99=FALSE),IF(ISNA(BQ99),0,IF((BU98&lt;BW$44),IF((BU99&lt;BW$44),((BW$44-((BU98+BU99)*0.5))*BX99),(((BW$44-BU98)*0.5)*BX99)),IF((BU99&lt;BW$44),(((BW$44-BU99)*0.5)*BX99),0))),0),0))</f>
        <v>0</v>
      </c>
      <c s="588" r="BZ99">
        <f>IF(ISNA((BU99*BU98)),0,IF((BR98=FALSE),IF((BR99=FALSE),IF(ISNA(BU99),0,IF((BU98&lt;BW$44),IF((BU99&lt;BW$44),(((BX99^2)+((BU99-BU98)^2))^0.5),(((BX99^2)+((BW$44-BU98)^2))^0.5)),IF((BU99&lt;BW$44),(((BX99^2)+((BW$44-BU99)^2))^0.5),0))),0),0))</f>
        <v>0</v>
      </c>
      <c s="588" r="CA99">
        <f>IF(ISNUMBER((BU99*BU98)),IF((BU98&gt;=BG$148),IF((BU99&lt;BG$148),1,0),IF((BU99&gt;=BG$148),IF((BU98&lt;BG$148),1,0),0)),0)</f>
        <v>0</v>
      </c>
      <c s="588" r="CB99">
        <f>IF(ISNA((BU99*BU98)),0,(IF((BT99&lt;BT98),-1,1)*(IF(ISNA(BU99),0,IF((BU98&lt;BG$148),IF((BU99&lt;BG$148),(((BT99-BT98)^2)^0.5),(((((BG$148-BU98)*(BT99-BT98))/(BU99-BU98))^2)^0.5)),IF((BU99&lt;BG$148),(((((BG$148-BU99)*(BT99-BT98))/(BU98-BU99))^2)^0.5),0))))))</f>
        <v>0</v>
      </c>
      <c s="441" r="CC99">
        <f>IF((BY99&gt;0),(MAX(CC$47:CC98)+1),0)</f>
        <v>0</v>
      </c>
      <c s="388" r="CD99"/>
      <c s="406" r="CE99"/>
      <c s="886" r="CF99"/>
      <c s="886" r="CG99"/>
      <c s="886" r="CH99"/>
      <c s="886" r="CI99"/>
      <c s="418" r="CJ99"/>
      <c s="550" r="CK99"/>
      <c s="550" r="CL99"/>
      <c t="str" s="620" r="CM99">
        <f>IF((COUNT(CL99:CL$146,CN99:CN$146)=0),NA(),IF(ISBLANK(CL99),CM98,(CM98+(CL99-CN98))))</f>
        <v>#N/A:explicit</v>
      </c>
      <c s="550" r="CN99"/>
      <c t="str" s="620" r="CO99">
        <f>IF(OR(ISBLANK(CN99),ISNUMBER(CL100)),NA(),(CM99-CN99))</f>
        <v>#N/A:explicit</v>
      </c>
      <c t="b" s="895" r="CP99">
        <v>0</v>
      </c>
      <c s="631" r="CQ99"/>
      <c t="str" s="309" r="CR99">
        <f>IF((COUNT(CK99:CK$146)=0),NA(),IF(ISBLANK(CK99),IF(ISBLANK(CK98),MAX(CK$46:CK99),CK98),CK99))</f>
        <v>#N/A:explicit</v>
      </c>
      <c t="str" s="861" r="CS99">
        <f>IF(ISNA(CO99),IF(ISNUMBER(CR99),CS98,NA()),CO99)</f>
        <v>#N/A:explicit</v>
      </c>
      <c s="861" r="CT99">
        <f>IF(ISNUMBER(CS99),CS99,(CM$46+1000))</f>
        <v>1000</v>
      </c>
      <c t="str" s="588" r="CU99">
        <f>IF((CP99=TRUE),NA(),IF((CU$44=(CM$46-MAX(CN$46:CN$146))),NA(),CU$44))</f>
        <v>#N/A:explicit</v>
      </c>
      <c s="588" r="CV99">
        <f>IF((ISNA(((CS99*CR99)*CS98))),0,(IF((CR99&lt;CR98),-1,1)*(IF((CP98=FALSE),IF((CP99=FALSE),IF(ISNA(CS99),0,IF((CS98&lt;CU$44),IF((CS99&lt;CU$44),(((CR99-CR98)^2)^0.5),(((((CU$44-CS98)*(CR99-CR98))/(CS99-CS98))^2)^0.5)),IF((CS99&lt;CU$44),(((((CU$44-CS99)*(CR99-CR98))/(CS98-CS99))^2)^0.5),0))),0),0))))</f>
        <v>0</v>
      </c>
      <c s="588" r="CW99">
        <f>IF(ISNA((CS99*CS98)),0,IF((CP98=FALSE),IF((CP99=FALSE),IF(ISNA(CO99),0,IF((CS98&lt;CU$44),IF((CS99&lt;CU$44),((CU$44-((CS98+CS99)*0.5))*CV99),(((CU$44-CS98)*0.5)*CV99)),IF((CS99&lt;CU$44),(((CU$44-CS99)*0.5)*CV99),0))),0),0))</f>
        <v>0</v>
      </c>
      <c s="588" r="CX99">
        <f>IF(ISNA((CS99*CS98)),0,IF((CP98=FALSE),IF((CP99=FALSE),IF(ISNA(CS99),0,IF((CS98&lt;CU$44),IF((CS99&lt;CU$44),(((CV99^2)+((CS99-CS98)^2))^0.5),(((CV99^2)+((CU$44-CS98)^2))^0.5)),IF((CS99&lt;CU$44),(((CV99^2)+((CU$44-CS99)^2))^0.5),0))),0),0))</f>
        <v>0</v>
      </c>
      <c s="588" r="CY99">
        <f>IF(ISNUMBER((CS99*CS98)),IF((CS98&gt;=CE$148),IF((CS99&lt;CE$148),1,0),IF((CS99&gt;=CE$148),IF((CS98&lt;CE$148),1,0),0)),0)</f>
        <v>0</v>
      </c>
      <c s="588" r="CZ99">
        <f>IF(ISNA((CS99*CS98)),0,(IF((CR99&lt;CR98),-1,1)*(IF(ISNA(CS99),0,IF((CS98&lt;CE$148),IF((CS99&lt;CE$148),(((CR99-CR98)^2)^0.5),(((((CE$148-CS98)*(CR99-CR98))/(CS99-CS98))^2)^0.5)),IF((CS99&lt;CE$148),(((((CE$148-CS99)*(CR99-CR98))/(CS98-CS99))^2)^0.5),0))))))</f>
        <v>0</v>
      </c>
      <c s="441" r="DA99">
        <f>IF((CW99&gt;0),(MAX(DA$47:DA98)+1),0)</f>
        <v>0</v>
      </c>
      <c s="388" r="DB99"/>
      <c s="406" r="DC99"/>
      <c s="886" r="DD99"/>
      <c s="886" r="DE99"/>
      <c s="886" r="DF99"/>
      <c s="886" r="DG99"/>
      <c s="418" r="DH99"/>
      <c s="550" r="DI99"/>
      <c s="550" r="DJ99"/>
      <c t="str" s="620" r="DK99">
        <f>IF((COUNT(DJ99:DJ$146,DL99:DL$146)=0),NA(),IF(ISBLANK(DJ99),DK98,(DK98+(DJ99-DL98))))</f>
        <v>#N/A:explicit</v>
      </c>
      <c s="550" r="DL99"/>
      <c t="str" s="620" r="DM99">
        <f>IF(OR(ISBLANK(DL99),ISNUMBER(DJ100)),NA(),(DK99-DL99))</f>
        <v>#N/A:explicit</v>
      </c>
      <c t="b" s="895" r="DN99">
        <v>0</v>
      </c>
      <c s="631" r="DO99"/>
      <c t="str" s="309" r="DP99">
        <f>IF((COUNT(DI99:DI$146)=0),NA(),IF(ISBLANK(DI99),IF(ISBLANK(DI98),MAX(DI$46:DI99),DI98),DI99))</f>
        <v>#N/A:explicit</v>
      </c>
      <c t="str" s="861" r="DQ99">
        <f>IF(ISNA(DM99),IF(ISNUMBER(DP99),DQ98,NA()),DM99)</f>
        <v>#N/A:explicit</v>
      </c>
      <c s="861" r="DR99">
        <f>IF(ISNUMBER(DQ99),DQ99,(DK$46+1000))</f>
        <v>1000</v>
      </c>
      <c t="str" s="588" r="DS99">
        <f>IF((DN99=TRUE),NA(),IF((DS$44=(DK$46-MAX(DL$46:DL$146))),NA(),DS$44))</f>
        <v>#N/A:explicit</v>
      </c>
      <c s="588" r="DT99">
        <f>IF((ISNA(((DQ99*DP99)*DQ98))),0,(IF((DP99&lt;DP98),-1,1)*(IF((DN98=FALSE),IF((DN99=FALSE),IF(ISNA(DQ99),0,IF((DQ98&lt;DS$44),IF((DQ99&lt;DS$44),(((DP99-DP98)^2)^0.5),(((((DS$44-DQ98)*(DP99-DP98))/(DQ99-DQ98))^2)^0.5)),IF((DQ99&lt;DS$44),(((((DS$44-DQ99)*(DP99-DP98))/(DQ98-DQ99))^2)^0.5),0))),0),0))))</f>
        <v>0</v>
      </c>
      <c s="588" r="DU99">
        <f>IF(ISNA((DQ99*DQ98)),0,IF((DN98=FALSE),IF((DN99=FALSE),IF(ISNA(DM99),0,IF((DQ98&lt;DS$44),IF((DQ99&lt;DS$44),((DS$44-((DQ98+DQ99)*0.5))*DT99),(((DS$44-DQ98)*0.5)*DT99)),IF((DQ99&lt;DS$44),(((DS$44-DQ99)*0.5)*DT99),0))),0),0))</f>
        <v>0</v>
      </c>
      <c s="588" r="DV99">
        <f>IF(ISNA((DQ99*DQ98)),0,IF((DN98=FALSE),IF((DN99=FALSE),IF(ISNA(DQ99),0,IF((DQ98&lt;DS$44),IF((DQ99&lt;DS$44),(((DT99^2)+((DQ99-DQ98)^2))^0.5),(((DT99^2)+((DS$44-DQ98)^2))^0.5)),IF((DQ99&lt;DS$44),(((DT99^2)+((DS$44-DQ99)^2))^0.5),0))),0),0))</f>
        <v>0</v>
      </c>
      <c s="588" r="DW99">
        <f>IF(ISNUMBER((DQ99*DQ98)),IF((DQ98&gt;=DC$148),IF((DQ99&lt;DC$148),1,0),IF((DQ99&gt;=DC$148),IF((DQ98&lt;DC$148),1,0),0)),0)</f>
        <v>0</v>
      </c>
      <c s="588" r="DX99">
        <f>IF(ISNA((DQ99*DQ98)),0,(IF((DP99&lt;DP98),-1,1)*(IF(ISNA(DQ99),0,IF((DQ98&lt;DC$148),IF((DQ99&lt;DC$148),(((DP99-DP98)^2)^0.5),(((((DC$148-DQ98)*(DP99-DP98))/(DQ99-DQ98))^2)^0.5)),IF((DQ99&lt;DC$148),(((((DC$148-DQ99)*(DP99-DP98))/(DQ98-DQ99))^2)^0.5),0))))))</f>
        <v>0</v>
      </c>
      <c s="441" r="DY99">
        <f>IF((DU99&gt;0),(MAX(DY$47:DY98)+1),0)</f>
        <v>0</v>
      </c>
      <c s="388" r="DZ99"/>
      <c s="406" r="EA99"/>
      <c s="886" r="EB99"/>
      <c s="886" r="EC99"/>
      <c s="886" r="ED99"/>
      <c s="886" r="EE99"/>
      <c s="418" r="EF99"/>
      <c s="550" r="EG99"/>
      <c s="550" r="EH99"/>
      <c t="str" s="620" r="EI99">
        <f>IF((COUNT(EH99:EH$146,EJ99:EJ$146)=0),NA(),IF(ISBLANK(EH99),EI98,(EI98+(EH99-EJ98))))</f>
        <v>#N/A:explicit</v>
      </c>
      <c s="550" r="EJ99"/>
      <c t="str" s="620" r="EK99">
        <f>IF(OR(ISBLANK(EJ99),ISNUMBER(EH100)),NA(),(EI99-EJ99))</f>
        <v>#N/A:explicit</v>
      </c>
      <c t="b" s="895" r="EL99">
        <v>0</v>
      </c>
      <c s="631" r="EM99"/>
      <c t="str" s="309" r="EN99">
        <f>IF((COUNT(EG99:EG$146)=0),NA(),IF(ISBLANK(EG99),IF(ISBLANK(EG98),MAX(EG$46:EG99),EG98),EG99))</f>
        <v>#N/A:explicit</v>
      </c>
      <c t="str" s="861" r="EO99">
        <f>IF(ISNA(EK99),IF(ISNUMBER(EN99),EO98,NA()),EK99)</f>
        <v>#N/A:explicit</v>
      </c>
      <c s="861" r="EP99">
        <f>IF(ISNUMBER(EO99),EO99,(EI$46+1000))</f>
        <v>1000</v>
      </c>
      <c t="str" s="588" r="EQ99">
        <f>IF((EL99=TRUE),NA(),IF((EQ$44=(EI$46-MAX(EJ$46:EJ$146))),NA(),EQ$44))</f>
        <v>#N/A:explicit</v>
      </c>
      <c s="588" r="ER99">
        <f>IF((ISNA(((EO99*EN99)*EO98))),0,(IF((EN99&lt;EN98),-1,1)*(IF((EL98=FALSE),IF((EL99=FALSE),IF(ISNA(EO99),0,IF((EO98&lt;EQ$44),IF((EO99&lt;EQ$44),(((EN99-EN98)^2)^0.5),(((((EQ$44-EO98)*(EN99-EN98))/(EO99-EO98))^2)^0.5)),IF((EO99&lt;EQ$44),(((((EQ$44-EO99)*(EN99-EN98))/(EO98-EO99))^2)^0.5),0))),0),0))))</f>
        <v>0</v>
      </c>
      <c s="588" r="ES99">
        <f>IF(ISNA((EO99*EO98)),0,IF((EL98=FALSE),IF((EL99=FALSE),IF(ISNA(EK99),0,IF((EO98&lt;EQ$44),IF((EO99&lt;EQ$44),((EQ$44-((EO98+EO99)*0.5))*ER99),(((EQ$44-EO98)*0.5)*ER99)),IF((EO99&lt;EQ$44),(((EQ$44-EO99)*0.5)*ER99),0))),0),0))</f>
        <v>0</v>
      </c>
      <c s="588" r="ET99">
        <f>IF(ISNA((EO99*EO98)),0,IF((EL98=FALSE),IF((EL99=FALSE),IF(ISNA(EO99),0,IF((EO98&lt;EQ$44),IF((EO99&lt;EQ$44),(((ER99^2)+((EO99-EO98)^2))^0.5),(((ER99^2)+((EQ$44-EO98)^2))^0.5)),IF((EO99&lt;EQ$44),(((ER99^2)+((EQ$44-EO99)^2))^0.5),0))),0),0))</f>
        <v>0</v>
      </c>
      <c s="588" r="EU99">
        <f>IF(ISNUMBER((EO99*EO98)),IF((EO98&gt;=EA$148),IF((EO99&lt;EA$148),1,0),IF((EO99&gt;=EA$148),IF((EO98&lt;EA$148),1,0),0)),0)</f>
        <v>0</v>
      </c>
      <c s="588" r="EV99">
        <f>IF(ISNA((EO99*EO98)),0,(IF((EN99&lt;EN98),-1,1)*(IF(ISNA(EO99),0,IF((EO98&lt;EA$148),IF((EO99&lt;EA$148),(((EN99-EN98)^2)^0.5),(((((EA$148-EO98)*(EN99-EN98))/(EO99-EO98))^2)^0.5)),IF((EO99&lt;EA$148),(((((EA$148-EO99)*(EN99-EN98))/(EO98-EO99))^2)^0.5),0))))))</f>
        <v>0</v>
      </c>
      <c s="441" r="EW99">
        <f>IF((ES99&gt;0),(MAX(EW$47:EW98)+1),0)</f>
        <v>0</v>
      </c>
      <c s="388" r="EX99"/>
      <c s="406" r="EY99"/>
      <c s="886" r="EZ99"/>
      <c s="886" r="FA99"/>
      <c s="886" r="FB99"/>
      <c s="886" r="FC99"/>
      <c s="418" r="FD99"/>
      <c s="550" r="FE99"/>
      <c s="550" r="FF99"/>
      <c t="str" s="620" r="FG99">
        <f>IF((COUNT(FF99:FF$146,FH99:FH$146)=0),NA(),IF(ISBLANK(FF99),FG98,(FG98+(FF99-FH98))))</f>
        <v>#N/A:explicit</v>
      </c>
      <c s="550" r="FH99"/>
      <c t="str" s="620" r="FI99">
        <f>IF(OR(ISBLANK(FH99),ISNUMBER(FF100)),NA(),(FG99-FH99))</f>
        <v>#N/A:explicit</v>
      </c>
      <c t="b" s="895" r="FJ99">
        <v>0</v>
      </c>
      <c s="631" r="FK99"/>
      <c t="str" s="309" r="FL99">
        <f>IF((COUNT(FE99:FE$146)=0),NA(),IF(ISBLANK(FE99),IF(ISBLANK(FE98),MAX(FE$46:FE99),FE98),FE99))</f>
        <v>#N/A:explicit</v>
      </c>
      <c t="str" s="861" r="FM99">
        <f>IF(ISNA(FI99),IF(ISNUMBER(FL99),FM98,NA()),FI99)</f>
        <v>#N/A:explicit</v>
      </c>
      <c s="861" r="FN99">
        <f>IF(ISNUMBER(FM99),FM99,(FG$46+1000))</f>
        <v>1000</v>
      </c>
      <c t="str" s="588" r="FO99">
        <f>IF((FJ99=TRUE),NA(),IF((FO$44=(FG$46-MAX(FH$46:FH$146))),NA(),FO$44))</f>
        <v>#N/A:explicit</v>
      </c>
      <c s="588" r="FP99">
        <f>IF((ISNA(((FM99*FL99)*FM98))),0,(IF((FL99&lt;FL98),-1,1)*(IF((FJ98=FALSE),IF((FJ99=FALSE),IF(ISNA(FM99),0,IF((FM98&lt;FO$44),IF((FM99&lt;FO$44),(((FL99-FL98)^2)^0.5),(((((FO$44-FM98)*(FL99-FL98))/(FM99-FM98))^2)^0.5)),IF((FM99&lt;FO$44),(((((FO$44-FM99)*(FL99-FL98))/(FM98-FM99))^2)^0.5),0))),0),0))))</f>
        <v>0</v>
      </c>
      <c s="588" r="FQ99">
        <f>IF(ISNA((FM99*FM98)),0,IF((FJ98=FALSE),IF((FJ99=FALSE),IF(ISNA(FI99),0,IF((FM98&lt;FO$44),IF((FM99&lt;FO$44),((FO$44-((FM98+FM99)*0.5))*FP99),(((FO$44-FM98)*0.5)*FP99)),IF((FM99&lt;FO$44),(((FO$44-FM99)*0.5)*FP99),0))),0),0))</f>
        <v>0</v>
      </c>
      <c s="588" r="FR99">
        <f>IF(ISNA((FM99*FM98)),0,IF((FJ98=FALSE),IF((FJ99=FALSE),IF(ISNA(FM99),0,IF((FM98&lt;FO$44),IF((FM99&lt;FO$44),(((FP99^2)+((FM99-FM98)^2))^0.5),(((FP99^2)+((FO$44-FM98)^2))^0.5)),IF((FM99&lt;FO$44),(((FP99^2)+((FO$44-FM99)^2))^0.5),0))),0),0))</f>
        <v>0</v>
      </c>
      <c s="588" r="FS99">
        <f>IF(ISNUMBER((FM99*FM98)),IF((FM98&gt;=EY$148),IF((FM99&lt;EY$148),1,0),IF((FM99&gt;=EY$148),IF((FM98&lt;EY$148),1,0),0)),0)</f>
        <v>0</v>
      </c>
      <c s="588" r="FT99">
        <f>IF(ISNA((FM99*FM98)),0,(IF((FL99&lt;FL98),-1,1)*(IF(ISNA(FM99),0,IF((FM98&lt;EY$148),IF((FM99&lt;EY$148),(((FL99-FL98)^2)^0.5),(((((EY$148-FM98)*(FL99-FL98))/(FM99-FM98))^2)^0.5)),IF((FM99&lt;EY$148),(((((EY$148-FM99)*(FL99-FL98))/(FM98-FM99))^2)^0.5),0))))))</f>
        <v>0</v>
      </c>
      <c s="441" r="FU99">
        <f>IF((FQ99&gt;0),(MAX(FU$47:FU98)+1),0)</f>
        <v>0</v>
      </c>
      <c s="222" r="FV99"/>
      <c s="125" r="FW99"/>
      <c s="125" r="FX99"/>
      <c s="125" r="FY99"/>
      <c s="125" r="FZ99"/>
      <c s="125" r="GA99"/>
      <c s="125" r="GB99"/>
      <c s="125" r="GC99"/>
      <c s="125" r="GD99"/>
      <c s="125" r="GE99"/>
      <c s="125" r="GF99"/>
      <c s="125" r="GG99"/>
      <c s="125" r="GH99"/>
      <c s="125" r="GI99"/>
      <c s="125" r="GJ99"/>
      <c s="125" r="GK99"/>
      <c s="125" r="GL99"/>
      <c s="125" r="GM99"/>
      <c s="125" r="GN99"/>
      <c s="125" r="GO99"/>
      <c s="125" r="GP99"/>
      <c s="761" r="GQ99"/>
      <c s="761" r="GR99"/>
      <c s="761" r="GS99"/>
      <c s="761" r="GT99"/>
      <c s="761" r="GU99"/>
      <c s="125" r="GV99"/>
      <c s="125" r="GW99"/>
      <c s="125" r="GX99"/>
      <c s="125" r="GY99"/>
      <c s="125" r="GZ99"/>
      <c s="125" r="HA99"/>
      <c s="125" r="HB99"/>
    </row>
    <row r="100">
      <c s="822" r="A100"/>
      <c s="178" r="B100"/>
      <c s="640" r="C100"/>
      <c s="640" r="D100"/>
      <c t="s" s="727" r="E100">
        <v>79</v>
      </c>
      <c t="str" s="126" r="F100">
        <f>IF(ISNUMBER((F91/F92)),(F91/F92),"---")</f>
        <v>---</v>
      </c>
      <c t="str" s="485" r="G100">
        <f>'Dimension Estimated Values'!$J$6</f>
        <v>---</v>
      </c>
      <c t="str" s="564" r="H100">
        <f>'Dimension Estimated Values'!$J$7</f>
        <v>---</v>
      </c>
      <c s="51" r="I100"/>
      <c s="822" r="J100"/>
      <c s="406" r="K100"/>
      <c s="886" r="L100"/>
      <c s="886" r="M100"/>
      <c s="886" r="N100"/>
      <c s="886" r="O100"/>
      <c s="418" r="P100"/>
      <c s="550" r="Q100"/>
      <c s="550" r="R100"/>
      <c t="str" s="620" r="S100">
        <f>IF((COUNT(R100:R$146,T100:T$146)=0),NA(),IF(ISBLANK(R100),S99,(S99+(R100-T99))))</f>
        <v>#N/A:explicit</v>
      </c>
      <c s="550" r="T100"/>
      <c t="str" s="620" r="U100">
        <f>IF(OR(ISBLANK(T100),ISNUMBER(R101)),NA(),(S100-T100))</f>
        <v>#N/A:explicit</v>
      </c>
      <c t="b" s="895" r="V100">
        <v>0</v>
      </c>
      <c s="631" r="W100"/>
      <c t="str" s="309" r="X100">
        <f>IF((COUNT(Q100:Q$146)=0),NA(),IF(ISBLANK(Q100),IF(ISBLANK(Q99),MAX(Q$46:Q100),Q99),Q100))</f>
        <v>#N/A:explicit</v>
      </c>
      <c t="str" s="861" r="Y100">
        <f>IF(ISNA(U100),IF(ISNUMBER(X100),Y99,NA()),U100)</f>
        <v>#N/A:explicit</v>
      </c>
      <c s="861" r="Z100">
        <f>IF(ISNUMBER(Y100),Y100,(S$46+1000))</f>
        <v>1000</v>
      </c>
      <c t="str" s="588" r="AA100">
        <f>IF((V100=TRUE),NA(),IF((AA$44=(S$46-MAX(T$46:T$146))),NA(),AA$44))</f>
        <v>#N/A:explicit</v>
      </c>
      <c s="588" r="AB100">
        <f>IF((ISNA(((Y100*X100)*Y99))),0,(IF((X100&lt;X99),-1,1)*(IF((V99=FALSE),IF((V100=FALSE),IF(ISNA(Y100),0,IF((Y99&lt;AA$44),IF((Y100&lt;AA$44),(((X100-X99)^2)^0.5),(((((AA$44-Y99)*(X100-X99))/(Y100-Y99))^2)^0.5)),IF((Y100&lt;AA$44),(((((AA$44-Y100)*(X100-X99))/(Y99-Y100))^2)^0.5),0))),0),0))))</f>
        <v>0</v>
      </c>
      <c s="588" r="AC100">
        <f>IF(ISNA((Y100*Y99)),0,IF((V99=FALSE),IF((V100=FALSE),IF(ISNA(U100),0,IF((Y99&lt;AA$44),IF((Y100&lt;AA$44),((AA$44-((Y99+Y100)*0.5))*AB100),(((AA$44-Y99)*0.5)*AB100)),IF((Y100&lt;AA$44),(((AA$44-Y100)*0.5)*AB100),0))),0),0))</f>
        <v>0</v>
      </c>
      <c s="588" r="AD100">
        <f>IF(ISNA((Y100*Y99)),0,IF((V99=FALSE),IF((V100=FALSE),IF(ISNA(Y100),0,IF((Y99&lt;AA$44),IF((Y100&lt;AA$44),(((AB100^2)+((Y100-Y99)^2))^0.5),(((AB100^2)+((AA$44-Y99)^2))^0.5)),IF((Y100&lt;AA$44),(((AB100^2)+((AA$44-Y100)^2))^0.5),0))),0),0))</f>
        <v>0</v>
      </c>
      <c s="588" r="AE100">
        <f>IF(ISNUMBER((Y100*Y99)),IF((Y99&gt;=K$148),IF((Y100&lt;K$148),1,0),IF((Y100&gt;=K$148),IF((Y99&lt;K$148),1,0),0)),0)</f>
        <v>0</v>
      </c>
      <c s="588" r="AF100">
        <f>IF(ISNA((Y100*Y99)),0,(IF((X100&lt;X99),-1,1)*(IF(ISNA(Y100),0,IF((Y99&lt;K$148),IF((Y100&lt;K$148),(((X100-X99)^2)^0.5),(((((K$148-Y99)*(X100-X99))/(Y100-Y99))^2)^0.5)),IF((Y100&lt;K$148),(((((K$148-Y100)*(X100-X99))/(Y99-Y100))^2)^0.5),0))))))</f>
        <v>0</v>
      </c>
      <c s="441" r="AG100">
        <f>IF((AC100&gt;0),(MAX(AG$47:AG99)+1),0)</f>
        <v>0</v>
      </c>
      <c s="388" r="AH100"/>
      <c s="406" r="AI100"/>
      <c s="886" r="AJ100"/>
      <c s="886" r="AK100"/>
      <c s="886" r="AL100"/>
      <c s="886" r="AM100"/>
      <c s="418" r="AN100"/>
      <c s="550" r="AO100"/>
      <c s="550" r="AP100"/>
      <c t="str" s="620" r="AQ100">
        <f>IF((COUNT(AP100:AP$146,AR100:AR$146)=0),NA(),IF(ISBLANK(AP100),AQ99,(AQ99+(AP100-AR99))))</f>
        <v>#N/A:explicit</v>
      </c>
      <c s="550" r="AR100"/>
      <c t="str" s="620" r="AS100">
        <f>IF(OR(ISBLANK(AR100),ISNUMBER(AP101)),NA(),(AQ100-AR100))</f>
        <v>#N/A:explicit</v>
      </c>
      <c t="b" s="895" r="AT100">
        <v>0</v>
      </c>
      <c s="631" r="AU100"/>
      <c t="str" s="309" r="AV100">
        <f>IF((COUNT(AO100:AO$146)=0),NA(),IF(ISBLANK(AO100),IF(ISBLANK(AO99),MAX(AO$46:AO100),AO99),AO100))</f>
        <v>#N/A:explicit</v>
      </c>
      <c t="str" s="861" r="AW100">
        <f>IF(ISNA(AS100),IF(ISNUMBER(AV100),AW99,NA()),AS100)</f>
        <v>#N/A:explicit</v>
      </c>
      <c s="861" r="AX100">
        <f>IF(ISNUMBER(AW100),AW100,(AQ$46+1000))</f>
        <v>1000</v>
      </c>
      <c t="str" s="588" r="AY100">
        <f>IF((AT100=TRUE),NA(),IF((AY$44=(AQ$46-MAX(AR$46:AR$146))),NA(),AY$44))</f>
        <v>#N/A:explicit</v>
      </c>
      <c s="588" r="AZ100">
        <f>IF((ISNA(((AW100*AV100)*AW99))),0,(IF((AV100&lt;AV99),-1,1)*(IF((AT99=FALSE),IF((AT100=FALSE),IF(ISNA(AW100),0,IF((AW99&lt;AY$44),IF((AW100&lt;AY$44),(((AV100-AV99)^2)^0.5),(((((AY$44-AW99)*(AV100-AV99))/(AW100-AW99))^2)^0.5)),IF((AW100&lt;AY$44),(((((AY$44-AW100)*(AV100-AV99))/(AW99-AW100))^2)^0.5),0))),0),0))))</f>
        <v>0</v>
      </c>
      <c s="588" r="BA100">
        <f>IF(ISNA((AW100*AW99)),0,IF((AT99=FALSE),IF((AT100=FALSE),IF(ISNA(AS100),0,IF((AW99&lt;AY$44),IF((AW100&lt;AY$44),((AY$44-((AW99+AW100)*0.5))*AZ100),(((AY$44-AW99)*0.5)*AZ100)),IF((AW100&lt;AY$44),(((AY$44-AW100)*0.5)*AZ100),0))),0),0))</f>
        <v>0</v>
      </c>
      <c s="588" r="BB100">
        <f>IF(ISNA((AW100*AW99)),0,IF((AT99=FALSE),IF((AT100=FALSE),IF(ISNA(AW100),0,IF((AW99&lt;AY$44),IF((AW100&lt;AY$44),(((AZ100^2)+((AW100-AW99)^2))^0.5),(((AZ100^2)+((AY$44-AW99)^2))^0.5)),IF((AW100&lt;AY$44),(((AZ100^2)+((AY$44-AW100)^2))^0.5),0))),0),0))</f>
        <v>0</v>
      </c>
      <c s="588" r="BC100">
        <f>IF(ISNUMBER((AW100*AW99)),IF((AW99&gt;=AI$148),IF((AW100&lt;AI$148),1,0),IF((AW100&gt;=AI$148),IF((AW99&lt;AI$148),1,0),0)),0)</f>
        <v>0</v>
      </c>
      <c s="588" r="BD100">
        <f>IF(ISNA((AW100*AW99)),0,(IF((AV100&lt;AV99),-1,1)*(IF(ISNA(AW100),0,IF((AW99&lt;AI$148),IF((AW100&lt;AI$148),(((AV100-AV99)^2)^0.5),(((((AI$148-AW99)*(AV100-AV99))/(AW100-AW99))^2)^0.5)),IF((AW100&lt;AI$148),(((((AI$148-AW100)*(AV100-AV99))/(AW99-AW100))^2)^0.5),0))))))</f>
        <v>0</v>
      </c>
      <c s="441" r="BE100">
        <f>IF((BA100&gt;0),(MAX(BE$47:BE99)+1),0)</f>
        <v>0</v>
      </c>
      <c s="388" r="BF100"/>
      <c s="406" r="BG100"/>
      <c s="886" r="BH100"/>
      <c s="886" r="BI100"/>
      <c s="886" r="BJ100"/>
      <c s="886" r="BK100"/>
      <c s="418" r="BL100"/>
      <c s="550" r="BM100"/>
      <c s="550" r="BN100"/>
      <c t="str" s="620" r="BO100">
        <f>IF((COUNT(BN100:BN$146,BP100:BP$146)=0),NA(),IF(ISBLANK(BN100),BO99,(BO99+(BN100-BP99))))</f>
        <v>#N/A:explicit</v>
      </c>
      <c s="550" r="BP100"/>
      <c t="str" s="620" r="BQ100">
        <f>IF(OR(ISBLANK(BP100),ISNUMBER(BN101)),NA(),(BO100-BP100))</f>
        <v>#N/A:explicit</v>
      </c>
      <c t="b" s="895" r="BR100">
        <v>0</v>
      </c>
      <c s="631" r="BS100"/>
      <c t="str" s="309" r="BT100">
        <f>IF((COUNT(BM100:BM$146)=0),NA(),IF(ISBLANK(BM100),IF(ISBLANK(BM99),MAX(BM$46:BM100),BM99),BM100))</f>
        <v>#N/A:explicit</v>
      </c>
      <c t="str" s="861" r="BU100">
        <f>IF(ISNA(BQ100),IF(ISNUMBER(BT100),BU99,NA()),BQ100)</f>
        <v>#N/A:explicit</v>
      </c>
      <c s="861" r="BV100">
        <f>IF(ISNUMBER(BU100),BU100,(BO$46+1000))</f>
        <v>1000</v>
      </c>
      <c t="str" s="588" r="BW100">
        <f>IF((BR100=TRUE),NA(),IF((BW$44=(BO$46-MAX(BP$46:BP$146))),NA(),BW$44))</f>
        <v>#N/A:explicit</v>
      </c>
      <c s="588" r="BX100">
        <f>IF((ISNA(((BU100*BT100)*BU99))),0,(IF((BT100&lt;BT99),-1,1)*(IF((BR99=FALSE),IF((BR100=FALSE),IF(ISNA(BU100),0,IF((BU99&lt;BW$44),IF((BU100&lt;BW$44),(((BT100-BT99)^2)^0.5),(((((BW$44-BU99)*(BT100-BT99))/(BU100-BU99))^2)^0.5)),IF((BU100&lt;BW$44),(((((BW$44-BU100)*(BT100-BT99))/(BU99-BU100))^2)^0.5),0))),0),0))))</f>
        <v>0</v>
      </c>
      <c s="588" r="BY100">
        <f>IF(ISNA((BU100*BU99)),0,IF((BR99=FALSE),IF((BR100=FALSE),IF(ISNA(BQ100),0,IF((BU99&lt;BW$44),IF((BU100&lt;BW$44),((BW$44-((BU99+BU100)*0.5))*BX100),(((BW$44-BU99)*0.5)*BX100)),IF((BU100&lt;BW$44),(((BW$44-BU100)*0.5)*BX100),0))),0),0))</f>
        <v>0</v>
      </c>
      <c s="588" r="BZ100">
        <f>IF(ISNA((BU100*BU99)),0,IF((BR99=FALSE),IF((BR100=FALSE),IF(ISNA(BU100),0,IF((BU99&lt;BW$44),IF((BU100&lt;BW$44),(((BX100^2)+((BU100-BU99)^2))^0.5),(((BX100^2)+((BW$44-BU99)^2))^0.5)),IF((BU100&lt;BW$44),(((BX100^2)+((BW$44-BU100)^2))^0.5),0))),0),0))</f>
        <v>0</v>
      </c>
      <c s="588" r="CA100">
        <f>IF(ISNUMBER((BU100*BU99)),IF((BU99&gt;=BG$148),IF((BU100&lt;BG$148),1,0),IF((BU100&gt;=BG$148),IF((BU99&lt;BG$148),1,0),0)),0)</f>
        <v>0</v>
      </c>
      <c s="588" r="CB100">
        <f>IF(ISNA((BU100*BU99)),0,(IF((BT100&lt;BT99),-1,1)*(IF(ISNA(BU100),0,IF((BU99&lt;BG$148),IF((BU100&lt;BG$148),(((BT100-BT99)^2)^0.5),(((((BG$148-BU99)*(BT100-BT99))/(BU100-BU99))^2)^0.5)),IF((BU100&lt;BG$148),(((((BG$148-BU100)*(BT100-BT99))/(BU99-BU100))^2)^0.5),0))))))</f>
        <v>0</v>
      </c>
      <c s="441" r="CC100">
        <f>IF((BY100&gt;0),(MAX(CC$47:CC99)+1),0)</f>
        <v>0</v>
      </c>
      <c s="388" r="CD100"/>
      <c s="406" r="CE100"/>
      <c s="886" r="CF100"/>
      <c s="886" r="CG100"/>
      <c s="886" r="CH100"/>
      <c s="886" r="CI100"/>
      <c s="418" r="CJ100"/>
      <c s="550" r="CK100"/>
      <c s="550" r="CL100"/>
      <c t="str" s="620" r="CM100">
        <f>IF((COUNT(CL100:CL$146,CN100:CN$146)=0),NA(),IF(ISBLANK(CL100),CM99,(CM99+(CL100-CN99))))</f>
        <v>#N/A:explicit</v>
      </c>
      <c s="550" r="CN100"/>
      <c t="str" s="620" r="CO100">
        <f>IF(OR(ISBLANK(CN100),ISNUMBER(CL101)),NA(),(CM100-CN100))</f>
        <v>#N/A:explicit</v>
      </c>
      <c t="b" s="895" r="CP100">
        <v>0</v>
      </c>
      <c s="631" r="CQ100"/>
      <c t="str" s="309" r="CR100">
        <f>IF((COUNT(CK100:CK$146)=0),NA(),IF(ISBLANK(CK100),IF(ISBLANK(CK99),MAX(CK$46:CK100),CK99),CK100))</f>
        <v>#N/A:explicit</v>
      </c>
      <c t="str" s="861" r="CS100">
        <f>IF(ISNA(CO100),IF(ISNUMBER(CR100),CS99,NA()),CO100)</f>
        <v>#N/A:explicit</v>
      </c>
      <c s="861" r="CT100">
        <f>IF(ISNUMBER(CS100),CS100,(CM$46+1000))</f>
        <v>1000</v>
      </c>
      <c t="str" s="588" r="CU100">
        <f>IF((CP100=TRUE),NA(),IF((CU$44=(CM$46-MAX(CN$46:CN$146))),NA(),CU$44))</f>
        <v>#N/A:explicit</v>
      </c>
      <c s="588" r="CV100">
        <f>IF((ISNA(((CS100*CR100)*CS99))),0,(IF((CR100&lt;CR99),-1,1)*(IF((CP99=FALSE),IF((CP100=FALSE),IF(ISNA(CS100),0,IF((CS99&lt;CU$44),IF((CS100&lt;CU$44),(((CR100-CR99)^2)^0.5),(((((CU$44-CS99)*(CR100-CR99))/(CS100-CS99))^2)^0.5)),IF((CS100&lt;CU$44),(((((CU$44-CS100)*(CR100-CR99))/(CS99-CS100))^2)^0.5),0))),0),0))))</f>
        <v>0</v>
      </c>
      <c s="588" r="CW100">
        <f>IF(ISNA((CS100*CS99)),0,IF((CP99=FALSE),IF((CP100=FALSE),IF(ISNA(CO100),0,IF((CS99&lt;CU$44),IF((CS100&lt;CU$44),((CU$44-((CS99+CS100)*0.5))*CV100),(((CU$44-CS99)*0.5)*CV100)),IF((CS100&lt;CU$44),(((CU$44-CS100)*0.5)*CV100),0))),0),0))</f>
        <v>0</v>
      </c>
      <c s="588" r="CX100">
        <f>IF(ISNA((CS100*CS99)),0,IF((CP99=FALSE),IF((CP100=FALSE),IF(ISNA(CS100),0,IF((CS99&lt;CU$44),IF((CS100&lt;CU$44),(((CV100^2)+((CS100-CS99)^2))^0.5),(((CV100^2)+((CU$44-CS99)^2))^0.5)),IF((CS100&lt;CU$44),(((CV100^2)+((CU$44-CS100)^2))^0.5),0))),0),0))</f>
        <v>0</v>
      </c>
      <c s="588" r="CY100">
        <f>IF(ISNUMBER((CS100*CS99)),IF((CS99&gt;=CE$148),IF((CS100&lt;CE$148),1,0),IF((CS100&gt;=CE$148),IF((CS99&lt;CE$148),1,0),0)),0)</f>
        <v>0</v>
      </c>
      <c s="588" r="CZ100">
        <f>IF(ISNA((CS100*CS99)),0,(IF((CR100&lt;CR99),-1,1)*(IF(ISNA(CS100),0,IF((CS99&lt;CE$148),IF((CS100&lt;CE$148),(((CR100-CR99)^2)^0.5),(((((CE$148-CS99)*(CR100-CR99))/(CS100-CS99))^2)^0.5)),IF((CS100&lt;CE$148),(((((CE$148-CS100)*(CR100-CR99))/(CS99-CS100))^2)^0.5),0))))))</f>
        <v>0</v>
      </c>
      <c s="441" r="DA100">
        <f>IF((CW100&gt;0),(MAX(DA$47:DA99)+1),0)</f>
        <v>0</v>
      </c>
      <c s="388" r="DB100"/>
      <c s="406" r="DC100"/>
      <c s="886" r="DD100"/>
      <c s="886" r="DE100"/>
      <c s="886" r="DF100"/>
      <c s="886" r="DG100"/>
      <c s="418" r="DH100"/>
      <c s="550" r="DI100"/>
      <c s="550" r="DJ100"/>
      <c t="str" s="620" r="DK100">
        <f>IF((COUNT(DJ100:DJ$146,DL100:DL$146)=0),NA(),IF(ISBLANK(DJ100),DK99,(DK99+(DJ100-DL99))))</f>
        <v>#N/A:explicit</v>
      </c>
      <c s="550" r="DL100"/>
      <c t="str" s="620" r="DM100">
        <f>IF(OR(ISBLANK(DL100),ISNUMBER(DJ101)),NA(),(DK100-DL100))</f>
        <v>#N/A:explicit</v>
      </c>
      <c t="b" s="895" r="DN100">
        <v>0</v>
      </c>
      <c s="631" r="DO100"/>
      <c t="str" s="309" r="DP100">
        <f>IF((COUNT(DI100:DI$146)=0),NA(),IF(ISBLANK(DI100),IF(ISBLANK(DI99),MAX(DI$46:DI100),DI99),DI100))</f>
        <v>#N/A:explicit</v>
      </c>
      <c t="str" s="861" r="DQ100">
        <f>IF(ISNA(DM100),IF(ISNUMBER(DP100),DQ99,NA()),DM100)</f>
        <v>#N/A:explicit</v>
      </c>
      <c s="861" r="DR100">
        <f>IF(ISNUMBER(DQ100),DQ100,(DK$46+1000))</f>
        <v>1000</v>
      </c>
      <c t="str" s="588" r="DS100">
        <f>IF((DN100=TRUE),NA(),IF((DS$44=(DK$46-MAX(DL$46:DL$146))),NA(),DS$44))</f>
        <v>#N/A:explicit</v>
      </c>
      <c s="588" r="DT100">
        <f>IF((ISNA(((DQ100*DP100)*DQ99))),0,(IF((DP100&lt;DP99),-1,1)*(IF((DN99=FALSE),IF((DN100=FALSE),IF(ISNA(DQ100),0,IF((DQ99&lt;DS$44),IF((DQ100&lt;DS$44),(((DP100-DP99)^2)^0.5),(((((DS$44-DQ99)*(DP100-DP99))/(DQ100-DQ99))^2)^0.5)),IF((DQ100&lt;DS$44),(((((DS$44-DQ100)*(DP100-DP99))/(DQ99-DQ100))^2)^0.5),0))),0),0))))</f>
        <v>0</v>
      </c>
      <c s="588" r="DU100">
        <f>IF(ISNA((DQ100*DQ99)),0,IF((DN99=FALSE),IF((DN100=FALSE),IF(ISNA(DM100),0,IF((DQ99&lt;DS$44),IF((DQ100&lt;DS$44),((DS$44-((DQ99+DQ100)*0.5))*DT100),(((DS$44-DQ99)*0.5)*DT100)),IF((DQ100&lt;DS$44),(((DS$44-DQ100)*0.5)*DT100),0))),0),0))</f>
        <v>0</v>
      </c>
      <c s="588" r="DV100">
        <f>IF(ISNA((DQ100*DQ99)),0,IF((DN99=FALSE),IF((DN100=FALSE),IF(ISNA(DQ100),0,IF((DQ99&lt;DS$44),IF((DQ100&lt;DS$44),(((DT100^2)+((DQ100-DQ99)^2))^0.5),(((DT100^2)+((DS$44-DQ99)^2))^0.5)),IF((DQ100&lt;DS$44),(((DT100^2)+((DS$44-DQ100)^2))^0.5),0))),0),0))</f>
        <v>0</v>
      </c>
      <c s="588" r="DW100">
        <f>IF(ISNUMBER((DQ100*DQ99)),IF((DQ99&gt;=DC$148),IF((DQ100&lt;DC$148),1,0),IF((DQ100&gt;=DC$148),IF((DQ99&lt;DC$148),1,0),0)),0)</f>
        <v>0</v>
      </c>
      <c s="588" r="DX100">
        <f>IF(ISNA((DQ100*DQ99)),0,(IF((DP100&lt;DP99),-1,1)*(IF(ISNA(DQ100),0,IF((DQ99&lt;DC$148),IF((DQ100&lt;DC$148),(((DP100-DP99)^2)^0.5),(((((DC$148-DQ99)*(DP100-DP99))/(DQ100-DQ99))^2)^0.5)),IF((DQ100&lt;DC$148),(((((DC$148-DQ100)*(DP100-DP99))/(DQ99-DQ100))^2)^0.5),0))))))</f>
        <v>0</v>
      </c>
      <c s="441" r="DY100">
        <f>IF((DU100&gt;0),(MAX(DY$47:DY99)+1),0)</f>
        <v>0</v>
      </c>
      <c s="388" r="DZ100"/>
      <c s="406" r="EA100"/>
      <c s="886" r="EB100"/>
      <c s="886" r="EC100"/>
      <c s="886" r="ED100"/>
      <c s="886" r="EE100"/>
      <c s="418" r="EF100"/>
      <c s="550" r="EG100"/>
      <c s="550" r="EH100"/>
      <c t="str" s="620" r="EI100">
        <f>IF((COUNT(EH100:EH$146,EJ100:EJ$146)=0),NA(),IF(ISBLANK(EH100),EI99,(EI99+(EH100-EJ99))))</f>
        <v>#N/A:explicit</v>
      </c>
      <c s="550" r="EJ100"/>
      <c t="str" s="620" r="EK100">
        <f>IF(OR(ISBLANK(EJ100),ISNUMBER(EH101)),NA(),(EI100-EJ100))</f>
        <v>#N/A:explicit</v>
      </c>
      <c t="b" s="895" r="EL100">
        <v>0</v>
      </c>
      <c s="631" r="EM100"/>
      <c t="str" s="309" r="EN100">
        <f>IF((COUNT(EG100:EG$146)=0),NA(),IF(ISBLANK(EG100),IF(ISBLANK(EG99),MAX(EG$46:EG100),EG99),EG100))</f>
        <v>#N/A:explicit</v>
      </c>
      <c t="str" s="861" r="EO100">
        <f>IF(ISNA(EK100),IF(ISNUMBER(EN100),EO99,NA()),EK100)</f>
        <v>#N/A:explicit</v>
      </c>
      <c s="861" r="EP100">
        <f>IF(ISNUMBER(EO100),EO100,(EI$46+1000))</f>
        <v>1000</v>
      </c>
      <c t="str" s="588" r="EQ100">
        <f>IF((EL100=TRUE),NA(),IF((EQ$44=(EI$46-MAX(EJ$46:EJ$146))),NA(),EQ$44))</f>
        <v>#N/A:explicit</v>
      </c>
      <c s="588" r="ER100">
        <f>IF((ISNA(((EO100*EN100)*EO99))),0,(IF((EN100&lt;EN99),-1,1)*(IF((EL99=FALSE),IF((EL100=FALSE),IF(ISNA(EO100),0,IF((EO99&lt;EQ$44),IF((EO100&lt;EQ$44),(((EN100-EN99)^2)^0.5),(((((EQ$44-EO99)*(EN100-EN99))/(EO100-EO99))^2)^0.5)),IF((EO100&lt;EQ$44),(((((EQ$44-EO100)*(EN100-EN99))/(EO99-EO100))^2)^0.5),0))),0),0))))</f>
        <v>0</v>
      </c>
      <c s="588" r="ES100">
        <f>IF(ISNA((EO100*EO99)),0,IF((EL99=FALSE),IF((EL100=FALSE),IF(ISNA(EK100),0,IF((EO99&lt;EQ$44),IF((EO100&lt;EQ$44),((EQ$44-((EO99+EO100)*0.5))*ER100),(((EQ$44-EO99)*0.5)*ER100)),IF((EO100&lt;EQ$44),(((EQ$44-EO100)*0.5)*ER100),0))),0),0))</f>
        <v>0</v>
      </c>
      <c s="588" r="ET100">
        <f>IF(ISNA((EO100*EO99)),0,IF((EL99=FALSE),IF((EL100=FALSE),IF(ISNA(EO100),0,IF((EO99&lt;EQ$44),IF((EO100&lt;EQ$44),(((ER100^2)+((EO100-EO99)^2))^0.5),(((ER100^2)+((EQ$44-EO99)^2))^0.5)),IF((EO100&lt;EQ$44),(((ER100^2)+((EQ$44-EO100)^2))^0.5),0))),0),0))</f>
        <v>0</v>
      </c>
      <c s="588" r="EU100">
        <f>IF(ISNUMBER((EO100*EO99)),IF((EO99&gt;=EA$148),IF((EO100&lt;EA$148),1,0),IF((EO100&gt;=EA$148),IF((EO99&lt;EA$148),1,0),0)),0)</f>
        <v>0</v>
      </c>
      <c s="588" r="EV100">
        <f>IF(ISNA((EO100*EO99)),0,(IF((EN100&lt;EN99),-1,1)*(IF(ISNA(EO100),0,IF((EO99&lt;EA$148),IF((EO100&lt;EA$148),(((EN100-EN99)^2)^0.5),(((((EA$148-EO99)*(EN100-EN99))/(EO100-EO99))^2)^0.5)),IF((EO100&lt;EA$148),(((((EA$148-EO100)*(EN100-EN99))/(EO99-EO100))^2)^0.5),0))))))</f>
        <v>0</v>
      </c>
      <c s="441" r="EW100">
        <f>IF((ES100&gt;0),(MAX(EW$47:EW99)+1),0)</f>
        <v>0</v>
      </c>
      <c s="388" r="EX100"/>
      <c s="406" r="EY100"/>
      <c s="886" r="EZ100"/>
      <c s="886" r="FA100"/>
      <c s="886" r="FB100"/>
      <c s="886" r="FC100"/>
      <c s="418" r="FD100"/>
      <c s="550" r="FE100"/>
      <c s="550" r="FF100"/>
      <c t="str" s="620" r="FG100">
        <f>IF((COUNT(FF100:FF$146,FH100:FH$146)=0),NA(),IF(ISBLANK(FF100),FG99,(FG99+(FF100-FH99))))</f>
        <v>#N/A:explicit</v>
      </c>
      <c s="550" r="FH100"/>
      <c t="str" s="620" r="FI100">
        <f>IF(OR(ISBLANK(FH100),ISNUMBER(FF101)),NA(),(FG100-FH100))</f>
        <v>#N/A:explicit</v>
      </c>
      <c t="b" s="895" r="FJ100">
        <v>0</v>
      </c>
      <c s="631" r="FK100"/>
      <c t="str" s="309" r="FL100">
        <f>IF((COUNT(FE100:FE$146)=0),NA(),IF(ISBLANK(FE100),IF(ISBLANK(FE99),MAX(FE$46:FE100),FE99),FE100))</f>
        <v>#N/A:explicit</v>
      </c>
      <c t="str" s="861" r="FM100">
        <f>IF(ISNA(FI100),IF(ISNUMBER(FL100),FM99,NA()),FI100)</f>
        <v>#N/A:explicit</v>
      </c>
      <c s="861" r="FN100">
        <f>IF(ISNUMBER(FM100),FM100,(FG$46+1000))</f>
        <v>1000</v>
      </c>
      <c t="str" s="588" r="FO100">
        <f>IF((FJ100=TRUE),NA(),IF((FO$44=(FG$46-MAX(FH$46:FH$146))),NA(),FO$44))</f>
        <v>#N/A:explicit</v>
      </c>
      <c s="588" r="FP100">
        <f>IF((ISNA(((FM100*FL100)*FM99))),0,(IF((FL100&lt;FL99),-1,1)*(IF((FJ99=FALSE),IF((FJ100=FALSE),IF(ISNA(FM100),0,IF((FM99&lt;FO$44),IF((FM100&lt;FO$44),(((FL100-FL99)^2)^0.5),(((((FO$44-FM99)*(FL100-FL99))/(FM100-FM99))^2)^0.5)),IF((FM100&lt;FO$44),(((((FO$44-FM100)*(FL100-FL99))/(FM99-FM100))^2)^0.5),0))),0),0))))</f>
        <v>0</v>
      </c>
      <c s="588" r="FQ100">
        <f>IF(ISNA((FM100*FM99)),0,IF((FJ99=FALSE),IF((FJ100=FALSE),IF(ISNA(FI100),0,IF((FM99&lt;FO$44),IF((FM100&lt;FO$44),((FO$44-((FM99+FM100)*0.5))*FP100),(((FO$44-FM99)*0.5)*FP100)),IF((FM100&lt;FO$44),(((FO$44-FM100)*0.5)*FP100),0))),0),0))</f>
        <v>0</v>
      </c>
      <c s="588" r="FR100">
        <f>IF(ISNA((FM100*FM99)),0,IF((FJ99=FALSE),IF((FJ100=FALSE),IF(ISNA(FM100),0,IF((FM99&lt;FO$44),IF((FM100&lt;FO$44),(((FP100^2)+((FM100-FM99)^2))^0.5),(((FP100^2)+((FO$44-FM99)^2))^0.5)),IF((FM100&lt;FO$44),(((FP100^2)+((FO$44-FM100)^2))^0.5),0))),0),0))</f>
        <v>0</v>
      </c>
      <c s="588" r="FS100">
        <f>IF(ISNUMBER((FM100*FM99)),IF((FM99&gt;=EY$148),IF((FM100&lt;EY$148),1,0),IF((FM100&gt;=EY$148),IF((FM99&lt;EY$148),1,0),0)),0)</f>
        <v>0</v>
      </c>
      <c s="588" r="FT100">
        <f>IF(ISNA((FM100*FM99)),0,(IF((FL100&lt;FL99),-1,1)*(IF(ISNA(FM100),0,IF((FM99&lt;EY$148),IF((FM100&lt;EY$148),(((FL100-FL99)^2)^0.5),(((((EY$148-FM99)*(FL100-FL99))/(FM100-FM99))^2)^0.5)),IF((FM100&lt;EY$148),(((((EY$148-FM100)*(FL100-FL99))/(FM99-FM100))^2)^0.5),0))))))</f>
        <v>0</v>
      </c>
      <c s="441" r="FU100">
        <f>IF((FQ100&gt;0),(MAX(FU$47:FU99)+1),0)</f>
        <v>0</v>
      </c>
      <c s="222" r="FV100"/>
      <c s="125" r="FW100"/>
      <c s="125" r="FX100"/>
      <c s="125" r="FY100"/>
      <c s="125" r="FZ100"/>
      <c s="125" r="GA100"/>
      <c s="125" r="GB100"/>
      <c s="125" r="GC100"/>
      <c s="125" r="GD100"/>
      <c s="125" r="GE100"/>
      <c s="125" r="GF100"/>
      <c s="125" r="GG100"/>
      <c s="125" r="GH100"/>
      <c s="125" r="GI100"/>
      <c s="125" r="GJ100"/>
      <c s="125" r="GK100"/>
      <c s="125" r="GL100"/>
      <c s="125" r="GM100"/>
      <c s="125" r="GN100"/>
      <c s="125" r="GO100"/>
      <c s="125" r="GP100"/>
      <c s="761" r="GQ100"/>
      <c s="761" r="GR100"/>
      <c s="761" r="GS100"/>
      <c s="761" r="GT100"/>
      <c s="761" r="GU100"/>
      <c s="125" r="GV100"/>
      <c s="125" r="GW100"/>
      <c s="125" r="GX100"/>
      <c s="125" r="GY100"/>
      <c s="125" r="GZ100"/>
      <c s="125" r="HA100"/>
      <c s="125" r="HB100"/>
    </row>
    <row r="101">
      <c s="822" r="A101"/>
      <c s="908" r="B101"/>
      <c s="551" r="C101"/>
      <c s="551" r="D101"/>
      <c t="s" s="812" r="E101">
        <v>82</v>
      </c>
      <c t="str" s="719" r="F101">
        <f>IF(ISNUMBER((F88/$F91)),(F88/$F91),"---")</f>
        <v>---</v>
      </c>
      <c t="str" s="286" r="G101">
        <f>IF(ISNUMBER((G88/$F91)),(G88/$F91),"---")</f>
        <v>---</v>
      </c>
      <c t="str" s="224" r="H101">
        <f>IF(ISNUMBER((H88/$F91)),(H88/$F91),"---")</f>
        <v>---</v>
      </c>
      <c s="51" r="I101"/>
      <c s="822" r="J101"/>
      <c s="406" r="K101"/>
      <c s="886" r="L101"/>
      <c s="886" r="M101"/>
      <c s="886" r="N101"/>
      <c s="886" r="O101"/>
      <c s="418" r="P101"/>
      <c s="550" r="Q101"/>
      <c s="550" r="R101"/>
      <c t="str" s="620" r="S101">
        <f>IF((COUNT(R101:R$146,T101:T$146)=0),NA(),IF(ISBLANK(R101),S100,(S100+(R101-T100))))</f>
        <v>#N/A:explicit</v>
      </c>
      <c s="550" r="T101"/>
      <c t="str" s="620" r="U101">
        <f>IF(OR(ISBLANK(T101),ISNUMBER(R102)),NA(),(S101-T101))</f>
        <v>#N/A:explicit</v>
      </c>
      <c t="b" s="895" r="V101">
        <v>0</v>
      </c>
      <c s="631" r="W101"/>
      <c t="str" s="309" r="X101">
        <f>IF((COUNT(Q101:Q$146)=0),NA(),IF(ISBLANK(Q101),IF(ISBLANK(Q100),MAX(Q$46:Q101),Q100),Q101))</f>
        <v>#N/A:explicit</v>
      </c>
      <c t="str" s="861" r="Y101">
        <f>IF(ISNA(U101),IF(ISNUMBER(X101),Y100,NA()),U101)</f>
        <v>#N/A:explicit</v>
      </c>
      <c s="861" r="Z101">
        <f>IF(ISNUMBER(Y101),Y101,(S$46+1000))</f>
        <v>1000</v>
      </c>
      <c t="str" s="588" r="AA101">
        <f>IF((V101=TRUE),NA(),IF((AA$44=(S$46-MAX(T$46:T$146))),NA(),AA$44))</f>
        <v>#N/A:explicit</v>
      </c>
      <c s="588" r="AB101">
        <f>IF((ISNA(((Y101*X101)*Y100))),0,(IF((X101&lt;X100),-1,1)*(IF((V100=FALSE),IF((V101=FALSE),IF(ISNA(Y101),0,IF((Y100&lt;AA$44),IF((Y101&lt;AA$44),(((X101-X100)^2)^0.5),(((((AA$44-Y100)*(X101-X100))/(Y101-Y100))^2)^0.5)),IF((Y101&lt;AA$44),(((((AA$44-Y101)*(X101-X100))/(Y100-Y101))^2)^0.5),0))),0),0))))</f>
        <v>0</v>
      </c>
      <c s="588" r="AC101">
        <f>IF(ISNA((Y101*Y100)),0,IF((V100=FALSE),IF((V101=FALSE),IF(ISNA(U101),0,IF((Y100&lt;AA$44),IF((Y101&lt;AA$44),((AA$44-((Y100+Y101)*0.5))*AB101),(((AA$44-Y100)*0.5)*AB101)),IF((Y101&lt;AA$44),(((AA$44-Y101)*0.5)*AB101),0))),0),0))</f>
        <v>0</v>
      </c>
      <c s="588" r="AD101">
        <f>IF(ISNA((Y101*Y100)),0,IF((V100=FALSE),IF((V101=FALSE),IF(ISNA(Y101),0,IF((Y100&lt;AA$44),IF((Y101&lt;AA$44),(((AB101^2)+((Y101-Y100)^2))^0.5),(((AB101^2)+((AA$44-Y100)^2))^0.5)),IF((Y101&lt;AA$44),(((AB101^2)+((AA$44-Y101)^2))^0.5),0))),0),0))</f>
        <v>0</v>
      </c>
      <c s="588" r="AE101">
        <f>IF(ISNUMBER((Y101*Y100)),IF((Y100&gt;=K$148),IF((Y101&lt;K$148),1,0),IF((Y101&gt;=K$148),IF((Y100&lt;K$148),1,0),0)),0)</f>
        <v>0</v>
      </c>
      <c s="588" r="AF101">
        <f>IF(ISNA((Y101*Y100)),0,(IF((X101&lt;X100),-1,1)*(IF(ISNA(Y101),0,IF((Y100&lt;K$148),IF((Y101&lt;K$148),(((X101-X100)^2)^0.5),(((((K$148-Y100)*(X101-X100))/(Y101-Y100))^2)^0.5)),IF((Y101&lt;K$148),(((((K$148-Y101)*(X101-X100))/(Y100-Y101))^2)^0.5),0))))))</f>
        <v>0</v>
      </c>
      <c s="441" r="AG101">
        <f>IF((AC101&gt;0),(MAX(AG$47:AG100)+1),0)</f>
        <v>0</v>
      </c>
      <c s="388" r="AH101"/>
      <c s="406" r="AI101"/>
      <c s="886" r="AJ101"/>
      <c s="886" r="AK101"/>
      <c s="886" r="AL101"/>
      <c s="886" r="AM101"/>
      <c s="418" r="AN101"/>
      <c s="550" r="AO101"/>
      <c s="550" r="AP101"/>
      <c t="str" s="620" r="AQ101">
        <f>IF((COUNT(AP101:AP$146,AR101:AR$146)=0),NA(),IF(ISBLANK(AP101),AQ100,(AQ100+(AP101-AR100))))</f>
        <v>#N/A:explicit</v>
      </c>
      <c s="550" r="AR101"/>
      <c t="str" s="620" r="AS101">
        <f>IF(OR(ISBLANK(AR101),ISNUMBER(AP102)),NA(),(AQ101-AR101))</f>
        <v>#N/A:explicit</v>
      </c>
      <c t="b" s="895" r="AT101">
        <v>0</v>
      </c>
      <c s="631" r="AU101"/>
      <c t="str" s="309" r="AV101">
        <f>IF((COUNT(AO101:AO$146)=0),NA(),IF(ISBLANK(AO101),IF(ISBLANK(AO100),MAX(AO$46:AO101),AO100),AO101))</f>
        <v>#N/A:explicit</v>
      </c>
      <c t="str" s="861" r="AW101">
        <f>IF(ISNA(AS101),IF(ISNUMBER(AV101),AW100,NA()),AS101)</f>
        <v>#N/A:explicit</v>
      </c>
      <c s="861" r="AX101">
        <f>IF(ISNUMBER(AW101),AW101,(AQ$46+1000))</f>
        <v>1000</v>
      </c>
      <c t="str" s="588" r="AY101">
        <f>IF((AT101=TRUE),NA(),IF((AY$44=(AQ$46-MAX(AR$46:AR$146))),NA(),AY$44))</f>
        <v>#N/A:explicit</v>
      </c>
      <c s="588" r="AZ101">
        <f>IF((ISNA(((AW101*AV101)*AW100))),0,(IF((AV101&lt;AV100),-1,1)*(IF((AT100=FALSE),IF((AT101=FALSE),IF(ISNA(AW101),0,IF((AW100&lt;AY$44),IF((AW101&lt;AY$44),(((AV101-AV100)^2)^0.5),(((((AY$44-AW100)*(AV101-AV100))/(AW101-AW100))^2)^0.5)),IF((AW101&lt;AY$44),(((((AY$44-AW101)*(AV101-AV100))/(AW100-AW101))^2)^0.5),0))),0),0))))</f>
        <v>0</v>
      </c>
      <c s="588" r="BA101">
        <f>IF(ISNA((AW101*AW100)),0,IF((AT100=FALSE),IF((AT101=FALSE),IF(ISNA(AS101),0,IF((AW100&lt;AY$44),IF((AW101&lt;AY$44),((AY$44-((AW100+AW101)*0.5))*AZ101),(((AY$44-AW100)*0.5)*AZ101)),IF((AW101&lt;AY$44),(((AY$44-AW101)*0.5)*AZ101),0))),0),0))</f>
        <v>0</v>
      </c>
      <c s="588" r="BB101">
        <f>IF(ISNA((AW101*AW100)),0,IF((AT100=FALSE),IF((AT101=FALSE),IF(ISNA(AW101),0,IF((AW100&lt;AY$44),IF((AW101&lt;AY$44),(((AZ101^2)+((AW101-AW100)^2))^0.5),(((AZ101^2)+((AY$44-AW100)^2))^0.5)),IF((AW101&lt;AY$44),(((AZ101^2)+((AY$44-AW101)^2))^0.5),0))),0),0))</f>
        <v>0</v>
      </c>
      <c s="588" r="BC101">
        <f>IF(ISNUMBER((AW101*AW100)),IF((AW100&gt;=AI$148),IF((AW101&lt;AI$148),1,0),IF((AW101&gt;=AI$148),IF((AW100&lt;AI$148),1,0),0)),0)</f>
        <v>0</v>
      </c>
      <c s="588" r="BD101">
        <f>IF(ISNA((AW101*AW100)),0,(IF((AV101&lt;AV100),-1,1)*(IF(ISNA(AW101),0,IF((AW100&lt;AI$148),IF((AW101&lt;AI$148),(((AV101-AV100)^2)^0.5),(((((AI$148-AW100)*(AV101-AV100))/(AW101-AW100))^2)^0.5)),IF((AW101&lt;AI$148),(((((AI$148-AW101)*(AV101-AV100))/(AW100-AW101))^2)^0.5),0))))))</f>
        <v>0</v>
      </c>
      <c s="441" r="BE101">
        <f>IF((BA101&gt;0),(MAX(BE$47:BE100)+1),0)</f>
        <v>0</v>
      </c>
      <c s="388" r="BF101"/>
      <c s="406" r="BG101"/>
      <c s="886" r="BH101"/>
      <c s="886" r="BI101"/>
      <c s="886" r="BJ101"/>
      <c s="886" r="BK101"/>
      <c s="418" r="BL101"/>
      <c s="550" r="BM101"/>
      <c s="550" r="BN101"/>
      <c t="str" s="620" r="BO101">
        <f>IF((COUNT(BN101:BN$146,BP101:BP$146)=0),NA(),IF(ISBLANK(BN101),BO100,(BO100+(BN101-BP100))))</f>
        <v>#N/A:explicit</v>
      </c>
      <c s="550" r="BP101"/>
      <c t="str" s="620" r="BQ101">
        <f>IF(OR(ISBLANK(BP101),ISNUMBER(BN102)),NA(),(BO101-BP101))</f>
        <v>#N/A:explicit</v>
      </c>
      <c t="b" s="895" r="BR101">
        <v>0</v>
      </c>
      <c s="631" r="BS101"/>
      <c t="str" s="309" r="BT101">
        <f>IF((COUNT(BM101:BM$146)=0),NA(),IF(ISBLANK(BM101),IF(ISBLANK(BM100),MAX(BM$46:BM101),BM100),BM101))</f>
        <v>#N/A:explicit</v>
      </c>
      <c t="str" s="861" r="BU101">
        <f>IF(ISNA(BQ101),IF(ISNUMBER(BT101),BU100,NA()),BQ101)</f>
        <v>#N/A:explicit</v>
      </c>
      <c s="861" r="BV101">
        <f>IF(ISNUMBER(BU101),BU101,(BO$46+1000))</f>
        <v>1000</v>
      </c>
      <c t="str" s="588" r="BW101">
        <f>IF((BR101=TRUE),NA(),IF((BW$44=(BO$46-MAX(BP$46:BP$146))),NA(),BW$44))</f>
        <v>#N/A:explicit</v>
      </c>
      <c s="588" r="BX101">
        <f>IF((ISNA(((BU101*BT101)*BU100))),0,(IF((BT101&lt;BT100),-1,1)*(IF((BR100=FALSE),IF((BR101=FALSE),IF(ISNA(BU101),0,IF((BU100&lt;BW$44),IF((BU101&lt;BW$44),(((BT101-BT100)^2)^0.5),(((((BW$44-BU100)*(BT101-BT100))/(BU101-BU100))^2)^0.5)),IF((BU101&lt;BW$44),(((((BW$44-BU101)*(BT101-BT100))/(BU100-BU101))^2)^0.5),0))),0),0))))</f>
        <v>0</v>
      </c>
      <c s="588" r="BY101">
        <f>IF(ISNA((BU101*BU100)),0,IF((BR100=FALSE),IF((BR101=FALSE),IF(ISNA(BQ101),0,IF((BU100&lt;BW$44),IF((BU101&lt;BW$44),((BW$44-((BU100+BU101)*0.5))*BX101),(((BW$44-BU100)*0.5)*BX101)),IF((BU101&lt;BW$44),(((BW$44-BU101)*0.5)*BX101),0))),0),0))</f>
        <v>0</v>
      </c>
      <c s="588" r="BZ101">
        <f>IF(ISNA((BU101*BU100)),0,IF((BR100=FALSE),IF((BR101=FALSE),IF(ISNA(BU101),0,IF((BU100&lt;BW$44),IF((BU101&lt;BW$44),(((BX101^2)+((BU101-BU100)^2))^0.5),(((BX101^2)+((BW$44-BU100)^2))^0.5)),IF((BU101&lt;BW$44),(((BX101^2)+((BW$44-BU101)^2))^0.5),0))),0),0))</f>
        <v>0</v>
      </c>
      <c s="588" r="CA101">
        <f>IF(ISNUMBER((BU101*BU100)),IF((BU100&gt;=BG$148),IF((BU101&lt;BG$148),1,0),IF((BU101&gt;=BG$148),IF((BU100&lt;BG$148),1,0),0)),0)</f>
        <v>0</v>
      </c>
      <c s="588" r="CB101">
        <f>IF(ISNA((BU101*BU100)),0,(IF((BT101&lt;BT100),-1,1)*(IF(ISNA(BU101),0,IF((BU100&lt;BG$148),IF((BU101&lt;BG$148),(((BT101-BT100)^2)^0.5),(((((BG$148-BU100)*(BT101-BT100))/(BU101-BU100))^2)^0.5)),IF((BU101&lt;BG$148),(((((BG$148-BU101)*(BT101-BT100))/(BU100-BU101))^2)^0.5),0))))))</f>
        <v>0</v>
      </c>
      <c s="441" r="CC101">
        <f>IF((BY101&gt;0),(MAX(CC$47:CC100)+1),0)</f>
        <v>0</v>
      </c>
      <c s="388" r="CD101"/>
      <c s="406" r="CE101"/>
      <c s="886" r="CF101"/>
      <c s="886" r="CG101"/>
      <c s="886" r="CH101"/>
      <c s="886" r="CI101"/>
      <c s="418" r="CJ101"/>
      <c s="550" r="CK101"/>
      <c s="550" r="CL101"/>
      <c t="str" s="620" r="CM101">
        <f>IF((COUNT(CL101:CL$146,CN101:CN$146)=0),NA(),IF(ISBLANK(CL101),CM100,(CM100+(CL101-CN100))))</f>
        <v>#N/A:explicit</v>
      </c>
      <c s="550" r="CN101"/>
      <c t="str" s="620" r="CO101">
        <f>IF(OR(ISBLANK(CN101),ISNUMBER(CL102)),NA(),(CM101-CN101))</f>
        <v>#N/A:explicit</v>
      </c>
      <c t="b" s="895" r="CP101">
        <v>0</v>
      </c>
      <c s="631" r="CQ101"/>
      <c t="str" s="309" r="CR101">
        <f>IF((COUNT(CK101:CK$146)=0),NA(),IF(ISBLANK(CK101),IF(ISBLANK(CK100),MAX(CK$46:CK101),CK100),CK101))</f>
        <v>#N/A:explicit</v>
      </c>
      <c t="str" s="861" r="CS101">
        <f>IF(ISNA(CO101),IF(ISNUMBER(CR101),CS100,NA()),CO101)</f>
        <v>#N/A:explicit</v>
      </c>
      <c s="861" r="CT101">
        <f>IF(ISNUMBER(CS101),CS101,(CM$46+1000))</f>
        <v>1000</v>
      </c>
      <c t="str" s="588" r="CU101">
        <f>IF((CP101=TRUE),NA(),IF((CU$44=(CM$46-MAX(CN$46:CN$146))),NA(),CU$44))</f>
        <v>#N/A:explicit</v>
      </c>
      <c s="588" r="CV101">
        <f>IF((ISNA(((CS101*CR101)*CS100))),0,(IF((CR101&lt;CR100),-1,1)*(IF((CP100=FALSE),IF((CP101=FALSE),IF(ISNA(CS101),0,IF((CS100&lt;CU$44),IF((CS101&lt;CU$44),(((CR101-CR100)^2)^0.5),(((((CU$44-CS100)*(CR101-CR100))/(CS101-CS100))^2)^0.5)),IF((CS101&lt;CU$44),(((((CU$44-CS101)*(CR101-CR100))/(CS100-CS101))^2)^0.5),0))),0),0))))</f>
        <v>0</v>
      </c>
      <c s="588" r="CW101">
        <f>IF(ISNA((CS101*CS100)),0,IF((CP100=FALSE),IF((CP101=FALSE),IF(ISNA(CO101),0,IF((CS100&lt;CU$44),IF((CS101&lt;CU$44),((CU$44-((CS100+CS101)*0.5))*CV101),(((CU$44-CS100)*0.5)*CV101)),IF((CS101&lt;CU$44),(((CU$44-CS101)*0.5)*CV101),0))),0),0))</f>
        <v>0</v>
      </c>
      <c s="588" r="CX101">
        <f>IF(ISNA((CS101*CS100)),0,IF((CP100=FALSE),IF((CP101=FALSE),IF(ISNA(CS101),0,IF((CS100&lt;CU$44),IF((CS101&lt;CU$44),(((CV101^2)+((CS101-CS100)^2))^0.5),(((CV101^2)+((CU$44-CS100)^2))^0.5)),IF((CS101&lt;CU$44),(((CV101^2)+((CU$44-CS101)^2))^0.5),0))),0),0))</f>
        <v>0</v>
      </c>
      <c s="588" r="CY101">
        <f>IF(ISNUMBER((CS101*CS100)),IF((CS100&gt;=CE$148),IF((CS101&lt;CE$148),1,0),IF((CS101&gt;=CE$148),IF((CS100&lt;CE$148),1,0),0)),0)</f>
        <v>0</v>
      </c>
      <c s="588" r="CZ101">
        <f>IF(ISNA((CS101*CS100)),0,(IF((CR101&lt;CR100),-1,1)*(IF(ISNA(CS101),0,IF((CS100&lt;CE$148),IF((CS101&lt;CE$148),(((CR101-CR100)^2)^0.5),(((((CE$148-CS100)*(CR101-CR100))/(CS101-CS100))^2)^0.5)),IF((CS101&lt;CE$148),(((((CE$148-CS101)*(CR101-CR100))/(CS100-CS101))^2)^0.5),0))))))</f>
        <v>0</v>
      </c>
      <c s="441" r="DA101">
        <f>IF((CW101&gt;0),(MAX(DA$47:DA100)+1),0)</f>
        <v>0</v>
      </c>
      <c s="388" r="DB101"/>
      <c s="406" r="DC101"/>
      <c s="886" r="DD101"/>
      <c s="886" r="DE101"/>
      <c s="886" r="DF101"/>
      <c s="886" r="DG101"/>
      <c s="418" r="DH101"/>
      <c s="550" r="DI101"/>
      <c s="550" r="DJ101"/>
      <c t="str" s="620" r="DK101">
        <f>IF((COUNT(DJ101:DJ$146,DL101:DL$146)=0),NA(),IF(ISBLANK(DJ101),DK100,(DK100+(DJ101-DL100))))</f>
        <v>#N/A:explicit</v>
      </c>
      <c s="550" r="DL101"/>
      <c t="str" s="620" r="DM101">
        <f>IF(OR(ISBLANK(DL101),ISNUMBER(DJ102)),NA(),(DK101-DL101))</f>
        <v>#N/A:explicit</v>
      </c>
      <c t="b" s="895" r="DN101">
        <v>0</v>
      </c>
      <c s="631" r="DO101"/>
      <c t="str" s="309" r="DP101">
        <f>IF((COUNT(DI101:DI$146)=0),NA(),IF(ISBLANK(DI101),IF(ISBLANK(DI100),MAX(DI$46:DI101),DI100),DI101))</f>
        <v>#N/A:explicit</v>
      </c>
      <c t="str" s="861" r="DQ101">
        <f>IF(ISNA(DM101),IF(ISNUMBER(DP101),DQ100,NA()),DM101)</f>
        <v>#N/A:explicit</v>
      </c>
      <c s="861" r="DR101">
        <f>IF(ISNUMBER(DQ101),DQ101,(DK$46+1000))</f>
        <v>1000</v>
      </c>
      <c t="str" s="588" r="DS101">
        <f>IF((DN101=TRUE),NA(),IF((DS$44=(DK$46-MAX(DL$46:DL$146))),NA(),DS$44))</f>
        <v>#N/A:explicit</v>
      </c>
      <c s="588" r="DT101">
        <f>IF((ISNA(((DQ101*DP101)*DQ100))),0,(IF((DP101&lt;DP100),-1,1)*(IF((DN100=FALSE),IF((DN101=FALSE),IF(ISNA(DQ101),0,IF((DQ100&lt;DS$44),IF((DQ101&lt;DS$44),(((DP101-DP100)^2)^0.5),(((((DS$44-DQ100)*(DP101-DP100))/(DQ101-DQ100))^2)^0.5)),IF((DQ101&lt;DS$44),(((((DS$44-DQ101)*(DP101-DP100))/(DQ100-DQ101))^2)^0.5),0))),0),0))))</f>
        <v>0</v>
      </c>
      <c s="588" r="DU101">
        <f>IF(ISNA((DQ101*DQ100)),0,IF((DN100=FALSE),IF((DN101=FALSE),IF(ISNA(DM101),0,IF((DQ100&lt;DS$44),IF((DQ101&lt;DS$44),((DS$44-((DQ100+DQ101)*0.5))*DT101),(((DS$44-DQ100)*0.5)*DT101)),IF((DQ101&lt;DS$44),(((DS$44-DQ101)*0.5)*DT101),0))),0),0))</f>
        <v>0</v>
      </c>
      <c s="588" r="DV101">
        <f>IF(ISNA((DQ101*DQ100)),0,IF((DN100=FALSE),IF((DN101=FALSE),IF(ISNA(DQ101),0,IF((DQ100&lt;DS$44),IF((DQ101&lt;DS$44),(((DT101^2)+((DQ101-DQ100)^2))^0.5),(((DT101^2)+((DS$44-DQ100)^2))^0.5)),IF((DQ101&lt;DS$44),(((DT101^2)+((DS$44-DQ101)^2))^0.5),0))),0),0))</f>
        <v>0</v>
      </c>
      <c s="588" r="DW101">
        <f>IF(ISNUMBER((DQ101*DQ100)),IF((DQ100&gt;=DC$148),IF((DQ101&lt;DC$148),1,0),IF((DQ101&gt;=DC$148),IF((DQ100&lt;DC$148),1,0),0)),0)</f>
        <v>0</v>
      </c>
      <c s="588" r="DX101">
        <f>IF(ISNA((DQ101*DQ100)),0,(IF((DP101&lt;DP100),-1,1)*(IF(ISNA(DQ101),0,IF((DQ100&lt;DC$148),IF((DQ101&lt;DC$148),(((DP101-DP100)^2)^0.5),(((((DC$148-DQ100)*(DP101-DP100))/(DQ101-DQ100))^2)^0.5)),IF((DQ101&lt;DC$148),(((((DC$148-DQ101)*(DP101-DP100))/(DQ100-DQ101))^2)^0.5),0))))))</f>
        <v>0</v>
      </c>
      <c s="441" r="DY101">
        <f>IF((DU101&gt;0),(MAX(DY$47:DY100)+1),0)</f>
        <v>0</v>
      </c>
      <c s="388" r="DZ101"/>
      <c s="406" r="EA101"/>
      <c s="886" r="EB101"/>
      <c s="886" r="EC101"/>
      <c s="886" r="ED101"/>
      <c s="886" r="EE101"/>
      <c s="418" r="EF101"/>
      <c s="550" r="EG101"/>
      <c s="550" r="EH101"/>
      <c t="str" s="620" r="EI101">
        <f>IF((COUNT(EH101:EH$146,EJ101:EJ$146)=0),NA(),IF(ISBLANK(EH101),EI100,(EI100+(EH101-EJ100))))</f>
        <v>#N/A:explicit</v>
      </c>
      <c s="550" r="EJ101"/>
      <c t="str" s="620" r="EK101">
        <f>IF(OR(ISBLANK(EJ101),ISNUMBER(EH102)),NA(),(EI101-EJ101))</f>
        <v>#N/A:explicit</v>
      </c>
      <c t="b" s="895" r="EL101">
        <v>0</v>
      </c>
      <c s="631" r="EM101"/>
      <c t="str" s="309" r="EN101">
        <f>IF((COUNT(EG101:EG$146)=0),NA(),IF(ISBLANK(EG101),IF(ISBLANK(EG100),MAX(EG$46:EG101),EG100),EG101))</f>
        <v>#N/A:explicit</v>
      </c>
      <c t="str" s="861" r="EO101">
        <f>IF(ISNA(EK101),IF(ISNUMBER(EN101),EO100,NA()),EK101)</f>
        <v>#N/A:explicit</v>
      </c>
      <c s="861" r="EP101">
        <f>IF(ISNUMBER(EO101),EO101,(EI$46+1000))</f>
        <v>1000</v>
      </c>
      <c t="str" s="588" r="EQ101">
        <f>IF((EL101=TRUE),NA(),IF((EQ$44=(EI$46-MAX(EJ$46:EJ$146))),NA(),EQ$44))</f>
        <v>#N/A:explicit</v>
      </c>
      <c s="588" r="ER101">
        <f>IF((ISNA(((EO101*EN101)*EO100))),0,(IF((EN101&lt;EN100),-1,1)*(IF((EL100=FALSE),IF((EL101=FALSE),IF(ISNA(EO101),0,IF((EO100&lt;EQ$44),IF((EO101&lt;EQ$44),(((EN101-EN100)^2)^0.5),(((((EQ$44-EO100)*(EN101-EN100))/(EO101-EO100))^2)^0.5)),IF((EO101&lt;EQ$44),(((((EQ$44-EO101)*(EN101-EN100))/(EO100-EO101))^2)^0.5),0))),0),0))))</f>
        <v>0</v>
      </c>
      <c s="588" r="ES101">
        <f>IF(ISNA((EO101*EO100)),0,IF((EL100=FALSE),IF((EL101=FALSE),IF(ISNA(EK101),0,IF((EO100&lt;EQ$44),IF((EO101&lt;EQ$44),((EQ$44-((EO100+EO101)*0.5))*ER101),(((EQ$44-EO100)*0.5)*ER101)),IF((EO101&lt;EQ$44),(((EQ$44-EO101)*0.5)*ER101),0))),0),0))</f>
        <v>0</v>
      </c>
      <c s="588" r="ET101">
        <f>IF(ISNA((EO101*EO100)),0,IF((EL100=FALSE),IF((EL101=FALSE),IF(ISNA(EO101),0,IF((EO100&lt;EQ$44),IF((EO101&lt;EQ$44),(((ER101^2)+((EO101-EO100)^2))^0.5),(((ER101^2)+((EQ$44-EO100)^2))^0.5)),IF((EO101&lt;EQ$44),(((ER101^2)+((EQ$44-EO101)^2))^0.5),0))),0),0))</f>
        <v>0</v>
      </c>
      <c s="588" r="EU101">
        <f>IF(ISNUMBER((EO101*EO100)),IF((EO100&gt;=EA$148),IF((EO101&lt;EA$148),1,0),IF((EO101&gt;=EA$148),IF((EO100&lt;EA$148),1,0),0)),0)</f>
        <v>0</v>
      </c>
      <c s="588" r="EV101">
        <f>IF(ISNA((EO101*EO100)),0,(IF((EN101&lt;EN100),-1,1)*(IF(ISNA(EO101),0,IF((EO100&lt;EA$148),IF((EO101&lt;EA$148),(((EN101-EN100)^2)^0.5),(((((EA$148-EO100)*(EN101-EN100))/(EO101-EO100))^2)^0.5)),IF((EO101&lt;EA$148),(((((EA$148-EO101)*(EN101-EN100))/(EO100-EO101))^2)^0.5),0))))))</f>
        <v>0</v>
      </c>
      <c s="441" r="EW101">
        <f>IF((ES101&gt;0),(MAX(EW$47:EW100)+1),0)</f>
        <v>0</v>
      </c>
      <c s="388" r="EX101"/>
      <c s="406" r="EY101"/>
      <c s="886" r="EZ101"/>
      <c s="886" r="FA101"/>
      <c s="886" r="FB101"/>
      <c s="886" r="FC101"/>
      <c s="418" r="FD101"/>
      <c s="550" r="FE101"/>
      <c s="550" r="FF101"/>
      <c t="str" s="620" r="FG101">
        <f>IF((COUNT(FF101:FF$146,FH101:FH$146)=0),NA(),IF(ISBLANK(FF101),FG100,(FG100+(FF101-FH100))))</f>
        <v>#N/A:explicit</v>
      </c>
      <c s="550" r="FH101"/>
      <c t="str" s="620" r="FI101">
        <f>IF(OR(ISBLANK(FH101),ISNUMBER(FF102)),NA(),(FG101-FH101))</f>
        <v>#N/A:explicit</v>
      </c>
      <c t="b" s="895" r="FJ101">
        <v>0</v>
      </c>
      <c s="631" r="FK101"/>
      <c t="str" s="309" r="FL101">
        <f>IF((COUNT(FE101:FE$146)=0),NA(),IF(ISBLANK(FE101),IF(ISBLANK(FE100),MAX(FE$46:FE101),FE100),FE101))</f>
        <v>#N/A:explicit</v>
      </c>
      <c t="str" s="861" r="FM101">
        <f>IF(ISNA(FI101),IF(ISNUMBER(FL101),FM100,NA()),FI101)</f>
        <v>#N/A:explicit</v>
      </c>
      <c s="861" r="FN101">
        <f>IF(ISNUMBER(FM101),FM101,(FG$46+1000))</f>
        <v>1000</v>
      </c>
      <c t="str" s="588" r="FO101">
        <f>IF((FJ101=TRUE),NA(),IF((FO$44=(FG$46-MAX(FH$46:FH$146))),NA(),FO$44))</f>
        <v>#N/A:explicit</v>
      </c>
      <c s="588" r="FP101">
        <f>IF((ISNA(((FM101*FL101)*FM100))),0,(IF((FL101&lt;FL100),-1,1)*(IF((FJ100=FALSE),IF((FJ101=FALSE),IF(ISNA(FM101),0,IF((FM100&lt;FO$44),IF((FM101&lt;FO$44),(((FL101-FL100)^2)^0.5),(((((FO$44-FM100)*(FL101-FL100))/(FM101-FM100))^2)^0.5)),IF((FM101&lt;FO$44),(((((FO$44-FM101)*(FL101-FL100))/(FM100-FM101))^2)^0.5),0))),0),0))))</f>
        <v>0</v>
      </c>
      <c s="588" r="FQ101">
        <f>IF(ISNA((FM101*FM100)),0,IF((FJ100=FALSE),IF((FJ101=FALSE),IF(ISNA(FI101),0,IF((FM100&lt;FO$44),IF((FM101&lt;FO$44),((FO$44-((FM100+FM101)*0.5))*FP101),(((FO$44-FM100)*0.5)*FP101)),IF((FM101&lt;FO$44),(((FO$44-FM101)*0.5)*FP101),0))),0),0))</f>
        <v>0</v>
      </c>
      <c s="588" r="FR101">
        <f>IF(ISNA((FM101*FM100)),0,IF((FJ100=FALSE),IF((FJ101=FALSE),IF(ISNA(FM101),0,IF((FM100&lt;FO$44),IF((FM101&lt;FO$44),(((FP101^2)+((FM101-FM100)^2))^0.5),(((FP101^2)+((FO$44-FM100)^2))^0.5)),IF((FM101&lt;FO$44),(((FP101^2)+((FO$44-FM101)^2))^0.5),0))),0),0))</f>
        <v>0</v>
      </c>
      <c s="588" r="FS101">
        <f>IF(ISNUMBER((FM101*FM100)),IF((FM100&gt;=EY$148),IF((FM101&lt;EY$148),1,0),IF((FM101&gt;=EY$148),IF((FM100&lt;EY$148),1,0),0)),0)</f>
        <v>0</v>
      </c>
      <c s="588" r="FT101">
        <f>IF(ISNA((FM101*FM100)),0,(IF((FL101&lt;FL100),-1,1)*(IF(ISNA(FM101),0,IF((FM100&lt;EY$148),IF((FM101&lt;EY$148),(((FL101-FL100)^2)^0.5),(((((EY$148-FM100)*(FL101-FL100))/(FM101-FM100))^2)^0.5)),IF((FM101&lt;EY$148),(((((EY$148-FM101)*(FL101-FL100))/(FM100-FM101))^2)^0.5),0))))))</f>
        <v>0</v>
      </c>
      <c s="441" r="FU101">
        <f>IF((FQ101&gt;0),(MAX(FU$47:FU100)+1),0)</f>
        <v>0</v>
      </c>
      <c s="222" r="FV101"/>
      <c s="125" r="FW101"/>
      <c s="125" r="FX101"/>
      <c s="125" r="FY101"/>
      <c s="125" r="FZ101"/>
      <c s="125" r="GA101"/>
      <c s="125" r="GB101"/>
      <c s="125" r="GC101"/>
      <c s="125" r="GD101"/>
      <c s="125" r="GE101"/>
      <c s="125" r="GF101"/>
      <c s="125" r="GG101"/>
      <c s="125" r="GH101"/>
      <c s="125" r="GI101"/>
      <c s="125" r="GJ101"/>
      <c s="125" r="GK101"/>
      <c s="125" r="GL101"/>
      <c s="125" r="GM101"/>
      <c s="125" r="GN101"/>
      <c s="125" r="GO101"/>
      <c s="125" r="GP101"/>
      <c s="125" r="GQ101"/>
      <c s="125" r="GR101"/>
      <c s="125" r="GS101"/>
      <c s="125" r="GT101"/>
      <c s="125" r="GU101"/>
      <c s="125" r="GV101"/>
      <c s="125" r="GW101"/>
      <c s="125" r="GX101"/>
      <c s="125" r="GY101"/>
      <c s="125" r="GZ101"/>
      <c s="125" r="HA101"/>
      <c s="125" r="HB101"/>
    </row>
    <row r="102">
      <c s="822" r="A102"/>
      <c s="908" r="B102"/>
      <c s="551" r="C102"/>
      <c s="551" r="D102"/>
      <c t="s" s="812" r="E102">
        <v>86</v>
      </c>
      <c t="str" s="719" r="F102">
        <f>IF(ISNUMBER((F89/$F93)),(F89/$F93),"---")</f>
        <v>---</v>
      </c>
      <c t="str" s="286" r="G102">
        <f>IF(ISNUMBER((G89/$F93)),(G89/$F93),"---")</f>
        <v>---</v>
      </c>
      <c t="str" s="224" r="H102">
        <f>IF(ISNUMBER((H89/$F93)),(H89/$F93),"---")</f>
        <v>---</v>
      </c>
      <c s="51" r="I102"/>
      <c s="822" r="J102"/>
      <c s="406" r="K102"/>
      <c s="886" r="L102"/>
      <c s="886" r="M102"/>
      <c s="886" r="N102"/>
      <c s="886" r="O102"/>
      <c s="418" r="P102"/>
      <c s="550" r="Q102"/>
      <c s="550" r="R102"/>
      <c t="str" s="620" r="S102">
        <f>IF((COUNT(R102:R$146,T102:T$146)=0),NA(),IF(ISBLANK(R102),S101,(S101+(R102-T101))))</f>
        <v>#N/A:explicit</v>
      </c>
      <c s="550" r="T102"/>
      <c t="str" s="620" r="U102">
        <f>IF(OR(ISBLANK(T102),ISNUMBER(R103)),NA(),(S102-T102))</f>
        <v>#N/A:explicit</v>
      </c>
      <c t="b" s="895" r="V102">
        <v>0</v>
      </c>
      <c s="631" r="W102"/>
      <c t="str" s="309" r="X102">
        <f>IF((COUNT(Q102:Q$146)=0),NA(),IF(ISBLANK(Q102),IF(ISBLANK(Q101),MAX(Q$46:Q102),Q101),Q102))</f>
        <v>#N/A:explicit</v>
      </c>
      <c t="str" s="861" r="Y102">
        <f>IF(ISNA(U102),IF(ISNUMBER(X102),Y101,NA()),U102)</f>
        <v>#N/A:explicit</v>
      </c>
      <c s="861" r="Z102">
        <f>IF(ISNUMBER(Y102),Y102,(S$46+1000))</f>
        <v>1000</v>
      </c>
      <c t="str" s="588" r="AA102">
        <f>IF((V102=TRUE),NA(),IF((AA$44=(S$46-MAX(T$46:T$146))),NA(),AA$44))</f>
        <v>#N/A:explicit</v>
      </c>
      <c s="588" r="AB102">
        <f>IF((ISNA(((Y102*X102)*Y101))),0,(IF((X102&lt;X101),-1,1)*(IF((V101=FALSE),IF((V102=FALSE),IF(ISNA(Y102),0,IF((Y101&lt;AA$44),IF((Y102&lt;AA$44),(((X102-X101)^2)^0.5),(((((AA$44-Y101)*(X102-X101))/(Y102-Y101))^2)^0.5)),IF((Y102&lt;AA$44),(((((AA$44-Y102)*(X102-X101))/(Y101-Y102))^2)^0.5),0))),0),0))))</f>
        <v>0</v>
      </c>
      <c s="588" r="AC102">
        <f>IF(ISNA((Y102*Y101)),0,IF((V101=FALSE),IF((V102=FALSE),IF(ISNA(U102),0,IF((Y101&lt;AA$44),IF((Y102&lt;AA$44),((AA$44-((Y101+Y102)*0.5))*AB102),(((AA$44-Y101)*0.5)*AB102)),IF((Y102&lt;AA$44),(((AA$44-Y102)*0.5)*AB102),0))),0),0))</f>
        <v>0</v>
      </c>
      <c s="588" r="AD102">
        <f>IF(ISNA((Y102*Y101)),0,IF((V101=FALSE),IF((V102=FALSE),IF(ISNA(Y102),0,IF((Y101&lt;AA$44),IF((Y102&lt;AA$44),(((AB102^2)+((Y102-Y101)^2))^0.5),(((AB102^2)+((AA$44-Y101)^2))^0.5)),IF((Y102&lt;AA$44),(((AB102^2)+((AA$44-Y102)^2))^0.5),0))),0),0))</f>
        <v>0</v>
      </c>
      <c s="588" r="AE102">
        <f>IF(ISNUMBER((Y102*Y101)),IF((Y101&gt;=K$148),IF((Y102&lt;K$148),1,0),IF((Y102&gt;=K$148),IF((Y101&lt;K$148),1,0),0)),0)</f>
        <v>0</v>
      </c>
      <c s="588" r="AF102">
        <f>IF(ISNA((Y102*Y101)),0,(IF((X102&lt;X101),-1,1)*(IF(ISNA(Y102),0,IF((Y101&lt;K$148),IF((Y102&lt;K$148),(((X102-X101)^2)^0.5),(((((K$148-Y101)*(X102-X101))/(Y102-Y101))^2)^0.5)),IF((Y102&lt;K$148),(((((K$148-Y102)*(X102-X101))/(Y101-Y102))^2)^0.5),0))))))</f>
        <v>0</v>
      </c>
      <c s="441" r="AG102">
        <f>IF((AC102&gt;0),(MAX(AG$47:AG101)+1),0)</f>
        <v>0</v>
      </c>
      <c s="388" r="AH102"/>
      <c s="406" r="AI102"/>
      <c s="886" r="AJ102"/>
      <c s="886" r="AK102"/>
      <c s="886" r="AL102"/>
      <c s="886" r="AM102"/>
      <c s="418" r="AN102"/>
      <c s="550" r="AO102"/>
      <c s="550" r="AP102"/>
      <c t="str" s="620" r="AQ102">
        <f>IF((COUNT(AP102:AP$146,AR102:AR$146)=0),NA(),IF(ISBLANK(AP102),AQ101,(AQ101+(AP102-AR101))))</f>
        <v>#N/A:explicit</v>
      </c>
      <c s="550" r="AR102"/>
      <c t="str" s="620" r="AS102">
        <f>IF(OR(ISBLANK(AR102),ISNUMBER(AP103)),NA(),(AQ102-AR102))</f>
        <v>#N/A:explicit</v>
      </c>
      <c t="b" s="895" r="AT102">
        <v>0</v>
      </c>
      <c s="631" r="AU102"/>
      <c t="str" s="309" r="AV102">
        <f>IF((COUNT(AO102:AO$146)=0),NA(),IF(ISBLANK(AO102),IF(ISBLANK(AO101),MAX(AO$46:AO102),AO101),AO102))</f>
        <v>#N/A:explicit</v>
      </c>
      <c t="str" s="861" r="AW102">
        <f>IF(ISNA(AS102),IF(ISNUMBER(AV102),AW101,NA()),AS102)</f>
        <v>#N/A:explicit</v>
      </c>
      <c s="861" r="AX102">
        <f>IF(ISNUMBER(AW102),AW102,(AQ$46+1000))</f>
        <v>1000</v>
      </c>
      <c t="str" s="588" r="AY102">
        <f>IF((AT102=TRUE),NA(),IF((AY$44=(AQ$46-MAX(AR$46:AR$146))),NA(),AY$44))</f>
        <v>#N/A:explicit</v>
      </c>
      <c s="588" r="AZ102">
        <f>IF((ISNA(((AW102*AV102)*AW101))),0,(IF((AV102&lt;AV101),-1,1)*(IF((AT101=FALSE),IF((AT102=FALSE),IF(ISNA(AW102),0,IF((AW101&lt;AY$44),IF((AW102&lt;AY$44),(((AV102-AV101)^2)^0.5),(((((AY$44-AW101)*(AV102-AV101))/(AW102-AW101))^2)^0.5)),IF((AW102&lt;AY$44),(((((AY$44-AW102)*(AV102-AV101))/(AW101-AW102))^2)^0.5),0))),0),0))))</f>
        <v>0</v>
      </c>
      <c s="588" r="BA102">
        <f>IF(ISNA((AW102*AW101)),0,IF((AT101=FALSE),IF((AT102=FALSE),IF(ISNA(AS102),0,IF((AW101&lt;AY$44),IF((AW102&lt;AY$44),((AY$44-((AW101+AW102)*0.5))*AZ102),(((AY$44-AW101)*0.5)*AZ102)),IF((AW102&lt;AY$44),(((AY$44-AW102)*0.5)*AZ102),0))),0),0))</f>
        <v>0</v>
      </c>
      <c s="588" r="BB102">
        <f>IF(ISNA((AW102*AW101)),0,IF((AT101=FALSE),IF((AT102=FALSE),IF(ISNA(AW102),0,IF((AW101&lt;AY$44),IF((AW102&lt;AY$44),(((AZ102^2)+((AW102-AW101)^2))^0.5),(((AZ102^2)+((AY$44-AW101)^2))^0.5)),IF((AW102&lt;AY$44),(((AZ102^2)+((AY$44-AW102)^2))^0.5),0))),0),0))</f>
        <v>0</v>
      </c>
      <c s="588" r="BC102">
        <f>IF(ISNUMBER((AW102*AW101)),IF((AW101&gt;=AI$148),IF((AW102&lt;AI$148),1,0),IF((AW102&gt;=AI$148),IF((AW101&lt;AI$148),1,0),0)),0)</f>
        <v>0</v>
      </c>
      <c s="588" r="BD102">
        <f>IF(ISNA((AW102*AW101)),0,(IF((AV102&lt;AV101),-1,1)*(IF(ISNA(AW102),0,IF((AW101&lt;AI$148),IF((AW102&lt;AI$148),(((AV102-AV101)^2)^0.5),(((((AI$148-AW101)*(AV102-AV101))/(AW102-AW101))^2)^0.5)),IF((AW102&lt;AI$148),(((((AI$148-AW102)*(AV102-AV101))/(AW101-AW102))^2)^0.5),0))))))</f>
        <v>0</v>
      </c>
      <c s="441" r="BE102">
        <f>IF((BA102&gt;0),(MAX(BE$47:BE101)+1),0)</f>
        <v>0</v>
      </c>
      <c s="388" r="BF102"/>
      <c s="406" r="BG102"/>
      <c s="886" r="BH102"/>
      <c s="886" r="BI102"/>
      <c s="886" r="BJ102"/>
      <c s="886" r="BK102"/>
      <c s="418" r="BL102"/>
      <c s="550" r="BM102"/>
      <c s="550" r="BN102"/>
      <c t="str" s="620" r="BO102">
        <f>IF((COUNT(BN102:BN$146,BP102:BP$146)=0),NA(),IF(ISBLANK(BN102),BO101,(BO101+(BN102-BP101))))</f>
        <v>#N/A:explicit</v>
      </c>
      <c s="550" r="BP102"/>
      <c t="str" s="620" r="BQ102">
        <f>IF(OR(ISBLANK(BP102),ISNUMBER(BN103)),NA(),(BO102-BP102))</f>
        <v>#N/A:explicit</v>
      </c>
      <c t="b" s="895" r="BR102">
        <v>0</v>
      </c>
      <c s="631" r="BS102"/>
      <c t="str" s="309" r="BT102">
        <f>IF((COUNT(BM102:BM$146)=0),NA(),IF(ISBLANK(BM102),IF(ISBLANK(BM101),MAX(BM$46:BM102),BM101),BM102))</f>
        <v>#N/A:explicit</v>
      </c>
      <c t="str" s="861" r="BU102">
        <f>IF(ISNA(BQ102),IF(ISNUMBER(BT102),BU101,NA()),BQ102)</f>
        <v>#N/A:explicit</v>
      </c>
      <c s="861" r="BV102">
        <f>IF(ISNUMBER(BU102),BU102,(BO$46+1000))</f>
        <v>1000</v>
      </c>
      <c t="str" s="588" r="BW102">
        <f>IF((BR102=TRUE),NA(),IF((BW$44=(BO$46-MAX(BP$46:BP$146))),NA(),BW$44))</f>
        <v>#N/A:explicit</v>
      </c>
      <c s="588" r="BX102">
        <f>IF((ISNA(((BU102*BT102)*BU101))),0,(IF((BT102&lt;BT101),-1,1)*(IF((BR101=FALSE),IF((BR102=FALSE),IF(ISNA(BU102),0,IF((BU101&lt;BW$44),IF((BU102&lt;BW$44),(((BT102-BT101)^2)^0.5),(((((BW$44-BU101)*(BT102-BT101))/(BU102-BU101))^2)^0.5)),IF((BU102&lt;BW$44),(((((BW$44-BU102)*(BT102-BT101))/(BU101-BU102))^2)^0.5),0))),0),0))))</f>
        <v>0</v>
      </c>
      <c s="588" r="BY102">
        <f>IF(ISNA((BU102*BU101)),0,IF((BR101=FALSE),IF((BR102=FALSE),IF(ISNA(BQ102),0,IF((BU101&lt;BW$44),IF((BU102&lt;BW$44),((BW$44-((BU101+BU102)*0.5))*BX102),(((BW$44-BU101)*0.5)*BX102)),IF((BU102&lt;BW$44),(((BW$44-BU102)*0.5)*BX102),0))),0),0))</f>
        <v>0</v>
      </c>
      <c s="588" r="BZ102">
        <f>IF(ISNA((BU102*BU101)),0,IF((BR101=FALSE),IF((BR102=FALSE),IF(ISNA(BU102),0,IF((BU101&lt;BW$44),IF((BU102&lt;BW$44),(((BX102^2)+((BU102-BU101)^2))^0.5),(((BX102^2)+((BW$44-BU101)^2))^0.5)),IF((BU102&lt;BW$44),(((BX102^2)+((BW$44-BU102)^2))^0.5),0))),0),0))</f>
        <v>0</v>
      </c>
      <c s="588" r="CA102">
        <f>IF(ISNUMBER((BU102*BU101)),IF((BU101&gt;=BG$148),IF((BU102&lt;BG$148),1,0),IF((BU102&gt;=BG$148),IF((BU101&lt;BG$148),1,0),0)),0)</f>
        <v>0</v>
      </c>
      <c s="588" r="CB102">
        <f>IF(ISNA((BU102*BU101)),0,(IF((BT102&lt;BT101),-1,1)*(IF(ISNA(BU102),0,IF((BU101&lt;BG$148),IF((BU102&lt;BG$148),(((BT102-BT101)^2)^0.5),(((((BG$148-BU101)*(BT102-BT101))/(BU102-BU101))^2)^0.5)),IF((BU102&lt;BG$148),(((((BG$148-BU102)*(BT102-BT101))/(BU101-BU102))^2)^0.5),0))))))</f>
        <v>0</v>
      </c>
      <c s="441" r="CC102">
        <f>IF((BY102&gt;0),(MAX(CC$47:CC101)+1),0)</f>
        <v>0</v>
      </c>
      <c s="388" r="CD102"/>
      <c s="406" r="CE102"/>
      <c s="886" r="CF102"/>
      <c s="886" r="CG102"/>
      <c s="886" r="CH102"/>
      <c s="886" r="CI102"/>
      <c s="418" r="CJ102"/>
      <c s="550" r="CK102"/>
      <c s="550" r="CL102"/>
      <c t="str" s="620" r="CM102">
        <f>IF((COUNT(CL102:CL$146,CN102:CN$146)=0),NA(),IF(ISBLANK(CL102),CM101,(CM101+(CL102-CN101))))</f>
        <v>#N/A:explicit</v>
      </c>
      <c s="550" r="CN102"/>
      <c t="str" s="620" r="CO102">
        <f>IF(OR(ISBLANK(CN102),ISNUMBER(CL103)),NA(),(CM102-CN102))</f>
        <v>#N/A:explicit</v>
      </c>
      <c t="b" s="895" r="CP102">
        <v>0</v>
      </c>
      <c s="631" r="CQ102"/>
      <c t="str" s="309" r="CR102">
        <f>IF((COUNT(CK102:CK$146)=0),NA(),IF(ISBLANK(CK102),IF(ISBLANK(CK101),MAX(CK$46:CK102),CK101),CK102))</f>
        <v>#N/A:explicit</v>
      </c>
      <c t="str" s="861" r="CS102">
        <f>IF(ISNA(CO102),IF(ISNUMBER(CR102),CS101,NA()),CO102)</f>
        <v>#N/A:explicit</v>
      </c>
      <c s="861" r="CT102">
        <f>IF(ISNUMBER(CS102),CS102,(CM$46+1000))</f>
        <v>1000</v>
      </c>
      <c t="str" s="588" r="CU102">
        <f>IF((CP102=TRUE),NA(),IF((CU$44=(CM$46-MAX(CN$46:CN$146))),NA(),CU$44))</f>
        <v>#N/A:explicit</v>
      </c>
      <c s="588" r="CV102">
        <f>IF((ISNA(((CS102*CR102)*CS101))),0,(IF((CR102&lt;CR101),-1,1)*(IF((CP101=FALSE),IF((CP102=FALSE),IF(ISNA(CS102),0,IF((CS101&lt;CU$44),IF((CS102&lt;CU$44),(((CR102-CR101)^2)^0.5),(((((CU$44-CS101)*(CR102-CR101))/(CS102-CS101))^2)^0.5)),IF((CS102&lt;CU$44),(((((CU$44-CS102)*(CR102-CR101))/(CS101-CS102))^2)^0.5),0))),0),0))))</f>
        <v>0</v>
      </c>
      <c s="588" r="CW102">
        <f>IF(ISNA((CS102*CS101)),0,IF((CP101=FALSE),IF((CP102=FALSE),IF(ISNA(CO102),0,IF((CS101&lt;CU$44),IF((CS102&lt;CU$44),((CU$44-((CS101+CS102)*0.5))*CV102),(((CU$44-CS101)*0.5)*CV102)),IF((CS102&lt;CU$44),(((CU$44-CS102)*0.5)*CV102),0))),0),0))</f>
        <v>0</v>
      </c>
      <c s="588" r="CX102">
        <f>IF(ISNA((CS102*CS101)),0,IF((CP101=FALSE),IF((CP102=FALSE),IF(ISNA(CS102),0,IF((CS101&lt;CU$44),IF((CS102&lt;CU$44),(((CV102^2)+((CS102-CS101)^2))^0.5),(((CV102^2)+((CU$44-CS101)^2))^0.5)),IF((CS102&lt;CU$44),(((CV102^2)+((CU$44-CS102)^2))^0.5),0))),0),0))</f>
        <v>0</v>
      </c>
      <c s="588" r="CY102">
        <f>IF(ISNUMBER((CS102*CS101)),IF((CS101&gt;=CE$148),IF((CS102&lt;CE$148),1,0),IF((CS102&gt;=CE$148),IF((CS101&lt;CE$148),1,0),0)),0)</f>
        <v>0</v>
      </c>
      <c s="588" r="CZ102">
        <f>IF(ISNA((CS102*CS101)),0,(IF((CR102&lt;CR101),-1,1)*(IF(ISNA(CS102),0,IF((CS101&lt;CE$148),IF((CS102&lt;CE$148),(((CR102-CR101)^2)^0.5),(((((CE$148-CS101)*(CR102-CR101))/(CS102-CS101))^2)^0.5)),IF((CS102&lt;CE$148),(((((CE$148-CS102)*(CR102-CR101))/(CS101-CS102))^2)^0.5),0))))))</f>
        <v>0</v>
      </c>
      <c s="441" r="DA102">
        <f>IF((CW102&gt;0),(MAX(DA$47:DA101)+1),0)</f>
        <v>0</v>
      </c>
      <c s="388" r="DB102"/>
      <c s="406" r="DC102"/>
      <c s="886" r="DD102"/>
      <c s="886" r="DE102"/>
      <c s="886" r="DF102"/>
      <c s="886" r="DG102"/>
      <c s="418" r="DH102"/>
      <c s="550" r="DI102"/>
      <c s="550" r="DJ102"/>
      <c t="str" s="620" r="DK102">
        <f>IF((COUNT(DJ102:DJ$146,DL102:DL$146)=0),NA(),IF(ISBLANK(DJ102),DK101,(DK101+(DJ102-DL101))))</f>
        <v>#N/A:explicit</v>
      </c>
      <c s="550" r="DL102"/>
      <c t="str" s="620" r="DM102">
        <f>IF(OR(ISBLANK(DL102),ISNUMBER(DJ103)),NA(),(DK102-DL102))</f>
        <v>#N/A:explicit</v>
      </c>
      <c t="b" s="895" r="DN102">
        <v>0</v>
      </c>
      <c s="631" r="DO102"/>
      <c t="str" s="309" r="DP102">
        <f>IF((COUNT(DI102:DI$146)=0),NA(),IF(ISBLANK(DI102),IF(ISBLANK(DI101),MAX(DI$46:DI102),DI101),DI102))</f>
        <v>#N/A:explicit</v>
      </c>
      <c t="str" s="861" r="DQ102">
        <f>IF(ISNA(DM102),IF(ISNUMBER(DP102),DQ101,NA()),DM102)</f>
        <v>#N/A:explicit</v>
      </c>
      <c s="861" r="DR102">
        <f>IF(ISNUMBER(DQ102),DQ102,(DK$46+1000))</f>
        <v>1000</v>
      </c>
      <c t="str" s="588" r="DS102">
        <f>IF((DN102=TRUE),NA(),IF((DS$44=(DK$46-MAX(DL$46:DL$146))),NA(),DS$44))</f>
        <v>#N/A:explicit</v>
      </c>
      <c s="588" r="DT102">
        <f>IF((ISNA(((DQ102*DP102)*DQ101))),0,(IF((DP102&lt;DP101),-1,1)*(IF((DN101=FALSE),IF((DN102=FALSE),IF(ISNA(DQ102),0,IF((DQ101&lt;DS$44),IF((DQ102&lt;DS$44),(((DP102-DP101)^2)^0.5),(((((DS$44-DQ101)*(DP102-DP101))/(DQ102-DQ101))^2)^0.5)),IF((DQ102&lt;DS$44),(((((DS$44-DQ102)*(DP102-DP101))/(DQ101-DQ102))^2)^0.5),0))),0),0))))</f>
        <v>0</v>
      </c>
      <c s="588" r="DU102">
        <f>IF(ISNA((DQ102*DQ101)),0,IF((DN101=FALSE),IF((DN102=FALSE),IF(ISNA(DM102),0,IF((DQ101&lt;DS$44),IF((DQ102&lt;DS$44),((DS$44-((DQ101+DQ102)*0.5))*DT102),(((DS$44-DQ101)*0.5)*DT102)),IF((DQ102&lt;DS$44),(((DS$44-DQ102)*0.5)*DT102),0))),0),0))</f>
        <v>0</v>
      </c>
      <c s="588" r="DV102">
        <f>IF(ISNA((DQ102*DQ101)),0,IF((DN101=FALSE),IF((DN102=FALSE),IF(ISNA(DQ102),0,IF((DQ101&lt;DS$44),IF((DQ102&lt;DS$44),(((DT102^2)+((DQ102-DQ101)^2))^0.5),(((DT102^2)+((DS$44-DQ101)^2))^0.5)),IF((DQ102&lt;DS$44),(((DT102^2)+((DS$44-DQ102)^2))^0.5),0))),0),0))</f>
        <v>0</v>
      </c>
      <c s="588" r="DW102">
        <f>IF(ISNUMBER((DQ102*DQ101)),IF((DQ101&gt;=DC$148),IF((DQ102&lt;DC$148),1,0),IF((DQ102&gt;=DC$148),IF((DQ101&lt;DC$148),1,0),0)),0)</f>
        <v>0</v>
      </c>
      <c s="588" r="DX102">
        <f>IF(ISNA((DQ102*DQ101)),0,(IF((DP102&lt;DP101),-1,1)*(IF(ISNA(DQ102),0,IF((DQ101&lt;DC$148),IF((DQ102&lt;DC$148),(((DP102-DP101)^2)^0.5),(((((DC$148-DQ101)*(DP102-DP101))/(DQ102-DQ101))^2)^0.5)),IF((DQ102&lt;DC$148),(((((DC$148-DQ102)*(DP102-DP101))/(DQ101-DQ102))^2)^0.5),0))))))</f>
        <v>0</v>
      </c>
      <c s="441" r="DY102">
        <f>IF((DU102&gt;0),(MAX(DY$47:DY101)+1),0)</f>
        <v>0</v>
      </c>
      <c s="388" r="DZ102"/>
      <c s="406" r="EA102"/>
      <c s="886" r="EB102"/>
      <c s="886" r="EC102"/>
      <c s="886" r="ED102"/>
      <c s="886" r="EE102"/>
      <c s="418" r="EF102"/>
      <c s="550" r="EG102"/>
      <c s="550" r="EH102"/>
      <c t="str" s="620" r="EI102">
        <f>IF((COUNT(EH102:EH$146,EJ102:EJ$146)=0),NA(),IF(ISBLANK(EH102),EI101,(EI101+(EH102-EJ101))))</f>
        <v>#N/A:explicit</v>
      </c>
      <c s="550" r="EJ102"/>
      <c t="str" s="620" r="EK102">
        <f>IF(OR(ISBLANK(EJ102),ISNUMBER(EH103)),NA(),(EI102-EJ102))</f>
        <v>#N/A:explicit</v>
      </c>
      <c t="b" s="895" r="EL102">
        <v>0</v>
      </c>
      <c s="631" r="EM102"/>
      <c t="str" s="309" r="EN102">
        <f>IF((COUNT(EG102:EG$146)=0),NA(),IF(ISBLANK(EG102),IF(ISBLANK(EG101),MAX(EG$46:EG102),EG101),EG102))</f>
        <v>#N/A:explicit</v>
      </c>
      <c t="str" s="861" r="EO102">
        <f>IF(ISNA(EK102),IF(ISNUMBER(EN102),EO101,NA()),EK102)</f>
        <v>#N/A:explicit</v>
      </c>
      <c s="861" r="EP102">
        <f>IF(ISNUMBER(EO102),EO102,(EI$46+1000))</f>
        <v>1000</v>
      </c>
      <c t="str" s="588" r="EQ102">
        <f>IF((EL102=TRUE),NA(),IF((EQ$44=(EI$46-MAX(EJ$46:EJ$146))),NA(),EQ$44))</f>
        <v>#N/A:explicit</v>
      </c>
      <c s="588" r="ER102">
        <f>IF((ISNA(((EO102*EN102)*EO101))),0,(IF((EN102&lt;EN101),-1,1)*(IF((EL101=FALSE),IF((EL102=FALSE),IF(ISNA(EO102),0,IF((EO101&lt;EQ$44),IF((EO102&lt;EQ$44),(((EN102-EN101)^2)^0.5),(((((EQ$44-EO101)*(EN102-EN101))/(EO102-EO101))^2)^0.5)),IF((EO102&lt;EQ$44),(((((EQ$44-EO102)*(EN102-EN101))/(EO101-EO102))^2)^0.5),0))),0),0))))</f>
        <v>0</v>
      </c>
      <c s="588" r="ES102">
        <f>IF(ISNA((EO102*EO101)),0,IF((EL101=FALSE),IF((EL102=FALSE),IF(ISNA(EK102),0,IF((EO101&lt;EQ$44),IF((EO102&lt;EQ$44),((EQ$44-((EO101+EO102)*0.5))*ER102),(((EQ$44-EO101)*0.5)*ER102)),IF((EO102&lt;EQ$44),(((EQ$44-EO102)*0.5)*ER102),0))),0),0))</f>
        <v>0</v>
      </c>
      <c s="588" r="ET102">
        <f>IF(ISNA((EO102*EO101)),0,IF((EL101=FALSE),IF((EL102=FALSE),IF(ISNA(EO102),0,IF((EO101&lt;EQ$44),IF((EO102&lt;EQ$44),(((ER102^2)+((EO102-EO101)^2))^0.5),(((ER102^2)+((EQ$44-EO101)^2))^0.5)),IF((EO102&lt;EQ$44),(((ER102^2)+((EQ$44-EO102)^2))^0.5),0))),0),0))</f>
        <v>0</v>
      </c>
      <c s="588" r="EU102">
        <f>IF(ISNUMBER((EO102*EO101)),IF((EO101&gt;=EA$148),IF((EO102&lt;EA$148),1,0),IF((EO102&gt;=EA$148),IF((EO101&lt;EA$148),1,0),0)),0)</f>
        <v>0</v>
      </c>
      <c s="588" r="EV102">
        <f>IF(ISNA((EO102*EO101)),0,(IF((EN102&lt;EN101),-1,1)*(IF(ISNA(EO102),0,IF((EO101&lt;EA$148),IF((EO102&lt;EA$148),(((EN102-EN101)^2)^0.5),(((((EA$148-EO101)*(EN102-EN101))/(EO102-EO101))^2)^0.5)),IF((EO102&lt;EA$148),(((((EA$148-EO102)*(EN102-EN101))/(EO101-EO102))^2)^0.5),0))))))</f>
        <v>0</v>
      </c>
      <c s="441" r="EW102">
        <f>IF((ES102&gt;0),(MAX(EW$47:EW101)+1),0)</f>
        <v>0</v>
      </c>
      <c s="388" r="EX102"/>
      <c s="406" r="EY102"/>
      <c s="886" r="EZ102"/>
      <c s="886" r="FA102"/>
      <c s="886" r="FB102"/>
      <c s="886" r="FC102"/>
      <c s="418" r="FD102"/>
      <c s="550" r="FE102"/>
      <c s="550" r="FF102"/>
      <c t="str" s="620" r="FG102">
        <f>IF((COUNT(FF102:FF$146,FH102:FH$146)=0),NA(),IF(ISBLANK(FF102),FG101,(FG101+(FF102-FH101))))</f>
        <v>#N/A:explicit</v>
      </c>
      <c s="550" r="FH102"/>
      <c t="str" s="620" r="FI102">
        <f>IF(OR(ISBLANK(FH102),ISNUMBER(FF103)),NA(),(FG102-FH102))</f>
        <v>#N/A:explicit</v>
      </c>
      <c t="b" s="895" r="FJ102">
        <v>0</v>
      </c>
      <c s="631" r="FK102"/>
      <c t="str" s="309" r="FL102">
        <f>IF((COUNT(FE102:FE$146)=0),NA(),IF(ISBLANK(FE102),IF(ISBLANK(FE101),MAX(FE$46:FE102),FE101),FE102))</f>
        <v>#N/A:explicit</v>
      </c>
      <c t="str" s="861" r="FM102">
        <f>IF(ISNA(FI102),IF(ISNUMBER(FL102),FM101,NA()),FI102)</f>
        <v>#N/A:explicit</v>
      </c>
      <c s="861" r="FN102">
        <f>IF(ISNUMBER(FM102),FM102,(FG$46+1000))</f>
        <v>1000</v>
      </c>
      <c t="str" s="588" r="FO102">
        <f>IF((FJ102=TRUE),NA(),IF((FO$44=(FG$46-MAX(FH$46:FH$146))),NA(),FO$44))</f>
        <v>#N/A:explicit</v>
      </c>
      <c s="588" r="FP102">
        <f>IF((ISNA(((FM102*FL102)*FM101))),0,(IF((FL102&lt;FL101),-1,1)*(IF((FJ101=FALSE),IF((FJ102=FALSE),IF(ISNA(FM102),0,IF((FM101&lt;FO$44),IF((FM102&lt;FO$44),(((FL102-FL101)^2)^0.5),(((((FO$44-FM101)*(FL102-FL101))/(FM102-FM101))^2)^0.5)),IF((FM102&lt;FO$44),(((((FO$44-FM102)*(FL102-FL101))/(FM101-FM102))^2)^0.5),0))),0),0))))</f>
        <v>0</v>
      </c>
      <c s="588" r="FQ102">
        <f>IF(ISNA((FM102*FM101)),0,IF((FJ101=FALSE),IF((FJ102=FALSE),IF(ISNA(FI102),0,IF((FM101&lt;FO$44),IF((FM102&lt;FO$44),((FO$44-((FM101+FM102)*0.5))*FP102),(((FO$44-FM101)*0.5)*FP102)),IF((FM102&lt;FO$44),(((FO$44-FM102)*0.5)*FP102),0))),0),0))</f>
        <v>0</v>
      </c>
      <c s="588" r="FR102">
        <f>IF(ISNA((FM102*FM101)),0,IF((FJ101=FALSE),IF((FJ102=FALSE),IF(ISNA(FM102),0,IF((FM101&lt;FO$44),IF((FM102&lt;FO$44),(((FP102^2)+((FM102-FM101)^2))^0.5),(((FP102^2)+((FO$44-FM101)^2))^0.5)),IF((FM102&lt;FO$44),(((FP102^2)+((FO$44-FM102)^2))^0.5),0))),0),0))</f>
        <v>0</v>
      </c>
      <c s="588" r="FS102">
        <f>IF(ISNUMBER((FM102*FM101)),IF((FM101&gt;=EY$148),IF((FM102&lt;EY$148),1,0),IF((FM102&gt;=EY$148),IF((FM101&lt;EY$148),1,0),0)),0)</f>
        <v>0</v>
      </c>
      <c s="588" r="FT102">
        <f>IF(ISNA((FM102*FM101)),0,(IF((FL102&lt;FL101),-1,1)*(IF(ISNA(FM102),0,IF((FM101&lt;EY$148),IF((FM102&lt;EY$148),(((FL102-FL101)^2)^0.5),(((((EY$148-FM101)*(FL102-FL101))/(FM102-FM101))^2)^0.5)),IF((FM102&lt;EY$148),(((((EY$148-FM102)*(FL102-FL101))/(FM101-FM102))^2)^0.5),0))))))</f>
        <v>0</v>
      </c>
      <c s="441" r="FU102">
        <f>IF((FQ102&gt;0),(MAX(FU$47:FU101)+1),0)</f>
        <v>0</v>
      </c>
      <c s="222" r="FV102"/>
      <c s="125" r="FW102"/>
      <c s="125" r="FX102"/>
      <c s="125" r="FY102"/>
      <c s="125" r="FZ102"/>
      <c s="125" r="GA102"/>
      <c s="125" r="GB102"/>
      <c s="125" r="GC102"/>
      <c s="125" r="GD102"/>
      <c s="125" r="GE102"/>
      <c s="125" r="GF102"/>
      <c s="125" r="GG102"/>
      <c s="125" r="GH102"/>
      <c s="125" r="GI102"/>
      <c s="125" r="GJ102"/>
      <c s="125" r="GK102"/>
      <c s="125" r="GL102"/>
      <c s="125" r="GM102"/>
      <c s="125" r="GN102"/>
      <c s="125" r="GO102"/>
      <c s="125" r="GP102"/>
      <c s="125" r="GQ102"/>
      <c s="125" r="GR102"/>
      <c s="125" r="GS102"/>
      <c s="125" r="GT102"/>
      <c s="125" r="GU102"/>
      <c s="125" r="GV102"/>
      <c s="125" r="GW102"/>
      <c s="125" r="GX102"/>
      <c s="125" r="GY102"/>
      <c s="125" r="GZ102"/>
      <c s="125" r="HA102"/>
      <c s="125" r="HB102"/>
    </row>
    <row r="103">
      <c s="822" r="A103"/>
      <c s="908" r="B103"/>
      <c s="551" r="C103"/>
      <c s="551" r="D103"/>
      <c t="s" s="812" r="E103">
        <v>84</v>
      </c>
      <c t="str" s="719" r="F103">
        <f>IF(ISNUMBER((F93/$F92)),IF(((F93/$F92)&gt;0),(F93/$F92),"---"),"---")</f>
        <v>---</v>
      </c>
      <c t="str" s="286" r="G103">
        <f>IF(ISNUMBER((G93/$F92)),IF(((G93/$F92)&gt;0),(G93/$F92),"---"),"---")</f>
        <v>---</v>
      </c>
      <c t="str" s="224" r="H103">
        <f>IF(ISNUMBER((H93/$F92)),IF(((H93/$F92)&gt;0),(H93/$F92),"---"),"---")</f>
        <v>---</v>
      </c>
      <c s="51" r="I103"/>
      <c s="822" r="J103"/>
      <c s="406" r="K103"/>
      <c s="886" r="L103"/>
      <c s="886" r="M103"/>
      <c s="886" r="N103"/>
      <c s="886" r="O103"/>
      <c s="418" r="P103"/>
      <c s="550" r="Q103"/>
      <c s="550" r="R103"/>
      <c t="str" s="620" r="S103">
        <f>IF((COUNT(R103:R$146,T103:T$146)=0),NA(),IF(ISBLANK(R103),S102,(S102+(R103-T102))))</f>
        <v>#N/A:explicit</v>
      </c>
      <c s="550" r="T103"/>
      <c t="str" s="620" r="U103">
        <f>IF(OR(ISBLANK(T103),ISNUMBER(R104)),NA(),(S103-T103))</f>
        <v>#N/A:explicit</v>
      </c>
      <c t="b" s="895" r="V103">
        <v>0</v>
      </c>
      <c s="631" r="W103"/>
      <c t="str" s="309" r="X103">
        <f>IF((COUNT(Q103:Q$146)=0),NA(),IF(ISBLANK(Q103),IF(ISBLANK(Q102),MAX(Q$46:Q103),Q102),Q103))</f>
        <v>#N/A:explicit</v>
      </c>
      <c t="str" s="861" r="Y103">
        <f>IF(ISNA(U103),IF(ISNUMBER(X103),Y102,NA()),U103)</f>
        <v>#N/A:explicit</v>
      </c>
      <c s="861" r="Z103">
        <f>IF(ISNUMBER(Y103),Y103,(S$46+1000))</f>
        <v>1000</v>
      </c>
      <c t="str" s="588" r="AA103">
        <f>IF((V103=TRUE),NA(),IF((AA$44=(S$46-MAX(T$46:T$146))),NA(),AA$44))</f>
        <v>#N/A:explicit</v>
      </c>
      <c s="588" r="AB103">
        <f>IF((ISNA(((Y103*X103)*Y102))),0,(IF((X103&lt;X102),-1,1)*(IF((V102=FALSE),IF((V103=FALSE),IF(ISNA(Y103),0,IF((Y102&lt;AA$44),IF((Y103&lt;AA$44),(((X103-X102)^2)^0.5),(((((AA$44-Y102)*(X103-X102))/(Y103-Y102))^2)^0.5)),IF((Y103&lt;AA$44),(((((AA$44-Y103)*(X103-X102))/(Y102-Y103))^2)^0.5),0))),0),0))))</f>
        <v>0</v>
      </c>
      <c s="588" r="AC103">
        <f>IF(ISNA((Y103*Y102)),0,IF((V102=FALSE),IF((V103=FALSE),IF(ISNA(U103),0,IF((Y102&lt;AA$44),IF((Y103&lt;AA$44),((AA$44-((Y102+Y103)*0.5))*AB103),(((AA$44-Y102)*0.5)*AB103)),IF((Y103&lt;AA$44),(((AA$44-Y103)*0.5)*AB103),0))),0),0))</f>
        <v>0</v>
      </c>
      <c s="588" r="AD103">
        <f>IF(ISNA((Y103*Y102)),0,IF((V102=FALSE),IF((V103=FALSE),IF(ISNA(Y103),0,IF((Y102&lt;AA$44),IF((Y103&lt;AA$44),(((AB103^2)+((Y103-Y102)^2))^0.5),(((AB103^2)+((AA$44-Y102)^2))^0.5)),IF((Y103&lt;AA$44),(((AB103^2)+((AA$44-Y103)^2))^0.5),0))),0),0))</f>
        <v>0</v>
      </c>
      <c s="588" r="AE103">
        <f>IF(ISNUMBER((Y103*Y102)),IF((Y102&gt;=K$148),IF((Y103&lt;K$148),1,0),IF((Y103&gt;=K$148),IF((Y102&lt;K$148),1,0),0)),0)</f>
        <v>0</v>
      </c>
      <c s="588" r="AF103">
        <f>IF(ISNA((Y103*Y102)),0,(IF((X103&lt;X102),-1,1)*(IF(ISNA(Y103),0,IF((Y102&lt;K$148),IF((Y103&lt;K$148),(((X103-X102)^2)^0.5),(((((K$148-Y102)*(X103-X102))/(Y103-Y102))^2)^0.5)),IF((Y103&lt;K$148),(((((K$148-Y103)*(X103-X102))/(Y102-Y103))^2)^0.5),0))))))</f>
        <v>0</v>
      </c>
      <c s="441" r="AG103">
        <f>IF((AC103&gt;0),(MAX(AG$47:AG102)+1),0)</f>
        <v>0</v>
      </c>
      <c s="388" r="AH103"/>
      <c s="406" r="AI103"/>
      <c s="886" r="AJ103"/>
      <c s="886" r="AK103"/>
      <c s="886" r="AL103"/>
      <c s="886" r="AM103"/>
      <c s="418" r="AN103"/>
      <c s="550" r="AO103"/>
      <c s="550" r="AP103"/>
      <c t="str" s="620" r="AQ103">
        <f>IF((COUNT(AP103:AP$146,AR103:AR$146)=0),NA(),IF(ISBLANK(AP103),AQ102,(AQ102+(AP103-AR102))))</f>
        <v>#N/A:explicit</v>
      </c>
      <c s="550" r="AR103"/>
      <c t="str" s="620" r="AS103">
        <f>IF(OR(ISBLANK(AR103),ISNUMBER(AP104)),NA(),(AQ103-AR103))</f>
        <v>#N/A:explicit</v>
      </c>
      <c t="b" s="895" r="AT103">
        <v>0</v>
      </c>
      <c s="631" r="AU103"/>
      <c t="str" s="309" r="AV103">
        <f>IF((COUNT(AO103:AO$146)=0),NA(),IF(ISBLANK(AO103),IF(ISBLANK(AO102),MAX(AO$46:AO103),AO102),AO103))</f>
        <v>#N/A:explicit</v>
      </c>
      <c t="str" s="861" r="AW103">
        <f>IF(ISNA(AS103),IF(ISNUMBER(AV103),AW102,NA()),AS103)</f>
        <v>#N/A:explicit</v>
      </c>
      <c s="861" r="AX103">
        <f>IF(ISNUMBER(AW103),AW103,(AQ$46+1000))</f>
        <v>1000</v>
      </c>
      <c t="str" s="588" r="AY103">
        <f>IF((AT103=TRUE),NA(),IF((AY$44=(AQ$46-MAX(AR$46:AR$146))),NA(),AY$44))</f>
        <v>#N/A:explicit</v>
      </c>
      <c s="588" r="AZ103">
        <f>IF((ISNA(((AW103*AV103)*AW102))),0,(IF((AV103&lt;AV102),-1,1)*(IF((AT102=FALSE),IF((AT103=FALSE),IF(ISNA(AW103),0,IF((AW102&lt;AY$44),IF((AW103&lt;AY$44),(((AV103-AV102)^2)^0.5),(((((AY$44-AW102)*(AV103-AV102))/(AW103-AW102))^2)^0.5)),IF((AW103&lt;AY$44),(((((AY$44-AW103)*(AV103-AV102))/(AW102-AW103))^2)^0.5),0))),0),0))))</f>
        <v>0</v>
      </c>
      <c s="588" r="BA103">
        <f>IF(ISNA((AW103*AW102)),0,IF((AT102=FALSE),IF((AT103=FALSE),IF(ISNA(AS103),0,IF((AW102&lt;AY$44),IF((AW103&lt;AY$44),((AY$44-((AW102+AW103)*0.5))*AZ103),(((AY$44-AW102)*0.5)*AZ103)),IF((AW103&lt;AY$44),(((AY$44-AW103)*0.5)*AZ103),0))),0),0))</f>
        <v>0</v>
      </c>
      <c s="588" r="BB103">
        <f>IF(ISNA((AW103*AW102)),0,IF((AT102=FALSE),IF((AT103=FALSE),IF(ISNA(AW103),0,IF((AW102&lt;AY$44),IF((AW103&lt;AY$44),(((AZ103^2)+((AW103-AW102)^2))^0.5),(((AZ103^2)+((AY$44-AW102)^2))^0.5)),IF((AW103&lt;AY$44),(((AZ103^2)+((AY$44-AW103)^2))^0.5),0))),0),0))</f>
        <v>0</v>
      </c>
      <c s="588" r="BC103">
        <f>IF(ISNUMBER((AW103*AW102)),IF((AW102&gt;=AI$148),IF((AW103&lt;AI$148),1,0),IF((AW103&gt;=AI$148),IF((AW102&lt;AI$148),1,0),0)),0)</f>
        <v>0</v>
      </c>
      <c s="588" r="BD103">
        <f>IF(ISNA((AW103*AW102)),0,(IF((AV103&lt;AV102),-1,1)*(IF(ISNA(AW103),0,IF((AW102&lt;AI$148),IF((AW103&lt;AI$148),(((AV103-AV102)^2)^0.5),(((((AI$148-AW102)*(AV103-AV102))/(AW103-AW102))^2)^0.5)),IF((AW103&lt;AI$148),(((((AI$148-AW103)*(AV103-AV102))/(AW102-AW103))^2)^0.5),0))))))</f>
        <v>0</v>
      </c>
      <c s="441" r="BE103">
        <f>IF((BA103&gt;0),(MAX(BE$47:BE102)+1),0)</f>
        <v>0</v>
      </c>
      <c s="388" r="BF103"/>
      <c s="406" r="BG103"/>
      <c s="886" r="BH103"/>
      <c s="886" r="BI103"/>
      <c s="886" r="BJ103"/>
      <c s="886" r="BK103"/>
      <c s="418" r="BL103"/>
      <c s="550" r="BM103"/>
      <c s="550" r="BN103"/>
      <c t="str" s="620" r="BO103">
        <f>IF((COUNT(BN103:BN$146,BP103:BP$146)=0),NA(),IF(ISBLANK(BN103),BO102,(BO102+(BN103-BP102))))</f>
        <v>#N/A:explicit</v>
      </c>
      <c s="550" r="BP103"/>
      <c t="str" s="620" r="BQ103">
        <f>IF(OR(ISBLANK(BP103),ISNUMBER(BN104)),NA(),(BO103-BP103))</f>
        <v>#N/A:explicit</v>
      </c>
      <c t="b" s="895" r="BR103">
        <v>0</v>
      </c>
      <c s="631" r="BS103"/>
      <c t="str" s="309" r="BT103">
        <f>IF((COUNT(BM103:BM$146)=0),NA(),IF(ISBLANK(BM103),IF(ISBLANK(BM102),MAX(BM$46:BM103),BM102),BM103))</f>
        <v>#N/A:explicit</v>
      </c>
      <c t="str" s="861" r="BU103">
        <f>IF(ISNA(BQ103),IF(ISNUMBER(BT103),BU102,NA()),BQ103)</f>
        <v>#N/A:explicit</v>
      </c>
      <c s="861" r="BV103">
        <f>IF(ISNUMBER(BU103),BU103,(BO$46+1000))</f>
        <v>1000</v>
      </c>
      <c t="str" s="588" r="BW103">
        <f>IF((BR103=TRUE),NA(),IF((BW$44=(BO$46-MAX(BP$46:BP$146))),NA(),BW$44))</f>
        <v>#N/A:explicit</v>
      </c>
      <c s="588" r="BX103">
        <f>IF((ISNA(((BU103*BT103)*BU102))),0,(IF((BT103&lt;BT102),-1,1)*(IF((BR102=FALSE),IF((BR103=FALSE),IF(ISNA(BU103),0,IF((BU102&lt;BW$44),IF((BU103&lt;BW$44),(((BT103-BT102)^2)^0.5),(((((BW$44-BU102)*(BT103-BT102))/(BU103-BU102))^2)^0.5)),IF((BU103&lt;BW$44),(((((BW$44-BU103)*(BT103-BT102))/(BU102-BU103))^2)^0.5),0))),0),0))))</f>
        <v>0</v>
      </c>
      <c s="588" r="BY103">
        <f>IF(ISNA((BU103*BU102)),0,IF((BR102=FALSE),IF((BR103=FALSE),IF(ISNA(BQ103),0,IF((BU102&lt;BW$44),IF((BU103&lt;BW$44),((BW$44-((BU102+BU103)*0.5))*BX103),(((BW$44-BU102)*0.5)*BX103)),IF((BU103&lt;BW$44),(((BW$44-BU103)*0.5)*BX103),0))),0),0))</f>
        <v>0</v>
      </c>
      <c s="588" r="BZ103">
        <f>IF(ISNA((BU103*BU102)),0,IF((BR102=FALSE),IF((BR103=FALSE),IF(ISNA(BU103),0,IF((BU102&lt;BW$44),IF((BU103&lt;BW$44),(((BX103^2)+((BU103-BU102)^2))^0.5),(((BX103^2)+((BW$44-BU102)^2))^0.5)),IF((BU103&lt;BW$44),(((BX103^2)+((BW$44-BU103)^2))^0.5),0))),0),0))</f>
        <v>0</v>
      </c>
      <c s="588" r="CA103">
        <f>IF(ISNUMBER((BU103*BU102)),IF((BU102&gt;=BG$148),IF((BU103&lt;BG$148),1,0),IF((BU103&gt;=BG$148),IF((BU102&lt;BG$148),1,0),0)),0)</f>
        <v>0</v>
      </c>
      <c s="588" r="CB103">
        <f>IF(ISNA((BU103*BU102)),0,(IF((BT103&lt;BT102),-1,1)*(IF(ISNA(BU103),0,IF((BU102&lt;BG$148),IF((BU103&lt;BG$148),(((BT103-BT102)^2)^0.5),(((((BG$148-BU102)*(BT103-BT102))/(BU103-BU102))^2)^0.5)),IF((BU103&lt;BG$148),(((((BG$148-BU103)*(BT103-BT102))/(BU102-BU103))^2)^0.5),0))))))</f>
        <v>0</v>
      </c>
      <c s="441" r="CC103">
        <f>IF((BY103&gt;0),(MAX(CC$47:CC102)+1),0)</f>
        <v>0</v>
      </c>
      <c s="388" r="CD103"/>
      <c s="406" r="CE103"/>
      <c s="886" r="CF103"/>
      <c s="886" r="CG103"/>
      <c s="886" r="CH103"/>
      <c s="886" r="CI103"/>
      <c s="418" r="CJ103"/>
      <c s="550" r="CK103"/>
      <c s="550" r="CL103"/>
      <c t="str" s="620" r="CM103">
        <f>IF((COUNT(CL103:CL$146,CN103:CN$146)=0),NA(),IF(ISBLANK(CL103),CM102,(CM102+(CL103-CN102))))</f>
        <v>#N/A:explicit</v>
      </c>
      <c s="550" r="CN103"/>
      <c t="str" s="620" r="CO103">
        <f>IF(OR(ISBLANK(CN103),ISNUMBER(CL104)),NA(),(CM103-CN103))</f>
        <v>#N/A:explicit</v>
      </c>
      <c t="b" s="895" r="CP103">
        <v>0</v>
      </c>
      <c s="631" r="CQ103"/>
      <c t="str" s="309" r="CR103">
        <f>IF((COUNT(CK103:CK$146)=0),NA(),IF(ISBLANK(CK103),IF(ISBLANK(CK102),MAX(CK$46:CK103),CK102),CK103))</f>
        <v>#N/A:explicit</v>
      </c>
      <c t="str" s="861" r="CS103">
        <f>IF(ISNA(CO103),IF(ISNUMBER(CR103),CS102,NA()),CO103)</f>
        <v>#N/A:explicit</v>
      </c>
      <c s="861" r="CT103">
        <f>IF(ISNUMBER(CS103),CS103,(CM$46+1000))</f>
        <v>1000</v>
      </c>
      <c t="str" s="588" r="CU103">
        <f>IF((CP103=TRUE),NA(),IF((CU$44=(CM$46-MAX(CN$46:CN$146))),NA(),CU$44))</f>
        <v>#N/A:explicit</v>
      </c>
      <c s="588" r="CV103">
        <f>IF((ISNA(((CS103*CR103)*CS102))),0,(IF((CR103&lt;CR102),-1,1)*(IF((CP102=FALSE),IF((CP103=FALSE),IF(ISNA(CS103),0,IF((CS102&lt;CU$44),IF((CS103&lt;CU$44),(((CR103-CR102)^2)^0.5),(((((CU$44-CS102)*(CR103-CR102))/(CS103-CS102))^2)^0.5)),IF((CS103&lt;CU$44),(((((CU$44-CS103)*(CR103-CR102))/(CS102-CS103))^2)^0.5),0))),0),0))))</f>
        <v>0</v>
      </c>
      <c s="588" r="CW103">
        <f>IF(ISNA((CS103*CS102)),0,IF((CP102=FALSE),IF((CP103=FALSE),IF(ISNA(CO103),0,IF((CS102&lt;CU$44),IF((CS103&lt;CU$44),((CU$44-((CS102+CS103)*0.5))*CV103),(((CU$44-CS102)*0.5)*CV103)),IF((CS103&lt;CU$44),(((CU$44-CS103)*0.5)*CV103),0))),0),0))</f>
        <v>0</v>
      </c>
      <c s="588" r="CX103">
        <f>IF(ISNA((CS103*CS102)),0,IF((CP102=FALSE),IF((CP103=FALSE),IF(ISNA(CS103),0,IF((CS102&lt;CU$44),IF((CS103&lt;CU$44),(((CV103^2)+((CS103-CS102)^2))^0.5),(((CV103^2)+((CU$44-CS102)^2))^0.5)),IF((CS103&lt;CU$44),(((CV103^2)+((CU$44-CS103)^2))^0.5),0))),0),0))</f>
        <v>0</v>
      </c>
      <c s="588" r="CY103">
        <f>IF(ISNUMBER((CS103*CS102)),IF((CS102&gt;=CE$148),IF((CS103&lt;CE$148),1,0),IF((CS103&gt;=CE$148),IF((CS102&lt;CE$148),1,0),0)),0)</f>
        <v>0</v>
      </c>
      <c s="588" r="CZ103">
        <f>IF(ISNA((CS103*CS102)),0,(IF((CR103&lt;CR102),-1,1)*(IF(ISNA(CS103),0,IF((CS102&lt;CE$148),IF((CS103&lt;CE$148),(((CR103-CR102)^2)^0.5),(((((CE$148-CS102)*(CR103-CR102))/(CS103-CS102))^2)^0.5)),IF((CS103&lt;CE$148),(((((CE$148-CS103)*(CR103-CR102))/(CS102-CS103))^2)^0.5),0))))))</f>
        <v>0</v>
      </c>
      <c s="441" r="DA103">
        <f>IF((CW103&gt;0),(MAX(DA$47:DA102)+1),0)</f>
        <v>0</v>
      </c>
      <c s="388" r="DB103"/>
      <c s="406" r="DC103"/>
      <c s="886" r="DD103"/>
      <c s="886" r="DE103"/>
      <c s="886" r="DF103"/>
      <c s="886" r="DG103"/>
      <c s="418" r="DH103"/>
      <c s="550" r="DI103"/>
      <c s="550" r="DJ103"/>
      <c t="str" s="620" r="DK103">
        <f>IF((COUNT(DJ103:DJ$146,DL103:DL$146)=0),NA(),IF(ISBLANK(DJ103),DK102,(DK102+(DJ103-DL102))))</f>
        <v>#N/A:explicit</v>
      </c>
      <c s="550" r="DL103"/>
      <c t="str" s="620" r="DM103">
        <f>IF(OR(ISBLANK(DL103),ISNUMBER(DJ104)),NA(),(DK103-DL103))</f>
        <v>#N/A:explicit</v>
      </c>
      <c t="b" s="895" r="DN103">
        <v>0</v>
      </c>
      <c s="631" r="DO103"/>
      <c t="str" s="309" r="DP103">
        <f>IF((COUNT(DI103:DI$146)=0),NA(),IF(ISBLANK(DI103),IF(ISBLANK(DI102),MAX(DI$46:DI103),DI102),DI103))</f>
        <v>#N/A:explicit</v>
      </c>
      <c t="str" s="861" r="DQ103">
        <f>IF(ISNA(DM103),IF(ISNUMBER(DP103),DQ102,NA()),DM103)</f>
        <v>#N/A:explicit</v>
      </c>
      <c s="861" r="DR103">
        <f>IF(ISNUMBER(DQ103),DQ103,(DK$46+1000))</f>
        <v>1000</v>
      </c>
      <c t="str" s="588" r="DS103">
        <f>IF((DN103=TRUE),NA(),IF((DS$44=(DK$46-MAX(DL$46:DL$146))),NA(),DS$44))</f>
        <v>#N/A:explicit</v>
      </c>
      <c s="588" r="DT103">
        <f>IF((ISNA(((DQ103*DP103)*DQ102))),0,(IF((DP103&lt;DP102),-1,1)*(IF((DN102=FALSE),IF((DN103=FALSE),IF(ISNA(DQ103),0,IF((DQ102&lt;DS$44),IF((DQ103&lt;DS$44),(((DP103-DP102)^2)^0.5),(((((DS$44-DQ102)*(DP103-DP102))/(DQ103-DQ102))^2)^0.5)),IF((DQ103&lt;DS$44),(((((DS$44-DQ103)*(DP103-DP102))/(DQ102-DQ103))^2)^0.5),0))),0),0))))</f>
        <v>0</v>
      </c>
      <c s="588" r="DU103">
        <f>IF(ISNA((DQ103*DQ102)),0,IF((DN102=FALSE),IF((DN103=FALSE),IF(ISNA(DM103),0,IF((DQ102&lt;DS$44),IF((DQ103&lt;DS$44),((DS$44-((DQ102+DQ103)*0.5))*DT103),(((DS$44-DQ102)*0.5)*DT103)),IF((DQ103&lt;DS$44),(((DS$44-DQ103)*0.5)*DT103),0))),0),0))</f>
        <v>0</v>
      </c>
      <c s="588" r="DV103">
        <f>IF(ISNA((DQ103*DQ102)),0,IF((DN102=FALSE),IF((DN103=FALSE),IF(ISNA(DQ103),0,IF((DQ102&lt;DS$44),IF((DQ103&lt;DS$44),(((DT103^2)+((DQ103-DQ102)^2))^0.5),(((DT103^2)+((DS$44-DQ102)^2))^0.5)),IF((DQ103&lt;DS$44),(((DT103^2)+((DS$44-DQ103)^2))^0.5),0))),0),0))</f>
        <v>0</v>
      </c>
      <c s="588" r="DW103">
        <f>IF(ISNUMBER((DQ103*DQ102)),IF((DQ102&gt;=DC$148),IF((DQ103&lt;DC$148),1,0),IF((DQ103&gt;=DC$148),IF((DQ102&lt;DC$148),1,0),0)),0)</f>
        <v>0</v>
      </c>
      <c s="588" r="DX103">
        <f>IF(ISNA((DQ103*DQ102)),0,(IF((DP103&lt;DP102),-1,1)*(IF(ISNA(DQ103),0,IF((DQ102&lt;DC$148),IF((DQ103&lt;DC$148),(((DP103-DP102)^2)^0.5),(((((DC$148-DQ102)*(DP103-DP102))/(DQ103-DQ102))^2)^0.5)),IF((DQ103&lt;DC$148),(((((DC$148-DQ103)*(DP103-DP102))/(DQ102-DQ103))^2)^0.5),0))))))</f>
        <v>0</v>
      </c>
      <c s="441" r="DY103">
        <f>IF((DU103&gt;0),(MAX(DY$47:DY102)+1),0)</f>
        <v>0</v>
      </c>
      <c s="388" r="DZ103"/>
      <c s="406" r="EA103"/>
      <c s="886" r="EB103"/>
      <c s="886" r="EC103"/>
      <c s="886" r="ED103"/>
      <c s="886" r="EE103"/>
      <c s="418" r="EF103"/>
      <c s="550" r="EG103"/>
      <c s="550" r="EH103"/>
      <c t="str" s="620" r="EI103">
        <f>IF((COUNT(EH103:EH$146,EJ103:EJ$146)=0),NA(),IF(ISBLANK(EH103),EI102,(EI102+(EH103-EJ102))))</f>
        <v>#N/A:explicit</v>
      </c>
      <c s="550" r="EJ103"/>
      <c t="str" s="620" r="EK103">
        <f>IF(OR(ISBLANK(EJ103),ISNUMBER(EH104)),NA(),(EI103-EJ103))</f>
        <v>#N/A:explicit</v>
      </c>
      <c t="b" s="895" r="EL103">
        <v>0</v>
      </c>
      <c s="631" r="EM103"/>
      <c t="str" s="309" r="EN103">
        <f>IF((COUNT(EG103:EG$146)=0),NA(),IF(ISBLANK(EG103),IF(ISBLANK(EG102),MAX(EG$46:EG103),EG102),EG103))</f>
        <v>#N/A:explicit</v>
      </c>
      <c t="str" s="861" r="EO103">
        <f>IF(ISNA(EK103),IF(ISNUMBER(EN103),EO102,NA()),EK103)</f>
        <v>#N/A:explicit</v>
      </c>
      <c s="861" r="EP103">
        <f>IF(ISNUMBER(EO103),EO103,(EI$46+1000))</f>
        <v>1000</v>
      </c>
      <c t="str" s="588" r="EQ103">
        <f>IF((EL103=TRUE),NA(),IF((EQ$44=(EI$46-MAX(EJ$46:EJ$146))),NA(),EQ$44))</f>
        <v>#N/A:explicit</v>
      </c>
      <c s="588" r="ER103">
        <f>IF((ISNA(((EO103*EN103)*EO102))),0,(IF((EN103&lt;EN102),-1,1)*(IF((EL102=FALSE),IF((EL103=FALSE),IF(ISNA(EO103),0,IF((EO102&lt;EQ$44),IF((EO103&lt;EQ$44),(((EN103-EN102)^2)^0.5),(((((EQ$44-EO102)*(EN103-EN102))/(EO103-EO102))^2)^0.5)),IF((EO103&lt;EQ$44),(((((EQ$44-EO103)*(EN103-EN102))/(EO102-EO103))^2)^0.5),0))),0),0))))</f>
        <v>0</v>
      </c>
      <c s="588" r="ES103">
        <f>IF(ISNA((EO103*EO102)),0,IF((EL102=FALSE),IF((EL103=FALSE),IF(ISNA(EK103),0,IF((EO102&lt;EQ$44),IF((EO103&lt;EQ$44),((EQ$44-((EO102+EO103)*0.5))*ER103),(((EQ$44-EO102)*0.5)*ER103)),IF((EO103&lt;EQ$44),(((EQ$44-EO103)*0.5)*ER103),0))),0),0))</f>
        <v>0</v>
      </c>
      <c s="588" r="ET103">
        <f>IF(ISNA((EO103*EO102)),0,IF((EL102=FALSE),IF((EL103=FALSE),IF(ISNA(EO103),0,IF((EO102&lt;EQ$44),IF((EO103&lt;EQ$44),(((ER103^2)+((EO103-EO102)^2))^0.5),(((ER103^2)+((EQ$44-EO102)^2))^0.5)),IF((EO103&lt;EQ$44),(((ER103^2)+((EQ$44-EO103)^2))^0.5),0))),0),0))</f>
        <v>0</v>
      </c>
      <c s="588" r="EU103">
        <f>IF(ISNUMBER((EO103*EO102)),IF((EO102&gt;=EA$148),IF((EO103&lt;EA$148),1,0),IF((EO103&gt;=EA$148),IF((EO102&lt;EA$148),1,0),0)),0)</f>
        <v>0</v>
      </c>
      <c s="588" r="EV103">
        <f>IF(ISNA((EO103*EO102)),0,(IF((EN103&lt;EN102),-1,1)*(IF(ISNA(EO103),0,IF((EO102&lt;EA$148),IF((EO103&lt;EA$148),(((EN103-EN102)^2)^0.5),(((((EA$148-EO102)*(EN103-EN102))/(EO103-EO102))^2)^0.5)),IF((EO103&lt;EA$148),(((((EA$148-EO103)*(EN103-EN102))/(EO102-EO103))^2)^0.5),0))))))</f>
        <v>0</v>
      </c>
      <c s="441" r="EW103">
        <f>IF((ES103&gt;0),(MAX(EW$47:EW102)+1),0)</f>
        <v>0</v>
      </c>
      <c s="388" r="EX103"/>
      <c s="406" r="EY103"/>
      <c s="886" r="EZ103"/>
      <c s="886" r="FA103"/>
      <c s="886" r="FB103"/>
      <c s="886" r="FC103"/>
      <c s="418" r="FD103"/>
      <c s="550" r="FE103"/>
      <c s="550" r="FF103"/>
      <c t="str" s="620" r="FG103">
        <f>IF((COUNT(FF103:FF$146,FH103:FH$146)=0),NA(),IF(ISBLANK(FF103),FG102,(FG102+(FF103-FH102))))</f>
        <v>#N/A:explicit</v>
      </c>
      <c s="550" r="FH103"/>
      <c t="str" s="620" r="FI103">
        <f>IF(OR(ISBLANK(FH103),ISNUMBER(FF104)),NA(),(FG103-FH103))</f>
        <v>#N/A:explicit</v>
      </c>
      <c t="b" s="895" r="FJ103">
        <v>0</v>
      </c>
      <c s="631" r="FK103"/>
      <c t="str" s="309" r="FL103">
        <f>IF((COUNT(FE103:FE$146)=0),NA(),IF(ISBLANK(FE103),IF(ISBLANK(FE102),MAX(FE$46:FE103),FE102),FE103))</f>
        <v>#N/A:explicit</v>
      </c>
      <c t="str" s="861" r="FM103">
        <f>IF(ISNA(FI103),IF(ISNUMBER(FL103),FM102,NA()),FI103)</f>
        <v>#N/A:explicit</v>
      </c>
      <c s="861" r="FN103">
        <f>IF(ISNUMBER(FM103),FM103,(FG$46+1000))</f>
        <v>1000</v>
      </c>
      <c t="str" s="588" r="FO103">
        <f>IF((FJ103=TRUE),NA(),IF((FO$44=(FG$46-MAX(FH$46:FH$146))),NA(),FO$44))</f>
        <v>#N/A:explicit</v>
      </c>
      <c s="588" r="FP103">
        <f>IF((ISNA(((FM103*FL103)*FM102))),0,(IF((FL103&lt;FL102),-1,1)*(IF((FJ102=FALSE),IF((FJ103=FALSE),IF(ISNA(FM103),0,IF((FM102&lt;FO$44),IF((FM103&lt;FO$44),(((FL103-FL102)^2)^0.5),(((((FO$44-FM102)*(FL103-FL102))/(FM103-FM102))^2)^0.5)),IF((FM103&lt;FO$44),(((((FO$44-FM103)*(FL103-FL102))/(FM102-FM103))^2)^0.5),0))),0),0))))</f>
        <v>0</v>
      </c>
      <c s="588" r="FQ103">
        <f>IF(ISNA((FM103*FM102)),0,IF((FJ102=FALSE),IF((FJ103=FALSE),IF(ISNA(FI103),0,IF((FM102&lt;FO$44),IF((FM103&lt;FO$44),((FO$44-((FM102+FM103)*0.5))*FP103),(((FO$44-FM102)*0.5)*FP103)),IF((FM103&lt;FO$44),(((FO$44-FM103)*0.5)*FP103),0))),0),0))</f>
        <v>0</v>
      </c>
      <c s="588" r="FR103">
        <f>IF(ISNA((FM103*FM102)),0,IF((FJ102=FALSE),IF((FJ103=FALSE),IF(ISNA(FM103),0,IF((FM102&lt;FO$44),IF((FM103&lt;FO$44),(((FP103^2)+((FM103-FM102)^2))^0.5),(((FP103^2)+((FO$44-FM102)^2))^0.5)),IF((FM103&lt;FO$44),(((FP103^2)+((FO$44-FM103)^2))^0.5),0))),0),0))</f>
        <v>0</v>
      </c>
      <c s="588" r="FS103">
        <f>IF(ISNUMBER((FM103*FM102)),IF((FM102&gt;=EY$148),IF((FM103&lt;EY$148),1,0),IF((FM103&gt;=EY$148),IF((FM102&lt;EY$148),1,0),0)),0)</f>
        <v>0</v>
      </c>
      <c s="588" r="FT103">
        <f>IF(ISNA((FM103*FM102)),0,(IF((FL103&lt;FL102),-1,1)*(IF(ISNA(FM103),0,IF((FM102&lt;EY$148),IF((FM103&lt;EY$148),(((FL103-FL102)^2)^0.5),(((((EY$148-FM102)*(FL103-FL102))/(FM103-FM102))^2)^0.5)),IF((FM103&lt;EY$148),(((((EY$148-FM103)*(FL103-FL102))/(FM102-FM103))^2)^0.5),0))))))</f>
        <v>0</v>
      </c>
      <c s="441" r="FU103">
        <f>IF((FQ103&gt;0),(MAX(FU$47:FU102)+1),0)</f>
        <v>0</v>
      </c>
      <c s="222" r="FV103"/>
      <c s="125" r="FW103"/>
      <c s="125" r="FX103"/>
      <c s="125" r="FY103"/>
      <c s="125" r="FZ103"/>
      <c s="125" r="GA103"/>
      <c s="125" r="GB103"/>
      <c s="125" r="GC103"/>
      <c s="125" r="GD103"/>
      <c s="125" r="GE103"/>
      <c s="125" r="GF103"/>
      <c s="125" r="GG103"/>
      <c s="125" r="GH103"/>
      <c s="125" r="GI103"/>
      <c s="125" r="GJ103"/>
      <c s="125" r="GK103"/>
      <c s="125" r="GL103"/>
      <c s="125" r="GM103"/>
      <c s="125" r="GN103"/>
      <c s="125" r="GO103"/>
      <c s="125" r="GP103"/>
      <c s="125" r="GQ103"/>
      <c s="125" r="GR103"/>
      <c s="125" r="GS103"/>
      <c s="125" r="GT103"/>
      <c s="125" r="GU103"/>
      <c s="125" r="GV103"/>
      <c s="125" r="GW103"/>
      <c s="125" r="GX103"/>
      <c s="125" r="GY103"/>
      <c s="125" r="GZ103"/>
      <c s="125" r="HA103"/>
      <c s="125" r="HB103"/>
    </row>
    <row r="104">
      <c s="822" r="A104"/>
      <c s="908" r="B104"/>
      <c s="551" r="C104"/>
      <c s="551" r="D104"/>
      <c t="s" s="812" r="E104">
        <v>88</v>
      </c>
      <c t="str" s="719" r="F104">
        <f>IF(ISNUMBER((F95/$F90)),IF(F95,(F95/$F90),"---"),"---")</f>
        <v>---</v>
      </c>
      <c t="str" s="286" r="G104">
        <f>IF(ISNUMBER((G95/$F90)),IF(G95,(G95/$F90),"---"),"---")</f>
        <v>---</v>
      </c>
      <c t="str" s="224" r="H104">
        <f>IF(ISNUMBER((H95/$F90)),IF(H95,(H95/$F90),"---"),"---")</f>
        <v>---</v>
      </c>
      <c s="51" r="I104"/>
      <c s="822" r="J104"/>
      <c s="406" r="K104"/>
      <c s="886" r="L104"/>
      <c s="886" r="M104"/>
      <c s="886" r="N104"/>
      <c s="886" r="O104"/>
      <c s="418" r="P104"/>
      <c s="550" r="Q104"/>
      <c s="550" r="R104"/>
      <c t="str" s="620" r="S104">
        <f>IF((COUNT(R104:R$146,T104:T$146)=0),NA(),IF(ISBLANK(R104),S103,(S103+(R104-T103))))</f>
        <v>#N/A:explicit</v>
      </c>
      <c s="550" r="T104"/>
      <c t="str" s="620" r="U104">
        <f>IF(OR(ISBLANK(T104),ISNUMBER(R105)),NA(),(S104-T104))</f>
        <v>#N/A:explicit</v>
      </c>
      <c t="b" s="895" r="V104">
        <v>0</v>
      </c>
      <c s="631" r="W104"/>
      <c t="str" s="309" r="X104">
        <f>IF((COUNT(Q104:Q$146)=0),NA(),IF(ISBLANK(Q104),IF(ISBLANK(Q103),MAX(Q$46:Q104),Q103),Q104))</f>
        <v>#N/A:explicit</v>
      </c>
      <c t="str" s="861" r="Y104">
        <f>IF(ISNA(U104),IF(ISNUMBER(X104),Y103,NA()),U104)</f>
        <v>#N/A:explicit</v>
      </c>
      <c s="861" r="Z104">
        <f>IF(ISNUMBER(Y104),Y104,(S$46+1000))</f>
        <v>1000</v>
      </c>
      <c t="str" s="588" r="AA104">
        <f>IF((V104=TRUE),NA(),IF((AA$44=(S$46-MAX(T$46:T$146))),NA(),AA$44))</f>
        <v>#N/A:explicit</v>
      </c>
      <c s="588" r="AB104">
        <f>IF((ISNA(((Y104*X104)*Y103))),0,(IF((X104&lt;X103),-1,1)*(IF((V103=FALSE),IF((V104=FALSE),IF(ISNA(Y104),0,IF((Y103&lt;AA$44),IF((Y104&lt;AA$44),(((X104-X103)^2)^0.5),(((((AA$44-Y103)*(X104-X103))/(Y104-Y103))^2)^0.5)),IF((Y104&lt;AA$44),(((((AA$44-Y104)*(X104-X103))/(Y103-Y104))^2)^0.5),0))),0),0))))</f>
        <v>0</v>
      </c>
      <c s="588" r="AC104">
        <f>IF(ISNA((Y104*Y103)),0,IF((V103=FALSE),IF((V104=FALSE),IF(ISNA(U104),0,IF((Y103&lt;AA$44),IF((Y104&lt;AA$44),((AA$44-((Y103+Y104)*0.5))*AB104),(((AA$44-Y103)*0.5)*AB104)),IF((Y104&lt;AA$44),(((AA$44-Y104)*0.5)*AB104),0))),0),0))</f>
        <v>0</v>
      </c>
      <c s="588" r="AD104">
        <f>IF(ISNA((Y104*Y103)),0,IF((V103=FALSE),IF((V104=FALSE),IF(ISNA(Y104),0,IF((Y103&lt;AA$44),IF((Y104&lt;AA$44),(((AB104^2)+((Y104-Y103)^2))^0.5),(((AB104^2)+((AA$44-Y103)^2))^0.5)),IF((Y104&lt;AA$44),(((AB104^2)+((AA$44-Y104)^2))^0.5),0))),0),0))</f>
        <v>0</v>
      </c>
      <c s="588" r="AE104">
        <f>IF(ISNUMBER((Y104*Y103)),IF((Y103&gt;=K$148),IF((Y104&lt;K$148),1,0),IF((Y104&gt;=K$148),IF((Y103&lt;K$148),1,0),0)),0)</f>
        <v>0</v>
      </c>
      <c s="588" r="AF104">
        <f>IF(ISNA((Y104*Y103)),0,(IF((X104&lt;X103),-1,1)*(IF(ISNA(Y104),0,IF((Y103&lt;K$148),IF((Y104&lt;K$148),(((X104-X103)^2)^0.5),(((((K$148-Y103)*(X104-X103))/(Y104-Y103))^2)^0.5)),IF((Y104&lt;K$148),(((((K$148-Y104)*(X104-X103))/(Y103-Y104))^2)^0.5),0))))))</f>
        <v>0</v>
      </c>
      <c s="441" r="AG104">
        <f>IF((AC104&gt;0),(MAX(AG$47:AG103)+1),0)</f>
        <v>0</v>
      </c>
      <c s="388" r="AH104"/>
      <c s="406" r="AI104"/>
      <c s="886" r="AJ104"/>
      <c s="886" r="AK104"/>
      <c s="886" r="AL104"/>
      <c s="886" r="AM104"/>
      <c s="418" r="AN104"/>
      <c s="550" r="AO104"/>
      <c s="550" r="AP104"/>
      <c t="str" s="620" r="AQ104">
        <f>IF((COUNT(AP104:AP$146,AR104:AR$146)=0),NA(),IF(ISBLANK(AP104),AQ103,(AQ103+(AP104-AR103))))</f>
        <v>#N/A:explicit</v>
      </c>
      <c s="550" r="AR104"/>
      <c t="str" s="620" r="AS104">
        <f>IF(OR(ISBLANK(AR104),ISNUMBER(AP105)),NA(),(AQ104-AR104))</f>
        <v>#N/A:explicit</v>
      </c>
      <c t="b" s="895" r="AT104">
        <v>0</v>
      </c>
      <c s="631" r="AU104"/>
      <c t="str" s="309" r="AV104">
        <f>IF((COUNT(AO104:AO$146)=0),NA(),IF(ISBLANK(AO104),IF(ISBLANK(AO103),MAX(AO$46:AO104),AO103),AO104))</f>
        <v>#N/A:explicit</v>
      </c>
      <c t="str" s="861" r="AW104">
        <f>IF(ISNA(AS104),IF(ISNUMBER(AV104),AW103,NA()),AS104)</f>
        <v>#N/A:explicit</v>
      </c>
      <c s="861" r="AX104">
        <f>IF(ISNUMBER(AW104),AW104,(AQ$46+1000))</f>
        <v>1000</v>
      </c>
      <c t="str" s="588" r="AY104">
        <f>IF((AT104=TRUE),NA(),IF((AY$44=(AQ$46-MAX(AR$46:AR$146))),NA(),AY$44))</f>
        <v>#N/A:explicit</v>
      </c>
      <c s="588" r="AZ104">
        <f>IF((ISNA(((AW104*AV104)*AW103))),0,(IF((AV104&lt;AV103),-1,1)*(IF((AT103=FALSE),IF((AT104=FALSE),IF(ISNA(AW104),0,IF((AW103&lt;AY$44),IF((AW104&lt;AY$44),(((AV104-AV103)^2)^0.5),(((((AY$44-AW103)*(AV104-AV103))/(AW104-AW103))^2)^0.5)),IF((AW104&lt;AY$44),(((((AY$44-AW104)*(AV104-AV103))/(AW103-AW104))^2)^0.5),0))),0),0))))</f>
        <v>0</v>
      </c>
      <c s="588" r="BA104">
        <f>IF(ISNA((AW104*AW103)),0,IF((AT103=FALSE),IF((AT104=FALSE),IF(ISNA(AS104),0,IF((AW103&lt;AY$44),IF((AW104&lt;AY$44),((AY$44-((AW103+AW104)*0.5))*AZ104),(((AY$44-AW103)*0.5)*AZ104)),IF((AW104&lt;AY$44),(((AY$44-AW104)*0.5)*AZ104),0))),0),0))</f>
        <v>0</v>
      </c>
      <c s="588" r="BB104">
        <f>IF(ISNA((AW104*AW103)),0,IF((AT103=FALSE),IF((AT104=FALSE),IF(ISNA(AW104),0,IF((AW103&lt;AY$44),IF((AW104&lt;AY$44),(((AZ104^2)+((AW104-AW103)^2))^0.5),(((AZ104^2)+((AY$44-AW103)^2))^0.5)),IF((AW104&lt;AY$44),(((AZ104^2)+((AY$44-AW104)^2))^0.5),0))),0),0))</f>
        <v>0</v>
      </c>
      <c s="588" r="BC104">
        <f>IF(ISNUMBER((AW104*AW103)),IF((AW103&gt;=AI$148),IF((AW104&lt;AI$148),1,0),IF((AW104&gt;=AI$148),IF((AW103&lt;AI$148),1,0),0)),0)</f>
        <v>0</v>
      </c>
      <c s="588" r="BD104">
        <f>IF(ISNA((AW104*AW103)),0,(IF((AV104&lt;AV103),-1,1)*(IF(ISNA(AW104),0,IF((AW103&lt;AI$148),IF((AW104&lt;AI$148),(((AV104-AV103)^2)^0.5),(((((AI$148-AW103)*(AV104-AV103))/(AW104-AW103))^2)^0.5)),IF((AW104&lt;AI$148),(((((AI$148-AW104)*(AV104-AV103))/(AW103-AW104))^2)^0.5),0))))))</f>
        <v>0</v>
      </c>
      <c s="441" r="BE104">
        <f>IF((BA104&gt;0),(MAX(BE$47:BE103)+1),0)</f>
        <v>0</v>
      </c>
      <c s="388" r="BF104"/>
      <c s="406" r="BG104"/>
      <c s="886" r="BH104"/>
      <c s="886" r="BI104"/>
      <c s="886" r="BJ104"/>
      <c s="886" r="BK104"/>
      <c s="418" r="BL104"/>
      <c s="550" r="BM104"/>
      <c s="550" r="BN104"/>
      <c t="str" s="620" r="BO104">
        <f>IF((COUNT(BN104:BN$146,BP104:BP$146)=0),NA(),IF(ISBLANK(BN104),BO103,(BO103+(BN104-BP103))))</f>
        <v>#N/A:explicit</v>
      </c>
      <c s="550" r="BP104"/>
      <c t="str" s="620" r="BQ104">
        <f>IF(OR(ISBLANK(BP104),ISNUMBER(BN105)),NA(),(BO104-BP104))</f>
        <v>#N/A:explicit</v>
      </c>
      <c t="b" s="895" r="BR104">
        <v>0</v>
      </c>
      <c s="631" r="BS104"/>
      <c t="str" s="309" r="BT104">
        <f>IF((COUNT(BM104:BM$146)=0),NA(),IF(ISBLANK(BM104),IF(ISBLANK(BM103),MAX(BM$46:BM104),BM103),BM104))</f>
        <v>#N/A:explicit</v>
      </c>
      <c t="str" s="861" r="BU104">
        <f>IF(ISNA(BQ104),IF(ISNUMBER(BT104),BU103,NA()),BQ104)</f>
        <v>#N/A:explicit</v>
      </c>
      <c s="861" r="BV104">
        <f>IF(ISNUMBER(BU104),BU104,(BO$46+1000))</f>
        <v>1000</v>
      </c>
      <c t="str" s="588" r="BW104">
        <f>IF((BR104=TRUE),NA(),IF((BW$44=(BO$46-MAX(BP$46:BP$146))),NA(),BW$44))</f>
        <v>#N/A:explicit</v>
      </c>
      <c s="588" r="BX104">
        <f>IF((ISNA(((BU104*BT104)*BU103))),0,(IF((BT104&lt;BT103),-1,1)*(IF((BR103=FALSE),IF((BR104=FALSE),IF(ISNA(BU104),0,IF((BU103&lt;BW$44),IF((BU104&lt;BW$44),(((BT104-BT103)^2)^0.5),(((((BW$44-BU103)*(BT104-BT103))/(BU104-BU103))^2)^0.5)),IF((BU104&lt;BW$44),(((((BW$44-BU104)*(BT104-BT103))/(BU103-BU104))^2)^0.5),0))),0),0))))</f>
        <v>0</v>
      </c>
      <c s="588" r="BY104">
        <f>IF(ISNA((BU104*BU103)),0,IF((BR103=FALSE),IF((BR104=FALSE),IF(ISNA(BQ104),0,IF((BU103&lt;BW$44),IF((BU104&lt;BW$44),((BW$44-((BU103+BU104)*0.5))*BX104),(((BW$44-BU103)*0.5)*BX104)),IF((BU104&lt;BW$44),(((BW$44-BU104)*0.5)*BX104),0))),0),0))</f>
        <v>0</v>
      </c>
      <c s="588" r="BZ104">
        <f>IF(ISNA((BU104*BU103)),0,IF((BR103=FALSE),IF((BR104=FALSE),IF(ISNA(BU104),0,IF((BU103&lt;BW$44),IF((BU104&lt;BW$44),(((BX104^2)+((BU104-BU103)^2))^0.5),(((BX104^2)+((BW$44-BU103)^2))^0.5)),IF((BU104&lt;BW$44),(((BX104^2)+((BW$44-BU104)^2))^0.5),0))),0),0))</f>
        <v>0</v>
      </c>
      <c s="588" r="CA104">
        <f>IF(ISNUMBER((BU104*BU103)),IF((BU103&gt;=BG$148),IF((BU104&lt;BG$148),1,0),IF((BU104&gt;=BG$148),IF((BU103&lt;BG$148),1,0),0)),0)</f>
        <v>0</v>
      </c>
      <c s="588" r="CB104">
        <f>IF(ISNA((BU104*BU103)),0,(IF((BT104&lt;BT103),-1,1)*(IF(ISNA(BU104),0,IF((BU103&lt;BG$148),IF((BU104&lt;BG$148),(((BT104-BT103)^2)^0.5),(((((BG$148-BU103)*(BT104-BT103))/(BU104-BU103))^2)^0.5)),IF((BU104&lt;BG$148),(((((BG$148-BU104)*(BT104-BT103))/(BU103-BU104))^2)^0.5),0))))))</f>
        <v>0</v>
      </c>
      <c s="441" r="CC104">
        <f>IF((BY104&gt;0),(MAX(CC$47:CC103)+1),0)</f>
        <v>0</v>
      </c>
      <c s="388" r="CD104"/>
      <c s="406" r="CE104"/>
      <c s="886" r="CF104"/>
      <c s="886" r="CG104"/>
      <c s="886" r="CH104"/>
      <c s="886" r="CI104"/>
      <c s="418" r="CJ104"/>
      <c s="550" r="CK104"/>
      <c s="550" r="CL104"/>
      <c t="str" s="620" r="CM104">
        <f>IF((COUNT(CL104:CL$146,CN104:CN$146)=0),NA(),IF(ISBLANK(CL104),CM103,(CM103+(CL104-CN103))))</f>
        <v>#N/A:explicit</v>
      </c>
      <c s="550" r="CN104"/>
      <c t="str" s="620" r="CO104">
        <f>IF(OR(ISBLANK(CN104),ISNUMBER(CL105)),NA(),(CM104-CN104))</f>
        <v>#N/A:explicit</v>
      </c>
      <c t="b" s="895" r="CP104">
        <v>0</v>
      </c>
      <c s="631" r="CQ104"/>
      <c t="str" s="309" r="CR104">
        <f>IF((COUNT(CK104:CK$146)=0),NA(),IF(ISBLANK(CK104),IF(ISBLANK(CK103),MAX(CK$46:CK104),CK103),CK104))</f>
        <v>#N/A:explicit</v>
      </c>
      <c t="str" s="861" r="CS104">
        <f>IF(ISNA(CO104),IF(ISNUMBER(CR104),CS103,NA()),CO104)</f>
        <v>#N/A:explicit</v>
      </c>
      <c s="861" r="CT104">
        <f>IF(ISNUMBER(CS104),CS104,(CM$46+1000))</f>
        <v>1000</v>
      </c>
      <c t="str" s="588" r="CU104">
        <f>IF((CP104=TRUE),NA(),IF((CU$44=(CM$46-MAX(CN$46:CN$146))),NA(),CU$44))</f>
        <v>#N/A:explicit</v>
      </c>
      <c s="588" r="CV104">
        <f>IF((ISNA(((CS104*CR104)*CS103))),0,(IF((CR104&lt;CR103),-1,1)*(IF((CP103=FALSE),IF((CP104=FALSE),IF(ISNA(CS104),0,IF((CS103&lt;CU$44),IF((CS104&lt;CU$44),(((CR104-CR103)^2)^0.5),(((((CU$44-CS103)*(CR104-CR103))/(CS104-CS103))^2)^0.5)),IF((CS104&lt;CU$44),(((((CU$44-CS104)*(CR104-CR103))/(CS103-CS104))^2)^0.5),0))),0),0))))</f>
        <v>0</v>
      </c>
      <c s="588" r="CW104">
        <f>IF(ISNA((CS104*CS103)),0,IF((CP103=FALSE),IF((CP104=FALSE),IF(ISNA(CO104),0,IF((CS103&lt;CU$44),IF((CS104&lt;CU$44),((CU$44-((CS103+CS104)*0.5))*CV104),(((CU$44-CS103)*0.5)*CV104)),IF((CS104&lt;CU$44),(((CU$44-CS104)*0.5)*CV104),0))),0),0))</f>
        <v>0</v>
      </c>
      <c s="588" r="CX104">
        <f>IF(ISNA((CS104*CS103)),0,IF((CP103=FALSE),IF((CP104=FALSE),IF(ISNA(CS104),0,IF((CS103&lt;CU$44),IF((CS104&lt;CU$44),(((CV104^2)+((CS104-CS103)^2))^0.5),(((CV104^2)+((CU$44-CS103)^2))^0.5)),IF((CS104&lt;CU$44),(((CV104^2)+((CU$44-CS104)^2))^0.5),0))),0),0))</f>
        <v>0</v>
      </c>
      <c s="588" r="CY104">
        <f>IF(ISNUMBER((CS104*CS103)),IF((CS103&gt;=CE$148),IF((CS104&lt;CE$148),1,0),IF((CS104&gt;=CE$148),IF((CS103&lt;CE$148),1,0),0)),0)</f>
        <v>0</v>
      </c>
      <c s="588" r="CZ104">
        <f>IF(ISNA((CS104*CS103)),0,(IF((CR104&lt;CR103),-1,1)*(IF(ISNA(CS104),0,IF((CS103&lt;CE$148),IF((CS104&lt;CE$148),(((CR104-CR103)^2)^0.5),(((((CE$148-CS103)*(CR104-CR103))/(CS104-CS103))^2)^0.5)),IF((CS104&lt;CE$148),(((((CE$148-CS104)*(CR104-CR103))/(CS103-CS104))^2)^0.5),0))))))</f>
        <v>0</v>
      </c>
      <c s="441" r="DA104">
        <f>IF((CW104&gt;0),(MAX(DA$47:DA103)+1),0)</f>
        <v>0</v>
      </c>
      <c s="388" r="DB104"/>
      <c s="406" r="DC104"/>
      <c s="886" r="DD104"/>
      <c s="886" r="DE104"/>
      <c s="886" r="DF104"/>
      <c s="886" r="DG104"/>
      <c s="418" r="DH104"/>
      <c s="550" r="DI104"/>
      <c s="550" r="DJ104"/>
      <c t="str" s="620" r="DK104">
        <f>IF((COUNT(DJ104:DJ$146,DL104:DL$146)=0),NA(),IF(ISBLANK(DJ104),DK103,(DK103+(DJ104-DL103))))</f>
        <v>#N/A:explicit</v>
      </c>
      <c s="550" r="DL104"/>
      <c t="str" s="620" r="DM104">
        <f>IF(OR(ISBLANK(DL104),ISNUMBER(DJ105)),NA(),(DK104-DL104))</f>
        <v>#N/A:explicit</v>
      </c>
      <c t="b" s="895" r="DN104">
        <v>0</v>
      </c>
      <c s="631" r="DO104"/>
      <c t="str" s="309" r="DP104">
        <f>IF((COUNT(DI104:DI$146)=0),NA(),IF(ISBLANK(DI104),IF(ISBLANK(DI103),MAX(DI$46:DI104),DI103),DI104))</f>
        <v>#N/A:explicit</v>
      </c>
      <c t="str" s="861" r="DQ104">
        <f>IF(ISNA(DM104),IF(ISNUMBER(DP104),DQ103,NA()),DM104)</f>
        <v>#N/A:explicit</v>
      </c>
      <c s="861" r="DR104">
        <f>IF(ISNUMBER(DQ104),DQ104,(DK$46+1000))</f>
        <v>1000</v>
      </c>
      <c t="str" s="588" r="DS104">
        <f>IF((DN104=TRUE),NA(),IF((DS$44=(DK$46-MAX(DL$46:DL$146))),NA(),DS$44))</f>
        <v>#N/A:explicit</v>
      </c>
      <c s="588" r="DT104">
        <f>IF((ISNA(((DQ104*DP104)*DQ103))),0,(IF((DP104&lt;DP103),-1,1)*(IF((DN103=FALSE),IF((DN104=FALSE),IF(ISNA(DQ104),0,IF((DQ103&lt;DS$44),IF((DQ104&lt;DS$44),(((DP104-DP103)^2)^0.5),(((((DS$44-DQ103)*(DP104-DP103))/(DQ104-DQ103))^2)^0.5)),IF((DQ104&lt;DS$44),(((((DS$44-DQ104)*(DP104-DP103))/(DQ103-DQ104))^2)^0.5),0))),0),0))))</f>
        <v>0</v>
      </c>
      <c s="588" r="DU104">
        <f>IF(ISNA((DQ104*DQ103)),0,IF((DN103=FALSE),IF((DN104=FALSE),IF(ISNA(DM104),0,IF((DQ103&lt;DS$44),IF((DQ104&lt;DS$44),((DS$44-((DQ103+DQ104)*0.5))*DT104),(((DS$44-DQ103)*0.5)*DT104)),IF((DQ104&lt;DS$44),(((DS$44-DQ104)*0.5)*DT104),0))),0),0))</f>
        <v>0</v>
      </c>
      <c s="588" r="DV104">
        <f>IF(ISNA((DQ104*DQ103)),0,IF((DN103=FALSE),IF((DN104=FALSE),IF(ISNA(DQ104),0,IF((DQ103&lt;DS$44),IF((DQ104&lt;DS$44),(((DT104^2)+((DQ104-DQ103)^2))^0.5),(((DT104^2)+((DS$44-DQ103)^2))^0.5)),IF((DQ104&lt;DS$44),(((DT104^2)+((DS$44-DQ104)^2))^0.5),0))),0),0))</f>
        <v>0</v>
      </c>
      <c s="588" r="DW104">
        <f>IF(ISNUMBER((DQ104*DQ103)),IF((DQ103&gt;=DC$148),IF((DQ104&lt;DC$148),1,0),IF((DQ104&gt;=DC$148),IF((DQ103&lt;DC$148),1,0),0)),0)</f>
        <v>0</v>
      </c>
      <c s="588" r="DX104">
        <f>IF(ISNA((DQ104*DQ103)),0,(IF((DP104&lt;DP103),-1,1)*(IF(ISNA(DQ104),0,IF((DQ103&lt;DC$148),IF((DQ104&lt;DC$148),(((DP104-DP103)^2)^0.5),(((((DC$148-DQ103)*(DP104-DP103))/(DQ104-DQ103))^2)^0.5)),IF((DQ104&lt;DC$148),(((((DC$148-DQ104)*(DP104-DP103))/(DQ103-DQ104))^2)^0.5),0))))))</f>
        <v>0</v>
      </c>
      <c s="441" r="DY104">
        <f>IF((DU104&gt;0),(MAX(DY$47:DY103)+1),0)</f>
        <v>0</v>
      </c>
      <c s="388" r="DZ104"/>
      <c s="406" r="EA104"/>
      <c s="886" r="EB104"/>
      <c s="886" r="EC104"/>
      <c s="886" r="ED104"/>
      <c s="886" r="EE104"/>
      <c s="418" r="EF104"/>
      <c s="550" r="EG104"/>
      <c s="550" r="EH104"/>
      <c t="str" s="620" r="EI104">
        <f>IF((COUNT(EH104:EH$146,EJ104:EJ$146)=0),NA(),IF(ISBLANK(EH104),EI103,(EI103+(EH104-EJ103))))</f>
        <v>#N/A:explicit</v>
      </c>
      <c s="550" r="EJ104"/>
      <c t="str" s="620" r="EK104">
        <f>IF(OR(ISBLANK(EJ104),ISNUMBER(EH105)),NA(),(EI104-EJ104))</f>
        <v>#N/A:explicit</v>
      </c>
      <c t="b" s="895" r="EL104">
        <v>0</v>
      </c>
      <c s="631" r="EM104"/>
      <c t="str" s="309" r="EN104">
        <f>IF((COUNT(EG104:EG$146)=0),NA(),IF(ISBLANK(EG104),IF(ISBLANK(EG103),MAX(EG$46:EG104),EG103),EG104))</f>
        <v>#N/A:explicit</v>
      </c>
      <c t="str" s="861" r="EO104">
        <f>IF(ISNA(EK104),IF(ISNUMBER(EN104),EO103,NA()),EK104)</f>
        <v>#N/A:explicit</v>
      </c>
      <c s="861" r="EP104">
        <f>IF(ISNUMBER(EO104),EO104,(EI$46+1000))</f>
        <v>1000</v>
      </c>
      <c t="str" s="588" r="EQ104">
        <f>IF((EL104=TRUE),NA(),IF((EQ$44=(EI$46-MAX(EJ$46:EJ$146))),NA(),EQ$44))</f>
        <v>#N/A:explicit</v>
      </c>
      <c s="588" r="ER104">
        <f>IF((ISNA(((EO104*EN104)*EO103))),0,(IF((EN104&lt;EN103),-1,1)*(IF((EL103=FALSE),IF((EL104=FALSE),IF(ISNA(EO104),0,IF((EO103&lt;EQ$44),IF((EO104&lt;EQ$44),(((EN104-EN103)^2)^0.5),(((((EQ$44-EO103)*(EN104-EN103))/(EO104-EO103))^2)^0.5)),IF((EO104&lt;EQ$44),(((((EQ$44-EO104)*(EN104-EN103))/(EO103-EO104))^2)^0.5),0))),0),0))))</f>
        <v>0</v>
      </c>
      <c s="588" r="ES104">
        <f>IF(ISNA((EO104*EO103)),0,IF((EL103=FALSE),IF((EL104=FALSE),IF(ISNA(EK104),0,IF((EO103&lt;EQ$44),IF((EO104&lt;EQ$44),((EQ$44-((EO103+EO104)*0.5))*ER104),(((EQ$44-EO103)*0.5)*ER104)),IF((EO104&lt;EQ$44),(((EQ$44-EO104)*0.5)*ER104),0))),0),0))</f>
        <v>0</v>
      </c>
      <c s="588" r="ET104">
        <f>IF(ISNA((EO104*EO103)),0,IF((EL103=FALSE),IF((EL104=FALSE),IF(ISNA(EO104),0,IF((EO103&lt;EQ$44),IF((EO104&lt;EQ$44),(((ER104^2)+((EO104-EO103)^2))^0.5),(((ER104^2)+((EQ$44-EO103)^2))^0.5)),IF((EO104&lt;EQ$44),(((ER104^2)+((EQ$44-EO104)^2))^0.5),0))),0),0))</f>
        <v>0</v>
      </c>
      <c s="588" r="EU104">
        <f>IF(ISNUMBER((EO104*EO103)),IF((EO103&gt;=EA$148),IF((EO104&lt;EA$148),1,0),IF((EO104&gt;=EA$148),IF((EO103&lt;EA$148),1,0),0)),0)</f>
        <v>0</v>
      </c>
      <c s="588" r="EV104">
        <f>IF(ISNA((EO104*EO103)),0,(IF((EN104&lt;EN103),-1,1)*(IF(ISNA(EO104),0,IF((EO103&lt;EA$148),IF((EO104&lt;EA$148),(((EN104-EN103)^2)^0.5),(((((EA$148-EO103)*(EN104-EN103))/(EO104-EO103))^2)^0.5)),IF((EO104&lt;EA$148),(((((EA$148-EO104)*(EN104-EN103))/(EO103-EO104))^2)^0.5),0))))))</f>
        <v>0</v>
      </c>
      <c s="441" r="EW104">
        <f>IF((ES104&gt;0),(MAX(EW$47:EW103)+1),0)</f>
        <v>0</v>
      </c>
      <c s="388" r="EX104"/>
      <c s="406" r="EY104"/>
      <c s="886" r="EZ104"/>
      <c s="886" r="FA104"/>
      <c s="886" r="FB104"/>
      <c s="886" r="FC104"/>
      <c s="418" r="FD104"/>
      <c s="550" r="FE104"/>
      <c s="550" r="FF104"/>
      <c t="str" s="620" r="FG104">
        <f>IF((COUNT(FF104:FF$146,FH104:FH$146)=0),NA(),IF(ISBLANK(FF104),FG103,(FG103+(FF104-FH103))))</f>
        <v>#N/A:explicit</v>
      </c>
      <c s="550" r="FH104"/>
      <c t="str" s="620" r="FI104">
        <f>IF(OR(ISBLANK(FH104),ISNUMBER(FF105)),NA(),(FG104-FH104))</f>
        <v>#N/A:explicit</v>
      </c>
      <c t="b" s="895" r="FJ104">
        <v>0</v>
      </c>
      <c s="631" r="FK104"/>
      <c t="str" s="309" r="FL104">
        <f>IF((COUNT(FE104:FE$146)=0),NA(),IF(ISBLANK(FE104),IF(ISBLANK(FE103),MAX(FE$46:FE104),FE103),FE104))</f>
        <v>#N/A:explicit</v>
      </c>
      <c t="str" s="861" r="FM104">
        <f>IF(ISNA(FI104),IF(ISNUMBER(FL104),FM103,NA()),FI104)</f>
        <v>#N/A:explicit</v>
      </c>
      <c s="861" r="FN104">
        <f>IF(ISNUMBER(FM104),FM104,(FG$46+1000))</f>
        <v>1000</v>
      </c>
      <c t="str" s="588" r="FO104">
        <f>IF((FJ104=TRUE),NA(),IF((FO$44=(FG$46-MAX(FH$46:FH$146))),NA(),FO$44))</f>
        <v>#N/A:explicit</v>
      </c>
      <c s="588" r="FP104">
        <f>IF((ISNA(((FM104*FL104)*FM103))),0,(IF((FL104&lt;FL103),-1,1)*(IF((FJ103=FALSE),IF((FJ104=FALSE),IF(ISNA(FM104),0,IF((FM103&lt;FO$44),IF((FM104&lt;FO$44),(((FL104-FL103)^2)^0.5),(((((FO$44-FM103)*(FL104-FL103))/(FM104-FM103))^2)^0.5)),IF((FM104&lt;FO$44),(((((FO$44-FM104)*(FL104-FL103))/(FM103-FM104))^2)^0.5),0))),0),0))))</f>
        <v>0</v>
      </c>
      <c s="588" r="FQ104">
        <f>IF(ISNA((FM104*FM103)),0,IF((FJ103=FALSE),IF((FJ104=FALSE),IF(ISNA(FI104),0,IF((FM103&lt;FO$44),IF((FM104&lt;FO$44),((FO$44-((FM103+FM104)*0.5))*FP104),(((FO$44-FM103)*0.5)*FP104)),IF((FM104&lt;FO$44),(((FO$44-FM104)*0.5)*FP104),0))),0),0))</f>
        <v>0</v>
      </c>
      <c s="588" r="FR104">
        <f>IF(ISNA((FM104*FM103)),0,IF((FJ103=FALSE),IF((FJ104=FALSE),IF(ISNA(FM104),0,IF((FM103&lt;FO$44),IF((FM104&lt;FO$44),(((FP104^2)+((FM104-FM103)^2))^0.5),(((FP104^2)+((FO$44-FM103)^2))^0.5)),IF((FM104&lt;FO$44),(((FP104^2)+((FO$44-FM104)^2))^0.5),0))),0),0))</f>
        <v>0</v>
      </c>
      <c s="588" r="FS104">
        <f>IF(ISNUMBER((FM104*FM103)),IF((FM103&gt;=EY$148),IF((FM104&lt;EY$148),1,0),IF((FM104&gt;=EY$148),IF((FM103&lt;EY$148),1,0),0)),0)</f>
        <v>0</v>
      </c>
      <c s="588" r="FT104">
        <f>IF(ISNA((FM104*FM103)),0,(IF((FL104&lt;FL103),-1,1)*(IF(ISNA(FM104),0,IF((FM103&lt;EY$148),IF((FM104&lt;EY$148),(((FL104-FL103)^2)^0.5),(((((EY$148-FM103)*(FL104-FL103))/(FM104-FM103))^2)^0.5)),IF((FM104&lt;EY$148),(((((EY$148-FM104)*(FL104-FL103))/(FM103-FM104))^2)^0.5),0))))))</f>
        <v>0</v>
      </c>
      <c s="441" r="FU104">
        <f>IF((FQ104&gt;0),(MAX(FU$47:FU103)+1),0)</f>
        <v>0</v>
      </c>
      <c s="222" r="FV104"/>
      <c s="125" r="FW104"/>
      <c s="125" r="FX104"/>
      <c s="125" r="FY104"/>
      <c s="125" r="FZ104"/>
      <c s="125" r="GA104"/>
      <c s="125" r="GB104"/>
      <c s="125" r="GC104"/>
      <c s="125" r="GD104"/>
      <c s="125" r="GE104"/>
      <c s="125" r="GF104"/>
      <c s="125" r="GG104"/>
      <c s="125" r="GH104"/>
      <c s="125" r="GI104"/>
      <c s="125" r="GJ104"/>
      <c s="125" r="GK104"/>
      <c s="125" r="GL104"/>
      <c s="125" r="GM104"/>
      <c s="125" r="GN104"/>
      <c s="125" r="GO104"/>
      <c s="125" r="GP104"/>
      <c s="125" r="GQ104"/>
      <c s="125" r="GR104"/>
      <c s="125" r="GS104"/>
      <c s="125" r="GT104"/>
      <c s="125" r="GU104"/>
      <c s="125" r="GV104"/>
      <c s="125" r="GW104"/>
      <c s="125" r="GX104"/>
      <c s="125" r="GY104"/>
      <c s="125" r="GZ104"/>
      <c s="125" r="HA104"/>
      <c s="125" r="HB104"/>
    </row>
    <row r="105">
      <c s="822" r="A105"/>
      <c s="908" r="B105"/>
      <c s="551" r="C105"/>
      <c s="551" r="D105"/>
      <c t="s" s="812" r="E105">
        <v>90</v>
      </c>
      <c t="str" s="719" r="F105">
        <f>IF(ISNUMBER((F96/$F91)),IF(F96,(F96/$F91),"---"),"---")</f>
        <v>---</v>
      </c>
      <c t="str" s="286" r="G105">
        <f>IF(ISNUMBER((G96/$F91)),IF(G96,(G96/$F91),"---"),"---")</f>
        <v>---</v>
      </c>
      <c t="str" s="224" r="H105">
        <f>IF(ISNUMBER((H96/$F91)),IF(H96,(H96/$F91),"---"),"---")</f>
        <v>---</v>
      </c>
      <c s="51" r="I105"/>
      <c s="822" r="J105"/>
      <c s="406" r="K105"/>
      <c s="886" r="L105"/>
      <c s="886" r="M105"/>
      <c s="886" r="N105"/>
      <c s="886" r="O105"/>
      <c s="418" r="P105"/>
      <c s="550" r="Q105"/>
      <c s="550" r="R105"/>
      <c t="str" s="620" r="S105">
        <f>IF((COUNT(R105:R$146,T105:T$146)=0),NA(),IF(ISBLANK(R105),S104,(S104+(R105-T104))))</f>
        <v>#N/A:explicit</v>
      </c>
      <c s="550" r="T105"/>
      <c t="str" s="620" r="U105">
        <f>IF(OR(ISBLANK(T105),ISNUMBER(R106)),NA(),(S105-T105))</f>
        <v>#N/A:explicit</v>
      </c>
      <c t="b" s="895" r="V105">
        <v>0</v>
      </c>
      <c s="631" r="W105"/>
      <c t="str" s="309" r="X105">
        <f>IF((COUNT(Q105:Q$146)=0),NA(),IF(ISBLANK(Q105),IF(ISBLANK(Q104),MAX(Q$46:Q105),Q104),Q105))</f>
        <v>#N/A:explicit</v>
      </c>
      <c t="str" s="861" r="Y105">
        <f>IF(ISNA(U105),IF(ISNUMBER(X105),Y104,NA()),U105)</f>
        <v>#N/A:explicit</v>
      </c>
      <c s="861" r="Z105">
        <f>IF(ISNUMBER(Y105),Y105,(S$46+1000))</f>
        <v>1000</v>
      </c>
      <c t="str" s="588" r="AA105">
        <f>IF((V105=TRUE),NA(),IF((AA$44=(S$46-MAX(T$46:T$146))),NA(),AA$44))</f>
        <v>#N/A:explicit</v>
      </c>
      <c s="588" r="AB105">
        <f>IF((ISNA(((Y105*X105)*Y104))),0,(IF((X105&lt;X104),-1,1)*(IF((V104=FALSE),IF((V105=FALSE),IF(ISNA(Y105),0,IF((Y104&lt;AA$44),IF((Y105&lt;AA$44),(((X105-X104)^2)^0.5),(((((AA$44-Y104)*(X105-X104))/(Y105-Y104))^2)^0.5)),IF((Y105&lt;AA$44),(((((AA$44-Y105)*(X105-X104))/(Y104-Y105))^2)^0.5),0))),0),0))))</f>
        <v>0</v>
      </c>
      <c s="588" r="AC105">
        <f>IF(ISNA((Y105*Y104)),0,IF((V104=FALSE),IF((V105=FALSE),IF(ISNA(U105),0,IF((Y104&lt;AA$44),IF((Y105&lt;AA$44),((AA$44-((Y104+Y105)*0.5))*AB105),(((AA$44-Y104)*0.5)*AB105)),IF((Y105&lt;AA$44),(((AA$44-Y105)*0.5)*AB105),0))),0),0))</f>
        <v>0</v>
      </c>
      <c s="588" r="AD105">
        <f>IF(ISNA((Y105*Y104)),0,IF((V104=FALSE),IF((V105=FALSE),IF(ISNA(Y105),0,IF((Y104&lt;AA$44),IF((Y105&lt;AA$44),(((AB105^2)+((Y105-Y104)^2))^0.5),(((AB105^2)+((AA$44-Y104)^2))^0.5)),IF((Y105&lt;AA$44),(((AB105^2)+((AA$44-Y105)^2))^0.5),0))),0),0))</f>
        <v>0</v>
      </c>
      <c s="588" r="AE105">
        <f>IF(ISNUMBER((Y105*Y104)),IF((Y104&gt;=K$148),IF((Y105&lt;K$148),1,0),IF((Y105&gt;=K$148),IF((Y104&lt;K$148),1,0),0)),0)</f>
        <v>0</v>
      </c>
      <c s="588" r="AF105">
        <f>IF(ISNA((Y105*Y104)),0,(IF((X105&lt;X104),-1,1)*(IF(ISNA(Y105),0,IF((Y104&lt;K$148),IF((Y105&lt;K$148),(((X105-X104)^2)^0.5),(((((K$148-Y104)*(X105-X104))/(Y105-Y104))^2)^0.5)),IF((Y105&lt;K$148),(((((K$148-Y105)*(X105-X104))/(Y104-Y105))^2)^0.5),0))))))</f>
        <v>0</v>
      </c>
      <c s="441" r="AG105">
        <f>IF((AC105&gt;0),(MAX(AG$47:AG104)+1),0)</f>
        <v>0</v>
      </c>
      <c s="388" r="AH105"/>
      <c s="406" r="AI105"/>
      <c s="886" r="AJ105"/>
      <c s="886" r="AK105"/>
      <c s="886" r="AL105"/>
      <c s="886" r="AM105"/>
      <c s="418" r="AN105"/>
      <c s="550" r="AO105"/>
      <c s="550" r="AP105"/>
      <c t="str" s="620" r="AQ105">
        <f>IF((COUNT(AP105:AP$146,AR105:AR$146)=0),NA(),IF(ISBLANK(AP105),AQ104,(AQ104+(AP105-AR104))))</f>
        <v>#N/A:explicit</v>
      </c>
      <c s="550" r="AR105"/>
      <c t="str" s="620" r="AS105">
        <f>IF(OR(ISBLANK(AR105),ISNUMBER(AP106)),NA(),(AQ105-AR105))</f>
        <v>#N/A:explicit</v>
      </c>
      <c t="b" s="895" r="AT105">
        <v>0</v>
      </c>
      <c s="631" r="AU105"/>
      <c t="str" s="309" r="AV105">
        <f>IF((COUNT(AO105:AO$146)=0),NA(),IF(ISBLANK(AO105),IF(ISBLANK(AO104),MAX(AO$46:AO105),AO104),AO105))</f>
        <v>#N/A:explicit</v>
      </c>
      <c t="str" s="861" r="AW105">
        <f>IF(ISNA(AS105),IF(ISNUMBER(AV105),AW104,NA()),AS105)</f>
        <v>#N/A:explicit</v>
      </c>
      <c s="861" r="AX105">
        <f>IF(ISNUMBER(AW105),AW105,(AQ$46+1000))</f>
        <v>1000</v>
      </c>
      <c t="str" s="588" r="AY105">
        <f>IF((AT105=TRUE),NA(),IF((AY$44=(AQ$46-MAX(AR$46:AR$146))),NA(),AY$44))</f>
        <v>#N/A:explicit</v>
      </c>
      <c s="588" r="AZ105">
        <f>IF((ISNA(((AW105*AV105)*AW104))),0,(IF((AV105&lt;AV104),-1,1)*(IF((AT104=FALSE),IF((AT105=FALSE),IF(ISNA(AW105),0,IF((AW104&lt;AY$44),IF((AW105&lt;AY$44),(((AV105-AV104)^2)^0.5),(((((AY$44-AW104)*(AV105-AV104))/(AW105-AW104))^2)^0.5)),IF((AW105&lt;AY$44),(((((AY$44-AW105)*(AV105-AV104))/(AW104-AW105))^2)^0.5),0))),0),0))))</f>
        <v>0</v>
      </c>
      <c s="588" r="BA105">
        <f>IF(ISNA((AW105*AW104)),0,IF((AT104=FALSE),IF((AT105=FALSE),IF(ISNA(AS105),0,IF((AW104&lt;AY$44),IF((AW105&lt;AY$44),((AY$44-((AW104+AW105)*0.5))*AZ105),(((AY$44-AW104)*0.5)*AZ105)),IF((AW105&lt;AY$44),(((AY$44-AW105)*0.5)*AZ105),0))),0),0))</f>
        <v>0</v>
      </c>
      <c s="588" r="BB105">
        <f>IF(ISNA((AW105*AW104)),0,IF((AT104=FALSE),IF((AT105=FALSE),IF(ISNA(AW105),0,IF((AW104&lt;AY$44),IF((AW105&lt;AY$44),(((AZ105^2)+((AW105-AW104)^2))^0.5),(((AZ105^2)+((AY$44-AW104)^2))^0.5)),IF((AW105&lt;AY$44),(((AZ105^2)+((AY$44-AW105)^2))^0.5),0))),0),0))</f>
        <v>0</v>
      </c>
      <c s="588" r="BC105">
        <f>IF(ISNUMBER((AW105*AW104)),IF((AW104&gt;=AI$148),IF((AW105&lt;AI$148),1,0),IF((AW105&gt;=AI$148),IF((AW104&lt;AI$148),1,0),0)),0)</f>
        <v>0</v>
      </c>
      <c s="588" r="BD105">
        <f>IF(ISNA((AW105*AW104)),0,(IF((AV105&lt;AV104),-1,1)*(IF(ISNA(AW105),0,IF((AW104&lt;AI$148),IF((AW105&lt;AI$148),(((AV105-AV104)^2)^0.5),(((((AI$148-AW104)*(AV105-AV104))/(AW105-AW104))^2)^0.5)),IF((AW105&lt;AI$148),(((((AI$148-AW105)*(AV105-AV104))/(AW104-AW105))^2)^0.5),0))))))</f>
        <v>0</v>
      </c>
      <c s="441" r="BE105">
        <f>IF((BA105&gt;0),(MAX(BE$47:BE104)+1),0)</f>
        <v>0</v>
      </c>
      <c s="388" r="BF105"/>
      <c s="406" r="BG105"/>
      <c s="886" r="BH105"/>
      <c s="886" r="BI105"/>
      <c s="886" r="BJ105"/>
      <c s="886" r="BK105"/>
      <c s="418" r="BL105"/>
      <c s="550" r="BM105"/>
      <c s="550" r="BN105"/>
      <c t="str" s="620" r="BO105">
        <f>IF((COUNT(BN105:BN$146,BP105:BP$146)=0),NA(),IF(ISBLANK(BN105),BO104,(BO104+(BN105-BP104))))</f>
        <v>#N/A:explicit</v>
      </c>
      <c s="550" r="BP105"/>
      <c t="str" s="620" r="BQ105">
        <f>IF(OR(ISBLANK(BP105),ISNUMBER(BN106)),NA(),(BO105-BP105))</f>
        <v>#N/A:explicit</v>
      </c>
      <c t="b" s="895" r="BR105">
        <v>0</v>
      </c>
      <c s="631" r="BS105"/>
      <c t="str" s="309" r="BT105">
        <f>IF((COUNT(BM105:BM$146)=0),NA(),IF(ISBLANK(BM105),IF(ISBLANK(BM104),MAX(BM$46:BM105),BM104),BM105))</f>
        <v>#N/A:explicit</v>
      </c>
      <c t="str" s="861" r="BU105">
        <f>IF(ISNA(BQ105),IF(ISNUMBER(BT105),BU104,NA()),BQ105)</f>
        <v>#N/A:explicit</v>
      </c>
      <c s="861" r="BV105">
        <f>IF(ISNUMBER(BU105),BU105,(BO$46+1000))</f>
        <v>1000</v>
      </c>
      <c t="str" s="588" r="BW105">
        <f>IF((BR105=TRUE),NA(),IF((BW$44=(BO$46-MAX(BP$46:BP$146))),NA(),BW$44))</f>
        <v>#N/A:explicit</v>
      </c>
      <c s="588" r="BX105">
        <f>IF((ISNA(((BU105*BT105)*BU104))),0,(IF((BT105&lt;BT104),-1,1)*(IF((BR104=FALSE),IF((BR105=FALSE),IF(ISNA(BU105),0,IF((BU104&lt;BW$44),IF((BU105&lt;BW$44),(((BT105-BT104)^2)^0.5),(((((BW$44-BU104)*(BT105-BT104))/(BU105-BU104))^2)^0.5)),IF((BU105&lt;BW$44),(((((BW$44-BU105)*(BT105-BT104))/(BU104-BU105))^2)^0.5),0))),0),0))))</f>
        <v>0</v>
      </c>
      <c s="588" r="BY105">
        <f>IF(ISNA((BU105*BU104)),0,IF((BR104=FALSE),IF((BR105=FALSE),IF(ISNA(BQ105),0,IF((BU104&lt;BW$44),IF((BU105&lt;BW$44),((BW$44-((BU104+BU105)*0.5))*BX105),(((BW$44-BU104)*0.5)*BX105)),IF((BU105&lt;BW$44),(((BW$44-BU105)*0.5)*BX105),0))),0),0))</f>
        <v>0</v>
      </c>
      <c s="588" r="BZ105">
        <f>IF(ISNA((BU105*BU104)),0,IF((BR104=FALSE),IF((BR105=FALSE),IF(ISNA(BU105),0,IF((BU104&lt;BW$44),IF((BU105&lt;BW$44),(((BX105^2)+((BU105-BU104)^2))^0.5),(((BX105^2)+((BW$44-BU104)^2))^0.5)),IF((BU105&lt;BW$44),(((BX105^2)+((BW$44-BU105)^2))^0.5),0))),0),0))</f>
        <v>0</v>
      </c>
      <c s="588" r="CA105">
        <f>IF(ISNUMBER((BU105*BU104)),IF((BU104&gt;=BG$148),IF((BU105&lt;BG$148),1,0),IF((BU105&gt;=BG$148),IF((BU104&lt;BG$148),1,0),0)),0)</f>
        <v>0</v>
      </c>
      <c s="588" r="CB105">
        <f>IF(ISNA((BU105*BU104)),0,(IF((BT105&lt;BT104),-1,1)*(IF(ISNA(BU105),0,IF((BU104&lt;BG$148),IF((BU105&lt;BG$148),(((BT105-BT104)^2)^0.5),(((((BG$148-BU104)*(BT105-BT104))/(BU105-BU104))^2)^0.5)),IF((BU105&lt;BG$148),(((((BG$148-BU105)*(BT105-BT104))/(BU104-BU105))^2)^0.5),0))))))</f>
        <v>0</v>
      </c>
      <c s="441" r="CC105">
        <f>IF((BY105&gt;0),(MAX(CC$47:CC104)+1),0)</f>
        <v>0</v>
      </c>
      <c s="388" r="CD105"/>
      <c s="406" r="CE105"/>
      <c s="886" r="CF105"/>
      <c s="886" r="CG105"/>
      <c s="886" r="CH105"/>
      <c s="886" r="CI105"/>
      <c s="418" r="CJ105"/>
      <c s="550" r="CK105"/>
      <c s="550" r="CL105"/>
      <c t="str" s="620" r="CM105">
        <f>IF((COUNT(CL105:CL$146,CN105:CN$146)=0),NA(),IF(ISBLANK(CL105),CM104,(CM104+(CL105-CN104))))</f>
        <v>#N/A:explicit</v>
      </c>
      <c s="550" r="CN105"/>
      <c t="str" s="620" r="CO105">
        <f>IF(OR(ISBLANK(CN105),ISNUMBER(CL106)),NA(),(CM105-CN105))</f>
        <v>#N/A:explicit</v>
      </c>
      <c t="b" s="895" r="CP105">
        <v>0</v>
      </c>
      <c s="631" r="CQ105"/>
      <c t="str" s="309" r="CR105">
        <f>IF((COUNT(CK105:CK$146)=0),NA(),IF(ISBLANK(CK105),IF(ISBLANK(CK104),MAX(CK$46:CK105),CK104),CK105))</f>
        <v>#N/A:explicit</v>
      </c>
      <c t="str" s="861" r="CS105">
        <f>IF(ISNA(CO105),IF(ISNUMBER(CR105),CS104,NA()),CO105)</f>
        <v>#N/A:explicit</v>
      </c>
      <c s="861" r="CT105">
        <f>IF(ISNUMBER(CS105),CS105,(CM$46+1000))</f>
        <v>1000</v>
      </c>
      <c t="str" s="588" r="CU105">
        <f>IF((CP105=TRUE),NA(),IF((CU$44=(CM$46-MAX(CN$46:CN$146))),NA(),CU$44))</f>
        <v>#N/A:explicit</v>
      </c>
      <c s="588" r="CV105">
        <f>IF((ISNA(((CS105*CR105)*CS104))),0,(IF((CR105&lt;CR104),-1,1)*(IF((CP104=FALSE),IF((CP105=FALSE),IF(ISNA(CS105),0,IF((CS104&lt;CU$44),IF((CS105&lt;CU$44),(((CR105-CR104)^2)^0.5),(((((CU$44-CS104)*(CR105-CR104))/(CS105-CS104))^2)^0.5)),IF((CS105&lt;CU$44),(((((CU$44-CS105)*(CR105-CR104))/(CS104-CS105))^2)^0.5),0))),0),0))))</f>
        <v>0</v>
      </c>
      <c s="588" r="CW105">
        <f>IF(ISNA((CS105*CS104)),0,IF((CP104=FALSE),IF((CP105=FALSE),IF(ISNA(CO105),0,IF((CS104&lt;CU$44),IF((CS105&lt;CU$44),((CU$44-((CS104+CS105)*0.5))*CV105),(((CU$44-CS104)*0.5)*CV105)),IF((CS105&lt;CU$44),(((CU$44-CS105)*0.5)*CV105),0))),0),0))</f>
        <v>0</v>
      </c>
      <c s="588" r="CX105">
        <f>IF(ISNA((CS105*CS104)),0,IF((CP104=FALSE),IF((CP105=FALSE),IF(ISNA(CS105),0,IF((CS104&lt;CU$44),IF((CS105&lt;CU$44),(((CV105^2)+((CS105-CS104)^2))^0.5),(((CV105^2)+((CU$44-CS104)^2))^0.5)),IF((CS105&lt;CU$44),(((CV105^2)+((CU$44-CS105)^2))^0.5),0))),0),0))</f>
        <v>0</v>
      </c>
      <c s="588" r="CY105">
        <f>IF(ISNUMBER((CS105*CS104)),IF((CS104&gt;=CE$148),IF((CS105&lt;CE$148),1,0),IF((CS105&gt;=CE$148),IF((CS104&lt;CE$148),1,0),0)),0)</f>
        <v>0</v>
      </c>
      <c s="588" r="CZ105">
        <f>IF(ISNA((CS105*CS104)),0,(IF((CR105&lt;CR104),-1,1)*(IF(ISNA(CS105),0,IF((CS104&lt;CE$148),IF((CS105&lt;CE$148),(((CR105-CR104)^2)^0.5),(((((CE$148-CS104)*(CR105-CR104))/(CS105-CS104))^2)^0.5)),IF((CS105&lt;CE$148),(((((CE$148-CS105)*(CR105-CR104))/(CS104-CS105))^2)^0.5),0))))))</f>
        <v>0</v>
      </c>
      <c s="441" r="DA105">
        <f>IF((CW105&gt;0),(MAX(DA$47:DA104)+1),0)</f>
        <v>0</v>
      </c>
      <c s="388" r="DB105"/>
      <c s="406" r="DC105"/>
      <c s="886" r="DD105"/>
      <c s="886" r="DE105"/>
      <c s="886" r="DF105"/>
      <c s="886" r="DG105"/>
      <c s="418" r="DH105"/>
      <c s="550" r="DI105"/>
      <c s="550" r="DJ105"/>
      <c t="str" s="620" r="DK105">
        <f>IF((COUNT(DJ105:DJ$146,DL105:DL$146)=0),NA(),IF(ISBLANK(DJ105),DK104,(DK104+(DJ105-DL104))))</f>
        <v>#N/A:explicit</v>
      </c>
      <c s="550" r="DL105"/>
      <c t="str" s="620" r="DM105">
        <f>IF(OR(ISBLANK(DL105),ISNUMBER(DJ106)),NA(),(DK105-DL105))</f>
        <v>#N/A:explicit</v>
      </c>
      <c t="b" s="895" r="DN105">
        <v>0</v>
      </c>
      <c s="631" r="DO105"/>
      <c t="str" s="309" r="DP105">
        <f>IF((COUNT(DI105:DI$146)=0),NA(),IF(ISBLANK(DI105),IF(ISBLANK(DI104),MAX(DI$46:DI105),DI104),DI105))</f>
        <v>#N/A:explicit</v>
      </c>
      <c t="str" s="861" r="DQ105">
        <f>IF(ISNA(DM105),IF(ISNUMBER(DP105),DQ104,NA()),DM105)</f>
        <v>#N/A:explicit</v>
      </c>
      <c s="861" r="DR105">
        <f>IF(ISNUMBER(DQ105),DQ105,(DK$46+1000))</f>
        <v>1000</v>
      </c>
      <c t="str" s="588" r="DS105">
        <f>IF((DN105=TRUE),NA(),IF((DS$44=(DK$46-MAX(DL$46:DL$146))),NA(),DS$44))</f>
        <v>#N/A:explicit</v>
      </c>
      <c s="588" r="DT105">
        <f>IF((ISNA(((DQ105*DP105)*DQ104))),0,(IF((DP105&lt;DP104),-1,1)*(IF((DN104=FALSE),IF((DN105=FALSE),IF(ISNA(DQ105),0,IF((DQ104&lt;DS$44),IF((DQ105&lt;DS$44),(((DP105-DP104)^2)^0.5),(((((DS$44-DQ104)*(DP105-DP104))/(DQ105-DQ104))^2)^0.5)),IF((DQ105&lt;DS$44),(((((DS$44-DQ105)*(DP105-DP104))/(DQ104-DQ105))^2)^0.5),0))),0),0))))</f>
        <v>0</v>
      </c>
      <c s="588" r="DU105">
        <f>IF(ISNA((DQ105*DQ104)),0,IF((DN104=FALSE),IF((DN105=FALSE),IF(ISNA(DM105),0,IF((DQ104&lt;DS$44),IF((DQ105&lt;DS$44),((DS$44-((DQ104+DQ105)*0.5))*DT105),(((DS$44-DQ104)*0.5)*DT105)),IF((DQ105&lt;DS$44),(((DS$44-DQ105)*0.5)*DT105),0))),0),0))</f>
        <v>0</v>
      </c>
      <c s="588" r="DV105">
        <f>IF(ISNA((DQ105*DQ104)),0,IF((DN104=FALSE),IF((DN105=FALSE),IF(ISNA(DQ105),0,IF((DQ104&lt;DS$44),IF((DQ105&lt;DS$44),(((DT105^2)+((DQ105-DQ104)^2))^0.5),(((DT105^2)+((DS$44-DQ104)^2))^0.5)),IF((DQ105&lt;DS$44),(((DT105^2)+((DS$44-DQ105)^2))^0.5),0))),0),0))</f>
        <v>0</v>
      </c>
      <c s="588" r="DW105">
        <f>IF(ISNUMBER((DQ105*DQ104)),IF((DQ104&gt;=DC$148),IF((DQ105&lt;DC$148),1,0),IF((DQ105&gt;=DC$148),IF((DQ104&lt;DC$148),1,0),0)),0)</f>
        <v>0</v>
      </c>
      <c s="588" r="DX105">
        <f>IF(ISNA((DQ105*DQ104)),0,(IF((DP105&lt;DP104),-1,1)*(IF(ISNA(DQ105),0,IF((DQ104&lt;DC$148),IF((DQ105&lt;DC$148),(((DP105-DP104)^2)^0.5),(((((DC$148-DQ104)*(DP105-DP104))/(DQ105-DQ104))^2)^0.5)),IF((DQ105&lt;DC$148),(((((DC$148-DQ105)*(DP105-DP104))/(DQ104-DQ105))^2)^0.5),0))))))</f>
        <v>0</v>
      </c>
      <c s="441" r="DY105">
        <f>IF((DU105&gt;0),(MAX(DY$47:DY104)+1),0)</f>
        <v>0</v>
      </c>
      <c s="388" r="DZ105"/>
      <c s="406" r="EA105"/>
      <c s="886" r="EB105"/>
      <c s="886" r="EC105"/>
      <c s="886" r="ED105"/>
      <c s="886" r="EE105"/>
      <c s="418" r="EF105"/>
      <c s="550" r="EG105"/>
      <c s="550" r="EH105"/>
      <c t="str" s="620" r="EI105">
        <f>IF((COUNT(EH105:EH$146,EJ105:EJ$146)=0),NA(),IF(ISBLANK(EH105),EI104,(EI104+(EH105-EJ104))))</f>
        <v>#N/A:explicit</v>
      </c>
      <c s="550" r="EJ105"/>
      <c t="str" s="620" r="EK105">
        <f>IF(OR(ISBLANK(EJ105),ISNUMBER(EH106)),NA(),(EI105-EJ105))</f>
        <v>#N/A:explicit</v>
      </c>
      <c t="b" s="895" r="EL105">
        <v>0</v>
      </c>
      <c s="631" r="EM105"/>
      <c t="str" s="309" r="EN105">
        <f>IF((COUNT(EG105:EG$146)=0),NA(),IF(ISBLANK(EG105),IF(ISBLANK(EG104),MAX(EG$46:EG105),EG104),EG105))</f>
        <v>#N/A:explicit</v>
      </c>
      <c t="str" s="861" r="EO105">
        <f>IF(ISNA(EK105),IF(ISNUMBER(EN105),EO104,NA()),EK105)</f>
        <v>#N/A:explicit</v>
      </c>
      <c s="861" r="EP105">
        <f>IF(ISNUMBER(EO105),EO105,(EI$46+1000))</f>
        <v>1000</v>
      </c>
      <c t="str" s="588" r="EQ105">
        <f>IF((EL105=TRUE),NA(),IF((EQ$44=(EI$46-MAX(EJ$46:EJ$146))),NA(),EQ$44))</f>
        <v>#N/A:explicit</v>
      </c>
      <c s="588" r="ER105">
        <f>IF((ISNA(((EO105*EN105)*EO104))),0,(IF((EN105&lt;EN104),-1,1)*(IF((EL104=FALSE),IF((EL105=FALSE),IF(ISNA(EO105),0,IF((EO104&lt;EQ$44),IF((EO105&lt;EQ$44),(((EN105-EN104)^2)^0.5),(((((EQ$44-EO104)*(EN105-EN104))/(EO105-EO104))^2)^0.5)),IF((EO105&lt;EQ$44),(((((EQ$44-EO105)*(EN105-EN104))/(EO104-EO105))^2)^0.5),0))),0),0))))</f>
        <v>0</v>
      </c>
      <c s="588" r="ES105">
        <f>IF(ISNA((EO105*EO104)),0,IF((EL104=FALSE),IF((EL105=FALSE),IF(ISNA(EK105),0,IF((EO104&lt;EQ$44),IF((EO105&lt;EQ$44),((EQ$44-((EO104+EO105)*0.5))*ER105),(((EQ$44-EO104)*0.5)*ER105)),IF((EO105&lt;EQ$44),(((EQ$44-EO105)*0.5)*ER105),0))),0),0))</f>
        <v>0</v>
      </c>
      <c s="588" r="ET105">
        <f>IF(ISNA((EO105*EO104)),0,IF((EL104=FALSE),IF((EL105=FALSE),IF(ISNA(EO105),0,IF((EO104&lt;EQ$44),IF((EO105&lt;EQ$44),(((ER105^2)+((EO105-EO104)^2))^0.5),(((ER105^2)+((EQ$44-EO104)^2))^0.5)),IF((EO105&lt;EQ$44),(((ER105^2)+((EQ$44-EO105)^2))^0.5),0))),0),0))</f>
        <v>0</v>
      </c>
      <c s="588" r="EU105">
        <f>IF(ISNUMBER((EO105*EO104)),IF((EO104&gt;=EA$148),IF((EO105&lt;EA$148),1,0),IF((EO105&gt;=EA$148),IF((EO104&lt;EA$148),1,0),0)),0)</f>
        <v>0</v>
      </c>
      <c s="588" r="EV105">
        <f>IF(ISNA((EO105*EO104)),0,(IF((EN105&lt;EN104),-1,1)*(IF(ISNA(EO105),0,IF((EO104&lt;EA$148),IF((EO105&lt;EA$148),(((EN105-EN104)^2)^0.5),(((((EA$148-EO104)*(EN105-EN104))/(EO105-EO104))^2)^0.5)),IF((EO105&lt;EA$148),(((((EA$148-EO105)*(EN105-EN104))/(EO104-EO105))^2)^0.5),0))))))</f>
        <v>0</v>
      </c>
      <c s="441" r="EW105">
        <f>IF((ES105&gt;0),(MAX(EW$47:EW104)+1),0)</f>
        <v>0</v>
      </c>
      <c s="388" r="EX105"/>
      <c s="406" r="EY105"/>
      <c s="886" r="EZ105"/>
      <c s="886" r="FA105"/>
      <c s="886" r="FB105"/>
      <c s="886" r="FC105"/>
      <c s="418" r="FD105"/>
      <c s="550" r="FE105"/>
      <c s="550" r="FF105"/>
      <c t="str" s="620" r="FG105">
        <f>IF((COUNT(FF105:FF$146,FH105:FH$146)=0),NA(),IF(ISBLANK(FF105),FG104,(FG104+(FF105-FH104))))</f>
        <v>#N/A:explicit</v>
      </c>
      <c s="550" r="FH105"/>
      <c t="str" s="620" r="FI105">
        <f>IF(OR(ISBLANK(FH105),ISNUMBER(FF106)),NA(),(FG105-FH105))</f>
        <v>#N/A:explicit</v>
      </c>
      <c t="b" s="895" r="FJ105">
        <v>0</v>
      </c>
      <c s="631" r="FK105"/>
      <c t="str" s="309" r="FL105">
        <f>IF((COUNT(FE105:FE$146)=0),NA(),IF(ISBLANK(FE105),IF(ISBLANK(FE104),MAX(FE$46:FE105),FE104),FE105))</f>
        <v>#N/A:explicit</v>
      </c>
      <c t="str" s="861" r="FM105">
        <f>IF(ISNA(FI105),IF(ISNUMBER(FL105),FM104,NA()),FI105)</f>
        <v>#N/A:explicit</v>
      </c>
      <c s="861" r="FN105">
        <f>IF(ISNUMBER(FM105),FM105,(FG$46+1000))</f>
        <v>1000</v>
      </c>
      <c t="str" s="588" r="FO105">
        <f>IF((FJ105=TRUE),NA(),IF((FO$44=(FG$46-MAX(FH$46:FH$146))),NA(),FO$44))</f>
        <v>#N/A:explicit</v>
      </c>
      <c s="588" r="FP105">
        <f>IF((ISNA(((FM105*FL105)*FM104))),0,(IF((FL105&lt;FL104),-1,1)*(IF((FJ104=FALSE),IF((FJ105=FALSE),IF(ISNA(FM105),0,IF((FM104&lt;FO$44),IF((FM105&lt;FO$44),(((FL105-FL104)^2)^0.5),(((((FO$44-FM104)*(FL105-FL104))/(FM105-FM104))^2)^0.5)),IF((FM105&lt;FO$44),(((((FO$44-FM105)*(FL105-FL104))/(FM104-FM105))^2)^0.5),0))),0),0))))</f>
        <v>0</v>
      </c>
      <c s="588" r="FQ105">
        <f>IF(ISNA((FM105*FM104)),0,IF((FJ104=FALSE),IF((FJ105=FALSE),IF(ISNA(FI105),0,IF((FM104&lt;FO$44),IF((FM105&lt;FO$44),((FO$44-((FM104+FM105)*0.5))*FP105),(((FO$44-FM104)*0.5)*FP105)),IF((FM105&lt;FO$44),(((FO$44-FM105)*0.5)*FP105),0))),0),0))</f>
        <v>0</v>
      </c>
      <c s="588" r="FR105">
        <f>IF(ISNA((FM105*FM104)),0,IF((FJ104=FALSE),IF((FJ105=FALSE),IF(ISNA(FM105),0,IF((FM104&lt;FO$44),IF((FM105&lt;FO$44),(((FP105^2)+((FM105-FM104)^2))^0.5),(((FP105^2)+((FO$44-FM104)^2))^0.5)),IF((FM105&lt;FO$44),(((FP105^2)+((FO$44-FM105)^2))^0.5),0))),0),0))</f>
        <v>0</v>
      </c>
      <c s="588" r="FS105">
        <f>IF(ISNUMBER((FM105*FM104)),IF((FM104&gt;=EY$148),IF((FM105&lt;EY$148),1,0),IF((FM105&gt;=EY$148),IF((FM104&lt;EY$148),1,0),0)),0)</f>
        <v>0</v>
      </c>
      <c s="588" r="FT105">
        <f>IF(ISNA((FM105*FM104)),0,(IF((FL105&lt;FL104),-1,1)*(IF(ISNA(FM105),0,IF((FM104&lt;EY$148),IF((FM105&lt;EY$148),(((FL105-FL104)^2)^0.5),(((((EY$148-FM104)*(FL105-FL104))/(FM105-FM104))^2)^0.5)),IF((FM105&lt;EY$148),(((((EY$148-FM105)*(FL105-FL104))/(FM104-FM105))^2)^0.5),0))))))</f>
        <v>0</v>
      </c>
      <c s="441" r="FU105">
        <f>IF((FQ105&gt;0),(MAX(FU$47:FU104)+1),0)</f>
        <v>0</v>
      </c>
      <c s="222" r="FV105"/>
      <c s="125" r="FW105"/>
      <c s="125" r="FX105"/>
      <c s="125" r="FY105"/>
      <c s="125" r="FZ105"/>
      <c s="125" r="GA105"/>
      <c s="125" r="GB105"/>
      <c s="125" r="GC105"/>
      <c s="125" r="GD105"/>
      <c s="125" r="GE105"/>
      <c s="125" r="GF105"/>
      <c s="125" r="GG105"/>
      <c s="125" r="GH105"/>
      <c s="125" r="GI105"/>
      <c s="125" r="GJ105"/>
      <c s="125" r="GK105"/>
      <c s="125" r="GL105"/>
      <c s="125" r="GM105"/>
      <c s="125" r="GN105"/>
      <c s="125" r="GO105"/>
      <c s="125" r="GP105"/>
      <c s="125" r="GQ105"/>
      <c s="125" r="GR105"/>
      <c s="125" r="GS105"/>
      <c s="125" r="GT105"/>
      <c s="125" r="GU105"/>
      <c s="125" r="GV105"/>
      <c s="125" r="GW105"/>
      <c s="125" r="GX105"/>
      <c s="125" r="GY105"/>
      <c s="125" r="GZ105"/>
      <c s="125" r="HA105"/>
      <c s="125" r="HB105"/>
    </row>
    <row r="106">
      <c s="822" r="A106"/>
      <c s="20" r="B106"/>
      <c s="414" r="C106"/>
      <c s="414" r="D106"/>
      <c t="s" s="393" r="E106">
        <v>92</v>
      </c>
      <c t="str" s="350" r="F106">
        <f>IF(ISNUMBER((F97/$F92)),IF(((F97/$F92)&gt;0),(F97/$F92),"---"),"---")</f>
        <v>---</v>
      </c>
      <c t="str" s="893" r="G106">
        <f>IF(ISNUMBER((G97/$F92)),IF(((G97/$F92)&gt;0),(G97/$F92),"---"),"---")</f>
        <v>---</v>
      </c>
      <c t="str" s="509" r="H106">
        <f>IF(ISNUMBER((H97/$F92)),IF(((H97/$F92)&gt;0),(H97/$F92),"---"),"---")</f>
        <v>---</v>
      </c>
      <c s="51" r="I106"/>
      <c s="822" r="J106"/>
      <c s="406" r="K106"/>
      <c s="886" r="L106"/>
      <c s="886" r="M106"/>
      <c s="886" r="N106"/>
      <c s="886" r="O106"/>
      <c s="418" r="P106"/>
      <c s="550" r="Q106"/>
      <c s="550" r="R106"/>
      <c t="str" s="620" r="S106">
        <f>IF((COUNT(R106:R$146,T106:T$146)=0),NA(),IF(ISBLANK(R106),S105,(S105+(R106-T105))))</f>
        <v>#N/A:explicit</v>
      </c>
      <c s="550" r="T106"/>
      <c t="str" s="620" r="U106">
        <f>IF(OR(ISBLANK(T106),ISNUMBER(R107)),NA(),(S106-T106))</f>
        <v>#N/A:explicit</v>
      </c>
      <c t="b" s="895" r="V106">
        <v>0</v>
      </c>
      <c s="631" r="W106"/>
      <c t="str" s="309" r="X106">
        <f>IF((COUNT(Q106:Q$146)=0),NA(),IF(ISBLANK(Q106),IF(ISBLANK(Q105),MAX(Q$46:Q106),Q105),Q106))</f>
        <v>#N/A:explicit</v>
      </c>
      <c t="str" s="861" r="Y106">
        <f>IF(ISNA(U106),IF(ISNUMBER(X106),Y105,NA()),U106)</f>
        <v>#N/A:explicit</v>
      </c>
      <c s="861" r="Z106">
        <f>IF(ISNUMBER(Y106),Y106,(S$46+1000))</f>
        <v>1000</v>
      </c>
      <c t="str" s="588" r="AA106">
        <f>IF((V106=TRUE),NA(),IF((AA$44=(S$46-MAX(T$46:T$146))),NA(),AA$44))</f>
        <v>#N/A:explicit</v>
      </c>
      <c s="588" r="AB106">
        <f>IF((ISNA(((Y106*X106)*Y105))),0,(IF((X106&lt;X105),-1,1)*(IF((V105=FALSE),IF((V106=FALSE),IF(ISNA(Y106),0,IF((Y105&lt;AA$44),IF((Y106&lt;AA$44),(((X106-X105)^2)^0.5),(((((AA$44-Y105)*(X106-X105))/(Y106-Y105))^2)^0.5)),IF((Y106&lt;AA$44),(((((AA$44-Y106)*(X106-X105))/(Y105-Y106))^2)^0.5),0))),0),0))))</f>
        <v>0</v>
      </c>
      <c s="588" r="AC106">
        <f>IF(ISNA((Y106*Y105)),0,IF((V105=FALSE),IF((V106=FALSE),IF(ISNA(U106),0,IF((Y105&lt;AA$44),IF((Y106&lt;AA$44),((AA$44-((Y105+Y106)*0.5))*AB106),(((AA$44-Y105)*0.5)*AB106)),IF((Y106&lt;AA$44),(((AA$44-Y106)*0.5)*AB106),0))),0),0))</f>
        <v>0</v>
      </c>
      <c s="588" r="AD106">
        <f>IF(ISNA((Y106*Y105)),0,IF((V105=FALSE),IF((V106=FALSE),IF(ISNA(Y106),0,IF((Y105&lt;AA$44),IF((Y106&lt;AA$44),(((AB106^2)+((Y106-Y105)^2))^0.5),(((AB106^2)+((AA$44-Y105)^2))^0.5)),IF((Y106&lt;AA$44),(((AB106^2)+((AA$44-Y106)^2))^0.5),0))),0),0))</f>
        <v>0</v>
      </c>
      <c s="588" r="AE106">
        <f>IF(ISNUMBER((Y106*Y105)),IF((Y105&gt;=K$148),IF((Y106&lt;K$148),1,0),IF((Y106&gt;=K$148),IF((Y105&lt;K$148),1,0),0)),0)</f>
        <v>0</v>
      </c>
      <c s="588" r="AF106">
        <f>IF(ISNA((Y106*Y105)),0,(IF((X106&lt;X105),-1,1)*(IF(ISNA(Y106),0,IF((Y105&lt;K$148),IF((Y106&lt;K$148),(((X106-X105)^2)^0.5),(((((K$148-Y105)*(X106-X105))/(Y106-Y105))^2)^0.5)),IF((Y106&lt;K$148),(((((K$148-Y106)*(X106-X105))/(Y105-Y106))^2)^0.5),0))))))</f>
        <v>0</v>
      </c>
      <c s="441" r="AG106">
        <f>IF((AC106&gt;0),(MAX(AG$47:AG105)+1),0)</f>
        <v>0</v>
      </c>
      <c s="388" r="AH106"/>
      <c s="406" r="AI106"/>
      <c s="886" r="AJ106"/>
      <c s="886" r="AK106"/>
      <c s="886" r="AL106"/>
      <c s="886" r="AM106"/>
      <c s="418" r="AN106"/>
      <c s="550" r="AO106"/>
      <c s="550" r="AP106"/>
      <c t="str" s="620" r="AQ106">
        <f>IF((COUNT(AP106:AP$146,AR106:AR$146)=0),NA(),IF(ISBLANK(AP106),AQ105,(AQ105+(AP106-AR105))))</f>
        <v>#N/A:explicit</v>
      </c>
      <c s="550" r="AR106"/>
      <c t="str" s="620" r="AS106">
        <f>IF(OR(ISBLANK(AR106),ISNUMBER(AP107)),NA(),(AQ106-AR106))</f>
        <v>#N/A:explicit</v>
      </c>
      <c t="b" s="895" r="AT106">
        <v>0</v>
      </c>
      <c s="631" r="AU106"/>
      <c t="str" s="309" r="AV106">
        <f>IF((COUNT(AO106:AO$146)=0),NA(),IF(ISBLANK(AO106),IF(ISBLANK(AO105),MAX(AO$46:AO106),AO105),AO106))</f>
        <v>#N/A:explicit</v>
      </c>
      <c t="str" s="861" r="AW106">
        <f>IF(ISNA(AS106),IF(ISNUMBER(AV106),AW105,NA()),AS106)</f>
        <v>#N/A:explicit</v>
      </c>
      <c s="861" r="AX106">
        <f>IF(ISNUMBER(AW106),AW106,(AQ$46+1000))</f>
        <v>1000</v>
      </c>
      <c t="str" s="588" r="AY106">
        <f>IF((AT106=TRUE),NA(),IF((AY$44=(AQ$46-MAX(AR$46:AR$146))),NA(),AY$44))</f>
        <v>#N/A:explicit</v>
      </c>
      <c s="588" r="AZ106">
        <f>IF((ISNA(((AW106*AV106)*AW105))),0,(IF((AV106&lt;AV105),-1,1)*(IF((AT105=FALSE),IF((AT106=FALSE),IF(ISNA(AW106),0,IF((AW105&lt;AY$44),IF((AW106&lt;AY$44),(((AV106-AV105)^2)^0.5),(((((AY$44-AW105)*(AV106-AV105))/(AW106-AW105))^2)^0.5)),IF((AW106&lt;AY$44),(((((AY$44-AW106)*(AV106-AV105))/(AW105-AW106))^2)^0.5),0))),0),0))))</f>
        <v>0</v>
      </c>
      <c s="588" r="BA106">
        <f>IF(ISNA((AW106*AW105)),0,IF((AT105=FALSE),IF((AT106=FALSE),IF(ISNA(AS106),0,IF((AW105&lt;AY$44),IF((AW106&lt;AY$44),((AY$44-((AW105+AW106)*0.5))*AZ106),(((AY$44-AW105)*0.5)*AZ106)),IF((AW106&lt;AY$44),(((AY$44-AW106)*0.5)*AZ106),0))),0),0))</f>
        <v>0</v>
      </c>
      <c s="588" r="BB106">
        <f>IF(ISNA((AW106*AW105)),0,IF((AT105=FALSE),IF((AT106=FALSE),IF(ISNA(AW106),0,IF((AW105&lt;AY$44),IF((AW106&lt;AY$44),(((AZ106^2)+((AW106-AW105)^2))^0.5),(((AZ106^2)+((AY$44-AW105)^2))^0.5)),IF((AW106&lt;AY$44),(((AZ106^2)+((AY$44-AW106)^2))^0.5),0))),0),0))</f>
        <v>0</v>
      </c>
      <c s="588" r="BC106">
        <f>IF(ISNUMBER((AW106*AW105)),IF((AW105&gt;=AI$148),IF((AW106&lt;AI$148),1,0),IF((AW106&gt;=AI$148),IF((AW105&lt;AI$148),1,0),0)),0)</f>
        <v>0</v>
      </c>
      <c s="588" r="BD106">
        <f>IF(ISNA((AW106*AW105)),0,(IF((AV106&lt;AV105),-1,1)*(IF(ISNA(AW106),0,IF((AW105&lt;AI$148),IF((AW106&lt;AI$148),(((AV106-AV105)^2)^0.5),(((((AI$148-AW105)*(AV106-AV105))/(AW106-AW105))^2)^0.5)),IF((AW106&lt;AI$148),(((((AI$148-AW106)*(AV106-AV105))/(AW105-AW106))^2)^0.5),0))))))</f>
        <v>0</v>
      </c>
      <c s="441" r="BE106">
        <f>IF((BA106&gt;0),(MAX(BE$47:BE105)+1),0)</f>
        <v>0</v>
      </c>
      <c s="388" r="BF106"/>
      <c s="406" r="BG106"/>
      <c s="886" r="BH106"/>
      <c s="886" r="BI106"/>
      <c s="886" r="BJ106"/>
      <c s="886" r="BK106"/>
      <c s="418" r="BL106"/>
      <c s="550" r="BM106"/>
      <c s="550" r="BN106"/>
      <c t="str" s="620" r="BO106">
        <f>IF((COUNT(BN106:BN$146,BP106:BP$146)=0),NA(),IF(ISBLANK(BN106),BO105,(BO105+(BN106-BP105))))</f>
        <v>#N/A:explicit</v>
      </c>
      <c s="550" r="BP106"/>
      <c t="str" s="620" r="BQ106">
        <f>IF(OR(ISBLANK(BP106),ISNUMBER(BN107)),NA(),(BO106-BP106))</f>
        <v>#N/A:explicit</v>
      </c>
      <c t="b" s="895" r="BR106">
        <v>0</v>
      </c>
      <c s="631" r="BS106"/>
      <c t="str" s="309" r="BT106">
        <f>IF((COUNT(BM106:BM$146)=0),NA(),IF(ISBLANK(BM106),IF(ISBLANK(BM105),MAX(BM$46:BM106),BM105),BM106))</f>
        <v>#N/A:explicit</v>
      </c>
      <c t="str" s="861" r="BU106">
        <f>IF(ISNA(BQ106),IF(ISNUMBER(BT106),BU105,NA()),BQ106)</f>
        <v>#N/A:explicit</v>
      </c>
      <c s="861" r="BV106">
        <f>IF(ISNUMBER(BU106),BU106,(BO$46+1000))</f>
        <v>1000</v>
      </c>
      <c t="str" s="588" r="BW106">
        <f>IF((BR106=TRUE),NA(),IF((BW$44=(BO$46-MAX(BP$46:BP$146))),NA(),BW$44))</f>
        <v>#N/A:explicit</v>
      </c>
      <c s="588" r="BX106">
        <f>IF((ISNA(((BU106*BT106)*BU105))),0,(IF((BT106&lt;BT105),-1,1)*(IF((BR105=FALSE),IF((BR106=FALSE),IF(ISNA(BU106),0,IF((BU105&lt;BW$44),IF((BU106&lt;BW$44),(((BT106-BT105)^2)^0.5),(((((BW$44-BU105)*(BT106-BT105))/(BU106-BU105))^2)^0.5)),IF((BU106&lt;BW$44),(((((BW$44-BU106)*(BT106-BT105))/(BU105-BU106))^2)^0.5),0))),0),0))))</f>
        <v>0</v>
      </c>
      <c s="588" r="BY106">
        <f>IF(ISNA((BU106*BU105)),0,IF((BR105=FALSE),IF((BR106=FALSE),IF(ISNA(BQ106),0,IF((BU105&lt;BW$44),IF((BU106&lt;BW$44),((BW$44-((BU105+BU106)*0.5))*BX106),(((BW$44-BU105)*0.5)*BX106)),IF((BU106&lt;BW$44),(((BW$44-BU106)*0.5)*BX106),0))),0),0))</f>
        <v>0</v>
      </c>
      <c s="588" r="BZ106">
        <f>IF(ISNA((BU106*BU105)),0,IF((BR105=FALSE),IF((BR106=FALSE),IF(ISNA(BU106),0,IF((BU105&lt;BW$44),IF((BU106&lt;BW$44),(((BX106^2)+((BU106-BU105)^2))^0.5),(((BX106^2)+((BW$44-BU105)^2))^0.5)),IF((BU106&lt;BW$44),(((BX106^2)+((BW$44-BU106)^2))^0.5),0))),0),0))</f>
        <v>0</v>
      </c>
      <c s="588" r="CA106">
        <f>IF(ISNUMBER((BU106*BU105)),IF((BU105&gt;=BG$148),IF((BU106&lt;BG$148),1,0),IF((BU106&gt;=BG$148),IF((BU105&lt;BG$148),1,0),0)),0)</f>
        <v>0</v>
      </c>
      <c s="588" r="CB106">
        <f>IF(ISNA((BU106*BU105)),0,(IF((BT106&lt;BT105),-1,1)*(IF(ISNA(BU106),0,IF((BU105&lt;BG$148),IF((BU106&lt;BG$148),(((BT106-BT105)^2)^0.5),(((((BG$148-BU105)*(BT106-BT105))/(BU106-BU105))^2)^0.5)),IF((BU106&lt;BG$148),(((((BG$148-BU106)*(BT106-BT105))/(BU105-BU106))^2)^0.5),0))))))</f>
        <v>0</v>
      </c>
      <c s="441" r="CC106">
        <f>IF((BY106&gt;0),(MAX(CC$47:CC105)+1),0)</f>
        <v>0</v>
      </c>
      <c s="388" r="CD106"/>
      <c s="406" r="CE106"/>
      <c s="886" r="CF106"/>
      <c s="886" r="CG106"/>
      <c s="886" r="CH106"/>
      <c s="886" r="CI106"/>
      <c s="418" r="CJ106"/>
      <c s="550" r="CK106"/>
      <c s="550" r="CL106"/>
      <c t="str" s="620" r="CM106">
        <f>IF((COUNT(CL106:CL$146,CN106:CN$146)=0),NA(),IF(ISBLANK(CL106),CM105,(CM105+(CL106-CN105))))</f>
        <v>#N/A:explicit</v>
      </c>
      <c s="550" r="CN106"/>
      <c t="str" s="620" r="CO106">
        <f>IF(OR(ISBLANK(CN106),ISNUMBER(CL107)),NA(),(CM106-CN106))</f>
        <v>#N/A:explicit</v>
      </c>
      <c t="b" s="895" r="CP106">
        <v>0</v>
      </c>
      <c s="631" r="CQ106"/>
      <c t="str" s="309" r="CR106">
        <f>IF((COUNT(CK106:CK$146)=0),NA(),IF(ISBLANK(CK106),IF(ISBLANK(CK105),MAX(CK$46:CK106),CK105),CK106))</f>
        <v>#N/A:explicit</v>
      </c>
      <c t="str" s="861" r="CS106">
        <f>IF(ISNA(CO106),IF(ISNUMBER(CR106),CS105,NA()),CO106)</f>
        <v>#N/A:explicit</v>
      </c>
      <c s="861" r="CT106">
        <f>IF(ISNUMBER(CS106),CS106,(CM$46+1000))</f>
        <v>1000</v>
      </c>
      <c t="str" s="588" r="CU106">
        <f>IF((CP106=TRUE),NA(),IF((CU$44=(CM$46-MAX(CN$46:CN$146))),NA(),CU$44))</f>
        <v>#N/A:explicit</v>
      </c>
      <c s="588" r="CV106">
        <f>IF((ISNA(((CS106*CR106)*CS105))),0,(IF((CR106&lt;CR105),-1,1)*(IF((CP105=FALSE),IF((CP106=FALSE),IF(ISNA(CS106),0,IF((CS105&lt;CU$44),IF((CS106&lt;CU$44),(((CR106-CR105)^2)^0.5),(((((CU$44-CS105)*(CR106-CR105))/(CS106-CS105))^2)^0.5)),IF((CS106&lt;CU$44),(((((CU$44-CS106)*(CR106-CR105))/(CS105-CS106))^2)^0.5),0))),0),0))))</f>
        <v>0</v>
      </c>
      <c s="588" r="CW106">
        <f>IF(ISNA((CS106*CS105)),0,IF((CP105=FALSE),IF((CP106=FALSE),IF(ISNA(CO106),0,IF((CS105&lt;CU$44),IF((CS106&lt;CU$44),((CU$44-((CS105+CS106)*0.5))*CV106),(((CU$44-CS105)*0.5)*CV106)),IF((CS106&lt;CU$44),(((CU$44-CS106)*0.5)*CV106),0))),0),0))</f>
        <v>0</v>
      </c>
      <c s="588" r="CX106">
        <f>IF(ISNA((CS106*CS105)),0,IF((CP105=FALSE),IF((CP106=FALSE),IF(ISNA(CS106),0,IF((CS105&lt;CU$44),IF((CS106&lt;CU$44),(((CV106^2)+((CS106-CS105)^2))^0.5),(((CV106^2)+((CU$44-CS105)^2))^0.5)),IF((CS106&lt;CU$44),(((CV106^2)+((CU$44-CS106)^2))^0.5),0))),0),0))</f>
        <v>0</v>
      </c>
      <c s="588" r="CY106">
        <f>IF(ISNUMBER((CS106*CS105)),IF((CS105&gt;=CE$148),IF((CS106&lt;CE$148),1,0),IF((CS106&gt;=CE$148),IF((CS105&lt;CE$148),1,0),0)),0)</f>
        <v>0</v>
      </c>
      <c s="588" r="CZ106">
        <f>IF(ISNA((CS106*CS105)),0,(IF((CR106&lt;CR105),-1,1)*(IF(ISNA(CS106),0,IF((CS105&lt;CE$148),IF((CS106&lt;CE$148),(((CR106-CR105)^2)^0.5),(((((CE$148-CS105)*(CR106-CR105))/(CS106-CS105))^2)^0.5)),IF((CS106&lt;CE$148),(((((CE$148-CS106)*(CR106-CR105))/(CS105-CS106))^2)^0.5),0))))))</f>
        <v>0</v>
      </c>
      <c s="441" r="DA106">
        <f>IF((CW106&gt;0),(MAX(DA$47:DA105)+1),0)</f>
        <v>0</v>
      </c>
      <c s="388" r="DB106"/>
      <c s="406" r="DC106"/>
      <c s="886" r="DD106"/>
      <c s="886" r="DE106"/>
      <c s="886" r="DF106"/>
      <c s="886" r="DG106"/>
      <c s="418" r="DH106"/>
      <c s="550" r="DI106"/>
      <c s="550" r="DJ106"/>
      <c t="str" s="620" r="DK106">
        <f>IF((COUNT(DJ106:DJ$146,DL106:DL$146)=0),NA(),IF(ISBLANK(DJ106),DK105,(DK105+(DJ106-DL105))))</f>
        <v>#N/A:explicit</v>
      </c>
      <c s="550" r="DL106"/>
      <c t="str" s="620" r="DM106">
        <f>IF(OR(ISBLANK(DL106),ISNUMBER(DJ107)),NA(),(DK106-DL106))</f>
        <v>#N/A:explicit</v>
      </c>
      <c t="b" s="895" r="DN106">
        <v>0</v>
      </c>
      <c s="631" r="DO106"/>
      <c t="str" s="309" r="DP106">
        <f>IF((COUNT(DI106:DI$146)=0),NA(),IF(ISBLANK(DI106),IF(ISBLANK(DI105),MAX(DI$46:DI106),DI105),DI106))</f>
        <v>#N/A:explicit</v>
      </c>
      <c t="str" s="861" r="DQ106">
        <f>IF(ISNA(DM106),IF(ISNUMBER(DP106),DQ105,NA()),DM106)</f>
        <v>#N/A:explicit</v>
      </c>
      <c s="861" r="DR106">
        <f>IF(ISNUMBER(DQ106),DQ106,(DK$46+1000))</f>
        <v>1000</v>
      </c>
      <c t="str" s="588" r="DS106">
        <f>IF((DN106=TRUE),NA(),IF((DS$44=(DK$46-MAX(DL$46:DL$146))),NA(),DS$44))</f>
        <v>#N/A:explicit</v>
      </c>
      <c s="588" r="DT106">
        <f>IF((ISNA(((DQ106*DP106)*DQ105))),0,(IF((DP106&lt;DP105),-1,1)*(IF((DN105=FALSE),IF((DN106=FALSE),IF(ISNA(DQ106),0,IF((DQ105&lt;DS$44),IF((DQ106&lt;DS$44),(((DP106-DP105)^2)^0.5),(((((DS$44-DQ105)*(DP106-DP105))/(DQ106-DQ105))^2)^0.5)),IF((DQ106&lt;DS$44),(((((DS$44-DQ106)*(DP106-DP105))/(DQ105-DQ106))^2)^0.5),0))),0),0))))</f>
        <v>0</v>
      </c>
      <c s="588" r="DU106">
        <f>IF(ISNA((DQ106*DQ105)),0,IF((DN105=FALSE),IF((DN106=FALSE),IF(ISNA(DM106),0,IF((DQ105&lt;DS$44),IF((DQ106&lt;DS$44),((DS$44-((DQ105+DQ106)*0.5))*DT106),(((DS$44-DQ105)*0.5)*DT106)),IF((DQ106&lt;DS$44),(((DS$44-DQ106)*0.5)*DT106),0))),0),0))</f>
        <v>0</v>
      </c>
      <c s="588" r="DV106">
        <f>IF(ISNA((DQ106*DQ105)),0,IF((DN105=FALSE),IF((DN106=FALSE),IF(ISNA(DQ106),0,IF((DQ105&lt;DS$44),IF((DQ106&lt;DS$44),(((DT106^2)+((DQ106-DQ105)^2))^0.5),(((DT106^2)+((DS$44-DQ105)^2))^0.5)),IF((DQ106&lt;DS$44),(((DT106^2)+((DS$44-DQ106)^2))^0.5),0))),0),0))</f>
        <v>0</v>
      </c>
      <c s="588" r="DW106">
        <f>IF(ISNUMBER((DQ106*DQ105)),IF((DQ105&gt;=DC$148),IF((DQ106&lt;DC$148),1,0),IF((DQ106&gt;=DC$148),IF((DQ105&lt;DC$148),1,0),0)),0)</f>
        <v>0</v>
      </c>
      <c s="588" r="DX106">
        <f>IF(ISNA((DQ106*DQ105)),0,(IF((DP106&lt;DP105),-1,1)*(IF(ISNA(DQ106),0,IF((DQ105&lt;DC$148),IF((DQ106&lt;DC$148),(((DP106-DP105)^2)^0.5),(((((DC$148-DQ105)*(DP106-DP105))/(DQ106-DQ105))^2)^0.5)),IF((DQ106&lt;DC$148),(((((DC$148-DQ106)*(DP106-DP105))/(DQ105-DQ106))^2)^0.5),0))))))</f>
        <v>0</v>
      </c>
      <c s="441" r="DY106">
        <f>IF((DU106&gt;0),(MAX(DY$47:DY105)+1),0)</f>
        <v>0</v>
      </c>
      <c s="388" r="DZ106"/>
      <c s="406" r="EA106"/>
      <c s="886" r="EB106"/>
      <c s="886" r="EC106"/>
      <c s="886" r="ED106"/>
      <c s="886" r="EE106"/>
      <c s="418" r="EF106"/>
      <c s="550" r="EG106"/>
      <c s="550" r="EH106"/>
      <c t="str" s="620" r="EI106">
        <f>IF((COUNT(EH106:EH$146,EJ106:EJ$146)=0),NA(),IF(ISBLANK(EH106),EI105,(EI105+(EH106-EJ105))))</f>
        <v>#N/A:explicit</v>
      </c>
      <c s="550" r="EJ106"/>
      <c t="str" s="620" r="EK106">
        <f>IF(OR(ISBLANK(EJ106),ISNUMBER(EH107)),NA(),(EI106-EJ106))</f>
        <v>#N/A:explicit</v>
      </c>
      <c t="b" s="895" r="EL106">
        <v>0</v>
      </c>
      <c s="631" r="EM106"/>
      <c t="str" s="309" r="EN106">
        <f>IF((COUNT(EG106:EG$146)=0),NA(),IF(ISBLANK(EG106),IF(ISBLANK(EG105),MAX(EG$46:EG106),EG105),EG106))</f>
        <v>#N/A:explicit</v>
      </c>
      <c t="str" s="861" r="EO106">
        <f>IF(ISNA(EK106),IF(ISNUMBER(EN106),EO105,NA()),EK106)</f>
        <v>#N/A:explicit</v>
      </c>
      <c s="861" r="EP106">
        <f>IF(ISNUMBER(EO106),EO106,(EI$46+1000))</f>
        <v>1000</v>
      </c>
      <c t="str" s="588" r="EQ106">
        <f>IF((EL106=TRUE),NA(),IF((EQ$44=(EI$46-MAX(EJ$46:EJ$146))),NA(),EQ$44))</f>
        <v>#N/A:explicit</v>
      </c>
      <c s="588" r="ER106">
        <f>IF((ISNA(((EO106*EN106)*EO105))),0,(IF((EN106&lt;EN105),-1,1)*(IF((EL105=FALSE),IF((EL106=FALSE),IF(ISNA(EO106),0,IF((EO105&lt;EQ$44),IF((EO106&lt;EQ$44),(((EN106-EN105)^2)^0.5),(((((EQ$44-EO105)*(EN106-EN105))/(EO106-EO105))^2)^0.5)),IF((EO106&lt;EQ$44),(((((EQ$44-EO106)*(EN106-EN105))/(EO105-EO106))^2)^0.5),0))),0),0))))</f>
        <v>0</v>
      </c>
      <c s="588" r="ES106">
        <f>IF(ISNA((EO106*EO105)),0,IF((EL105=FALSE),IF((EL106=FALSE),IF(ISNA(EK106),0,IF((EO105&lt;EQ$44),IF((EO106&lt;EQ$44),((EQ$44-((EO105+EO106)*0.5))*ER106),(((EQ$44-EO105)*0.5)*ER106)),IF((EO106&lt;EQ$44),(((EQ$44-EO106)*0.5)*ER106),0))),0),0))</f>
        <v>0</v>
      </c>
      <c s="588" r="ET106">
        <f>IF(ISNA((EO106*EO105)),0,IF((EL105=FALSE),IF((EL106=FALSE),IF(ISNA(EO106),0,IF((EO105&lt;EQ$44),IF((EO106&lt;EQ$44),(((ER106^2)+((EO106-EO105)^2))^0.5),(((ER106^2)+((EQ$44-EO105)^2))^0.5)),IF((EO106&lt;EQ$44),(((ER106^2)+((EQ$44-EO106)^2))^0.5),0))),0),0))</f>
        <v>0</v>
      </c>
      <c s="588" r="EU106">
        <f>IF(ISNUMBER((EO106*EO105)),IF((EO105&gt;=EA$148),IF((EO106&lt;EA$148),1,0),IF((EO106&gt;=EA$148),IF((EO105&lt;EA$148),1,0),0)),0)</f>
        <v>0</v>
      </c>
      <c s="588" r="EV106">
        <f>IF(ISNA((EO106*EO105)),0,(IF((EN106&lt;EN105),-1,1)*(IF(ISNA(EO106),0,IF((EO105&lt;EA$148),IF((EO106&lt;EA$148),(((EN106-EN105)^2)^0.5),(((((EA$148-EO105)*(EN106-EN105))/(EO106-EO105))^2)^0.5)),IF((EO106&lt;EA$148),(((((EA$148-EO106)*(EN106-EN105))/(EO105-EO106))^2)^0.5),0))))))</f>
        <v>0</v>
      </c>
      <c s="441" r="EW106">
        <f>IF((ES106&gt;0),(MAX(EW$47:EW105)+1),0)</f>
        <v>0</v>
      </c>
      <c s="388" r="EX106"/>
      <c s="406" r="EY106"/>
      <c s="886" r="EZ106"/>
      <c s="886" r="FA106"/>
      <c s="886" r="FB106"/>
      <c s="886" r="FC106"/>
      <c s="418" r="FD106"/>
      <c s="550" r="FE106"/>
      <c s="550" r="FF106"/>
      <c t="str" s="620" r="FG106">
        <f>IF((COUNT(FF106:FF$146,FH106:FH$146)=0),NA(),IF(ISBLANK(FF106),FG105,(FG105+(FF106-FH105))))</f>
        <v>#N/A:explicit</v>
      </c>
      <c s="550" r="FH106"/>
      <c t="str" s="620" r="FI106">
        <f>IF(OR(ISBLANK(FH106),ISNUMBER(FF107)),NA(),(FG106-FH106))</f>
        <v>#N/A:explicit</v>
      </c>
      <c t="b" s="895" r="FJ106">
        <v>0</v>
      </c>
      <c s="631" r="FK106"/>
      <c t="str" s="309" r="FL106">
        <f>IF((COUNT(FE106:FE$146)=0),NA(),IF(ISBLANK(FE106),IF(ISBLANK(FE105),MAX(FE$46:FE106),FE105),FE106))</f>
        <v>#N/A:explicit</v>
      </c>
      <c t="str" s="861" r="FM106">
        <f>IF(ISNA(FI106),IF(ISNUMBER(FL106),FM105,NA()),FI106)</f>
        <v>#N/A:explicit</v>
      </c>
      <c s="861" r="FN106">
        <f>IF(ISNUMBER(FM106),FM106,(FG$46+1000))</f>
        <v>1000</v>
      </c>
      <c t="str" s="588" r="FO106">
        <f>IF((FJ106=TRUE),NA(),IF((FO$44=(FG$46-MAX(FH$46:FH$146))),NA(),FO$44))</f>
        <v>#N/A:explicit</v>
      </c>
      <c s="588" r="FP106">
        <f>IF((ISNA(((FM106*FL106)*FM105))),0,(IF((FL106&lt;FL105),-1,1)*(IF((FJ105=FALSE),IF((FJ106=FALSE),IF(ISNA(FM106),0,IF((FM105&lt;FO$44),IF((FM106&lt;FO$44),(((FL106-FL105)^2)^0.5),(((((FO$44-FM105)*(FL106-FL105))/(FM106-FM105))^2)^0.5)),IF((FM106&lt;FO$44),(((((FO$44-FM106)*(FL106-FL105))/(FM105-FM106))^2)^0.5),0))),0),0))))</f>
        <v>0</v>
      </c>
      <c s="588" r="FQ106">
        <f>IF(ISNA((FM106*FM105)),0,IF((FJ105=FALSE),IF((FJ106=FALSE),IF(ISNA(FI106),0,IF((FM105&lt;FO$44),IF((FM106&lt;FO$44),((FO$44-((FM105+FM106)*0.5))*FP106),(((FO$44-FM105)*0.5)*FP106)),IF((FM106&lt;FO$44),(((FO$44-FM106)*0.5)*FP106),0))),0),0))</f>
        <v>0</v>
      </c>
      <c s="588" r="FR106">
        <f>IF(ISNA((FM106*FM105)),0,IF((FJ105=FALSE),IF((FJ106=FALSE),IF(ISNA(FM106),0,IF((FM105&lt;FO$44),IF((FM106&lt;FO$44),(((FP106^2)+((FM106-FM105)^2))^0.5),(((FP106^2)+((FO$44-FM105)^2))^0.5)),IF((FM106&lt;FO$44),(((FP106^2)+((FO$44-FM106)^2))^0.5),0))),0),0))</f>
        <v>0</v>
      </c>
      <c s="588" r="FS106">
        <f>IF(ISNUMBER((FM106*FM105)),IF((FM105&gt;=EY$148),IF((FM106&lt;EY$148),1,0),IF((FM106&gt;=EY$148),IF((FM105&lt;EY$148),1,0),0)),0)</f>
        <v>0</v>
      </c>
      <c s="588" r="FT106">
        <f>IF(ISNA((FM106*FM105)),0,(IF((FL106&lt;FL105),-1,1)*(IF(ISNA(FM106),0,IF((FM105&lt;EY$148),IF((FM106&lt;EY$148),(((FL106-FL105)^2)^0.5),(((((EY$148-FM105)*(FL106-FL105))/(FM106-FM105))^2)^0.5)),IF((FM106&lt;EY$148),(((((EY$148-FM106)*(FL106-FL105))/(FM105-FM106))^2)^0.5),0))))))</f>
        <v>0</v>
      </c>
      <c s="441" r="FU106">
        <f>IF((FQ106&gt;0),(MAX(FU$47:FU105)+1),0)</f>
        <v>0</v>
      </c>
      <c s="222" r="FV106"/>
      <c s="125" r="FW106"/>
      <c s="125" r="FX106"/>
      <c s="125" r="FY106"/>
      <c s="125" r="FZ106"/>
      <c s="125" r="GA106"/>
      <c s="125" r="GB106"/>
      <c s="125" r="GC106"/>
      <c s="125" r="GD106"/>
      <c s="125" r="GE106"/>
      <c s="125" r="GF106"/>
      <c s="125" r="GG106"/>
      <c s="125" r="GH106"/>
      <c s="125" r="GI106"/>
      <c s="125" r="GJ106"/>
      <c s="125" r="GK106"/>
      <c s="125" r="GL106"/>
      <c s="125" r="GM106"/>
      <c s="125" r="GN106"/>
      <c s="125" r="GO106"/>
      <c s="125" r="GP106"/>
      <c s="125" r="GQ106"/>
      <c s="125" r="GR106"/>
      <c s="125" r="GS106"/>
      <c s="125" r="GT106"/>
      <c s="125" r="GU106"/>
      <c s="125" r="GV106"/>
      <c s="125" r="GW106"/>
      <c s="125" r="GX106"/>
      <c s="125" r="GY106"/>
      <c s="125" r="GZ106"/>
      <c s="125" r="HA106"/>
      <c s="125" r="HB106"/>
    </row>
    <row r="107">
      <c s="822" r="A107"/>
      <c t="s" s="577" r="B107">
        <v>604</v>
      </c>
      <c s="697" r="C107"/>
      <c s="697" r="D107"/>
      <c s="201" r="E107"/>
      <c s="201" r="F107"/>
      <c t="s" s="202" r="G107">
        <v>601</v>
      </c>
      <c s="590" r="H107"/>
      <c s="51" r="I107"/>
      <c s="822" r="J107"/>
      <c s="406" r="K107"/>
      <c s="886" r="L107"/>
      <c s="886" r="M107"/>
      <c s="886" r="N107"/>
      <c s="886" r="O107"/>
      <c s="418" r="P107"/>
      <c s="550" r="Q107"/>
      <c s="550" r="R107"/>
      <c t="str" s="620" r="S107">
        <f>IF((COUNT(R107:R$146,T107:T$146)=0),NA(),IF(ISBLANK(R107),S106,(S106+(R107-T106))))</f>
        <v>#N/A:explicit</v>
      </c>
      <c s="550" r="T107"/>
      <c t="str" s="620" r="U107">
        <f>IF(OR(ISBLANK(T107),ISNUMBER(R108)),NA(),(S107-T107))</f>
        <v>#N/A:explicit</v>
      </c>
      <c t="b" s="895" r="V107">
        <v>0</v>
      </c>
      <c s="631" r="W107"/>
      <c t="str" s="309" r="X107">
        <f>IF((COUNT(Q107:Q$146)=0),NA(),IF(ISBLANK(Q107),IF(ISBLANK(Q106),MAX(Q$46:Q107),Q106),Q107))</f>
        <v>#N/A:explicit</v>
      </c>
      <c t="str" s="861" r="Y107">
        <f>IF(ISNA(U107),IF(ISNUMBER(X107),Y106,NA()),U107)</f>
        <v>#N/A:explicit</v>
      </c>
      <c s="861" r="Z107">
        <f>IF(ISNUMBER(Y107),Y107,(S$46+1000))</f>
        <v>1000</v>
      </c>
      <c t="str" s="588" r="AA107">
        <f>IF((V107=TRUE),NA(),IF((AA$44=(S$46-MAX(T$46:T$146))),NA(),AA$44))</f>
        <v>#N/A:explicit</v>
      </c>
      <c s="588" r="AB107">
        <f>IF((ISNA(((Y107*X107)*Y106))),0,(IF((X107&lt;X106),-1,1)*(IF((V106=FALSE),IF((V107=FALSE),IF(ISNA(Y107),0,IF((Y106&lt;AA$44),IF((Y107&lt;AA$44),(((X107-X106)^2)^0.5),(((((AA$44-Y106)*(X107-X106))/(Y107-Y106))^2)^0.5)),IF((Y107&lt;AA$44),(((((AA$44-Y107)*(X107-X106))/(Y106-Y107))^2)^0.5),0))),0),0))))</f>
        <v>0</v>
      </c>
      <c s="588" r="AC107">
        <f>IF(ISNA((Y107*Y106)),0,IF((V106=FALSE),IF((V107=FALSE),IF(ISNA(U107),0,IF((Y106&lt;AA$44),IF((Y107&lt;AA$44),((AA$44-((Y106+Y107)*0.5))*AB107),(((AA$44-Y106)*0.5)*AB107)),IF((Y107&lt;AA$44),(((AA$44-Y107)*0.5)*AB107),0))),0),0))</f>
        <v>0</v>
      </c>
      <c s="588" r="AD107">
        <f>IF(ISNA((Y107*Y106)),0,IF((V106=FALSE),IF((V107=FALSE),IF(ISNA(Y107),0,IF((Y106&lt;AA$44),IF((Y107&lt;AA$44),(((AB107^2)+((Y107-Y106)^2))^0.5),(((AB107^2)+((AA$44-Y106)^2))^0.5)),IF((Y107&lt;AA$44),(((AB107^2)+((AA$44-Y107)^2))^0.5),0))),0),0))</f>
        <v>0</v>
      </c>
      <c s="588" r="AE107">
        <f>IF(ISNUMBER((Y107*Y106)),IF((Y106&gt;=K$148),IF((Y107&lt;K$148),1,0),IF((Y107&gt;=K$148),IF((Y106&lt;K$148),1,0),0)),0)</f>
        <v>0</v>
      </c>
      <c s="588" r="AF107">
        <f>IF(ISNA((Y107*Y106)),0,(IF((X107&lt;X106),-1,1)*(IF(ISNA(Y107),0,IF((Y106&lt;K$148),IF((Y107&lt;K$148),(((X107-X106)^2)^0.5),(((((K$148-Y106)*(X107-X106))/(Y107-Y106))^2)^0.5)),IF((Y107&lt;K$148),(((((K$148-Y107)*(X107-X106))/(Y106-Y107))^2)^0.5),0))))))</f>
        <v>0</v>
      </c>
      <c s="441" r="AG107">
        <f>IF((AC107&gt;0),(MAX(AG$47:AG106)+1),0)</f>
        <v>0</v>
      </c>
      <c s="388" r="AH107"/>
      <c s="406" r="AI107"/>
      <c s="886" r="AJ107"/>
      <c s="886" r="AK107"/>
      <c s="886" r="AL107"/>
      <c s="886" r="AM107"/>
      <c s="418" r="AN107"/>
      <c s="550" r="AO107"/>
      <c s="550" r="AP107"/>
      <c t="str" s="620" r="AQ107">
        <f>IF((COUNT(AP107:AP$146,AR107:AR$146)=0),NA(),IF(ISBLANK(AP107),AQ106,(AQ106+(AP107-AR106))))</f>
        <v>#N/A:explicit</v>
      </c>
      <c s="550" r="AR107"/>
      <c t="str" s="620" r="AS107">
        <f>IF(OR(ISBLANK(AR107),ISNUMBER(AP108)),NA(),(AQ107-AR107))</f>
        <v>#N/A:explicit</v>
      </c>
      <c t="b" s="895" r="AT107">
        <v>0</v>
      </c>
      <c s="631" r="AU107"/>
      <c t="str" s="309" r="AV107">
        <f>IF((COUNT(AO107:AO$146)=0),NA(),IF(ISBLANK(AO107),IF(ISBLANK(AO106),MAX(AO$46:AO107),AO106),AO107))</f>
        <v>#N/A:explicit</v>
      </c>
      <c t="str" s="861" r="AW107">
        <f>IF(ISNA(AS107),IF(ISNUMBER(AV107),AW106,NA()),AS107)</f>
        <v>#N/A:explicit</v>
      </c>
      <c s="861" r="AX107">
        <f>IF(ISNUMBER(AW107),AW107,(AQ$46+1000))</f>
        <v>1000</v>
      </c>
      <c t="str" s="588" r="AY107">
        <f>IF((AT107=TRUE),NA(),IF((AY$44=(AQ$46-MAX(AR$46:AR$146))),NA(),AY$44))</f>
        <v>#N/A:explicit</v>
      </c>
      <c s="588" r="AZ107">
        <f>IF((ISNA(((AW107*AV107)*AW106))),0,(IF((AV107&lt;AV106),-1,1)*(IF((AT106=FALSE),IF((AT107=FALSE),IF(ISNA(AW107),0,IF((AW106&lt;AY$44),IF((AW107&lt;AY$44),(((AV107-AV106)^2)^0.5),(((((AY$44-AW106)*(AV107-AV106))/(AW107-AW106))^2)^0.5)),IF((AW107&lt;AY$44),(((((AY$44-AW107)*(AV107-AV106))/(AW106-AW107))^2)^0.5),0))),0),0))))</f>
        <v>0</v>
      </c>
      <c s="588" r="BA107">
        <f>IF(ISNA((AW107*AW106)),0,IF((AT106=FALSE),IF((AT107=FALSE),IF(ISNA(AS107),0,IF((AW106&lt;AY$44),IF((AW107&lt;AY$44),((AY$44-((AW106+AW107)*0.5))*AZ107),(((AY$44-AW106)*0.5)*AZ107)),IF((AW107&lt;AY$44),(((AY$44-AW107)*0.5)*AZ107),0))),0),0))</f>
        <v>0</v>
      </c>
      <c s="588" r="BB107">
        <f>IF(ISNA((AW107*AW106)),0,IF((AT106=FALSE),IF((AT107=FALSE),IF(ISNA(AW107),0,IF((AW106&lt;AY$44),IF((AW107&lt;AY$44),(((AZ107^2)+((AW107-AW106)^2))^0.5),(((AZ107^2)+((AY$44-AW106)^2))^0.5)),IF((AW107&lt;AY$44),(((AZ107^2)+((AY$44-AW107)^2))^0.5),0))),0),0))</f>
        <v>0</v>
      </c>
      <c s="588" r="BC107">
        <f>IF(ISNUMBER((AW107*AW106)),IF((AW106&gt;=AI$148),IF((AW107&lt;AI$148),1,0),IF((AW107&gt;=AI$148),IF((AW106&lt;AI$148),1,0),0)),0)</f>
        <v>0</v>
      </c>
      <c s="588" r="BD107">
        <f>IF(ISNA((AW107*AW106)),0,(IF((AV107&lt;AV106),-1,1)*(IF(ISNA(AW107),0,IF((AW106&lt;AI$148),IF((AW107&lt;AI$148),(((AV107-AV106)^2)^0.5),(((((AI$148-AW106)*(AV107-AV106))/(AW107-AW106))^2)^0.5)),IF((AW107&lt;AI$148),(((((AI$148-AW107)*(AV107-AV106))/(AW106-AW107))^2)^0.5),0))))))</f>
        <v>0</v>
      </c>
      <c s="441" r="BE107">
        <f>IF((BA107&gt;0),(MAX(BE$47:BE106)+1),0)</f>
        <v>0</v>
      </c>
      <c s="388" r="BF107"/>
      <c s="406" r="BG107"/>
      <c s="886" r="BH107"/>
      <c s="886" r="BI107"/>
      <c s="886" r="BJ107"/>
      <c s="886" r="BK107"/>
      <c s="418" r="BL107"/>
      <c s="550" r="BM107"/>
      <c s="550" r="BN107"/>
      <c t="str" s="620" r="BO107">
        <f>IF((COUNT(BN107:BN$146,BP107:BP$146)=0),NA(),IF(ISBLANK(BN107),BO106,(BO106+(BN107-BP106))))</f>
        <v>#N/A:explicit</v>
      </c>
      <c s="550" r="BP107"/>
      <c t="str" s="620" r="BQ107">
        <f>IF(OR(ISBLANK(BP107),ISNUMBER(BN108)),NA(),(BO107-BP107))</f>
        <v>#N/A:explicit</v>
      </c>
      <c t="b" s="895" r="BR107">
        <v>0</v>
      </c>
      <c s="631" r="BS107"/>
      <c t="str" s="309" r="BT107">
        <f>IF((COUNT(BM107:BM$146)=0),NA(),IF(ISBLANK(BM107),IF(ISBLANK(BM106),MAX(BM$46:BM107),BM106),BM107))</f>
        <v>#N/A:explicit</v>
      </c>
      <c t="str" s="861" r="BU107">
        <f>IF(ISNA(BQ107),IF(ISNUMBER(BT107),BU106,NA()),BQ107)</f>
        <v>#N/A:explicit</v>
      </c>
      <c s="861" r="BV107">
        <f>IF(ISNUMBER(BU107),BU107,(BO$46+1000))</f>
        <v>1000</v>
      </c>
      <c t="str" s="588" r="BW107">
        <f>IF((BR107=TRUE),NA(),IF((BW$44=(BO$46-MAX(BP$46:BP$146))),NA(),BW$44))</f>
        <v>#N/A:explicit</v>
      </c>
      <c s="588" r="BX107">
        <f>IF((ISNA(((BU107*BT107)*BU106))),0,(IF((BT107&lt;BT106),-1,1)*(IF((BR106=FALSE),IF((BR107=FALSE),IF(ISNA(BU107),0,IF((BU106&lt;BW$44),IF((BU107&lt;BW$44),(((BT107-BT106)^2)^0.5),(((((BW$44-BU106)*(BT107-BT106))/(BU107-BU106))^2)^0.5)),IF((BU107&lt;BW$44),(((((BW$44-BU107)*(BT107-BT106))/(BU106-BU107))^2)^0.5),0))),0),0))))</f>
        <v>0</v>
      </c>
      <c s="588" r="BY107">
        <f>IF(ISNA((BU107*BU106)),0,IF((BR106=FALSE),IF((BR107=FALSE),IF(ISNA(BQ107),0,IF((BU106&lt;BW$44),IF((BU107&lt;BW$44),((BW$44-((BU106+BU107)*0.5))*BX107),(((BW$44-BU106)*0.5)*BX107)),IF((BU107&lt;BW$44),(((BW$44-BU107)*0.5)*BX107),0))),0),0))</f>
        <v>0</v>
      </c>
      <c s="588" r="BZ107">
        <f>IF(ISNA((BU107*BU106)),0,IF((BR106=FALSE),IF((BR107=FALSE),IF(ISNA(BU107),0,IF((BU106&lt;BW$44),IF((BU107&lt;BW$44),(((BX107^2)+((BU107-BU106)^2))^0.5),(((BX107^2)+((BW$44-BU106)^2))^0.5)),IF((BU107&lt;BW$44),(((BX107^2)+((BW$44-BU107)^2))^0.5),0))),0),0))</f>
        <v>0</v>
      </c>
      <c s="588" r="CA107">
        <f>IF(ISNUMBER((BU107*BU106)),IF((BU106&gt;=BG$148),IF((BU107&lt;BG$148),1,0),IF((BU107&gt;=BG$148),IF((BU106&lt;BG$148),1,0),0)),0)</f>
        <v>0</v>
      </c>
      <c s="588" r="CB107">
        <f>IF(ISNA((BU107*BU106)),0,(IF((BT107&lt;BT106),-1,1)*(IF(ISNA(BU107),0,IF((BU106&lt;BG$148),IF((BU107&lt;BG$148),(((BT107-BT106)^2)^0.5),(((((BG$148-BU106)*(BT107-BT106))/(BU107-BU106))^2)^0.5)),IF((BU107&lt;BG$148),(((((BG$148-BU107)*(BT107-BT106))/(BU106-BU107))^2)^0.5),0))))))</f>
        <v>0</v>
      </c>
      <c s="441" r="CC107">
        <f>IF((BY107&gt;0),(MAX(CC$47:CC106)+1),0)</f>
        <v>0</v>
      </c>
      <c s="388" r="CD107"/>
      <c s="406" r="CE107"/>
      <c s="886" r="CF107"/>
      <c s="886" r="CG107"/>
      <c s="886" r="CH107"/>
      <c s="886" r="CI107"/>
      <c s="418" r="CJ107"/>
      <c s="550" r="CK107"/>
      <c s="550" r="CL107"/>
      <c t="str" s="620" r="CM107">
        <f>IF((COUNT(CL107:CL$146,CN107:CN$146)=0),NA(),IF(ISBLANK(CL107),CM106,(CM106+(CL107-CN106))))</f>
        <v>#N/A:explicit</v>
      </c>
      <c s="550" r="CN107"/>
      <c t="str" s="620" r="CO107">
        <f>IF(OR(ISBLANK(CN107),ISNUMBER(CL108)),NA(),(CM107-CN107))</f>
        <v>#N/A:explicit</v>
      </c>
      <c t="b" s="895" r="CP107">
        <v>0</v>
      </c>
      <c s="631" r="CQ107"/>
      <c t="str" s="309" r="CR107">
        <f>IF((COUNT(CK107:CK$146)=0),NA(),IF(ISBLANK(CK107),IF(ISBLANK(CK106),MAX(CK$46:CK107),CK106),CK107))</f>
        <v>#N/A:explicit</v>
      </c>
      <c t="str" s="861" r="CS107">
        <f>IF(ISNA(CO107),IF(ISNUMBER(CR107),CS106,NA()),CO107)</f>
        <v>#N/A:explicit</v>
      </c>
      <c s="861" r="CT107">
        <f>IF(ISNUMBER(CS107),CS107,(CM$46+1000))</f>
        <v>1000</v>
      </c>
      <c t="str" s="588" r="CU107">
        <f>IF((CP107=TRUE),NA(),IF((CU$44=(CM$46-MAX(CN$46:CN$146))),NA(),CU$44))</f>
        <v>#N/A:explicit</v>
      </c>
      <c s="588" r="CV107">
        <f>IF((ISNA(((CS107*CR107)*CS106))),0,(IF((CR107&lt;CR106),-1,1)*(IF((CP106=FALSE),IF((CP107=FALSE),IF(ISNA(CS107),0,IF((CS106&lt;CU$44),IF((CS107&lt;CU$44),(((CR107-CR106)^2)^0.5),(((((CU$44-CS106)*(CR107-CR106))/(CS107-CS106))^2)^0.5)),IF((CS107&lt;CU$44),(((((CU$44-CS107)*(CR107-CR106))/(CS106-CS107))^2)^0.5),0))),0),0))))</f>
        <v>0</v>
      </c>
      <c s="588" r="CW107">
        <f>IF(ISNA((CS107*CS106)),0,IF((CP106=FALSE),IF((CP107=FALSE),IF(ISNA(CO107),0,IF((CS106&lt;CU$44),IF((CS107&lt;CU$44),((CU$44-((CS106+CS107)*0.5))*CV107),(((CU$44-CS106)*0.5)*CV107)),IF((CS107&lt;CU$44),(((CU$44-CS107)*0.5)*CV107),0))),0),0))</f>
        <v>0</v>
      </c>
      <c s="588" r="CX107">
        <f>IF(ISNA((CS107*CS106)),0,IF((CP106=FALSE),IF((CP107=FALSE),IF(ISNA(CS107),0,IF((CS106&lt;CU$44),IF((CS107&lt;CU$44),(((CV107^2)+((CS107-CS106)^2))^0.5),(((CV107^2)+((CU$44-CS106)^2))^0.5)),IF((CS107&lt;CU$44),(((CV107^2)+((CU$44-CS107)^2))^0.5),0))),0),0))</f>
        <v>0</v>
      </c>
      <c s="588" r="CY107">
        <f>IF(ISNUMBER((CS107*CS106)),IF((CS106&gt;=CE$148),IF((CS107&lt;CE$148),1,0),IF((CS107&gt;=CE$148),IF((CS106&lt;CE$148),1,0),0)),0)</f>
        <v>0</v>
      </c>
      <c s="588" r="CZ107">
        <f>IF(ISNA((CS107*CS106)),0,(IF((CR107&lt;CR106),-1,1)*(IF(ISNA(CS107),0,IF((CS106&lt;CE$148),IF((CS107&lt;CE$148),(((CR107-CR106)^2)^0.5),(((((CE$148-CS106)*(CR107-CR106))/(CS107-CS106))^2)^0.5)),IF((CS107&lt;CE$148),(((((CE$148-CS107)*(CR107-CR106))/(CS106-CS107))^2)^0.5),0))))))</f>
        <v>0</v>
      </c>
      <c s="441" r="DA107">
        <f>IF((CW107&gt;0),(MAX(DA$47:DA106)+1),0)</f>
        <v>0</v>
      </c>
      <c s="388" r="DB107"/>
      <c s="406" r="DC107"/>
      <c s="886" r="DD107"/>
      <c s="886" r="DE107"/>
      <c s="886" r="DF107"/>
      <c s="886" r="DG107"/>
      <c s="418" r="DH107"/>
      <c s="550" r="DI107"/>
      <c s="550" r="DJ107"/>
      <c t="str" s="620" r="DK107">
        <f>IF((COUNT(DJ107:DJ$146,DL107:DL$146)=0),NA(),IF(ISBLANK(DJ107),DK106,(DK106+(DJ107-DL106))))</f>
        <v>#N/A:explicit</v>
      </c>
      <c s="550" r="DL107"/>
      <c t="str" s="620" r="DM107">
        <f>IF(OR(ISBLANK(DL107),ISNUMBER(DJ108)),NA(),(DK107-DL107))</f>
        <v>#N/A:explicit</v>
      </c>
      <c t="b" s="895" r="DN107">
        <v>0</v>
      </c>
      <c s="631" r="DO107"/>
      <c t="str" s="309" r="DP107">
        <f>IF((COUNT(DI107:DI$146)=0),NA(),IF(ISBLANK(DI107),IF(ISBLANK(DI106),MAX(DI$46:DI107),DI106),DI107))</f>
        <v>#N/A:explicit</v>
      </c>
      <c t="str" s="861" r="DQ107">
        <f>IF(ISNA(DM107),IF(ISNUMBER(DP107),DQ106,NA()),DM107)</f>
        <v>#N/A:explicit</v>
      </c>
      <c s="861" r="DR107">
        <f>IF(ISNUMBER(DQ107),DQ107,(DK$46+1000))</f>
        <v>1000</v>
      </c>
      <c t="str" s="588" r="DS107">
        <f>IF((DN107=TRUE),NA(),IF((DS$44=(DK$46-MAX(DL$46:DL$146))),NA(),DS$44))</f>
        <v>#N/A:explicit</v>
      </c>
      <c s="588" r="DT107">
        <f>IF((ISNA(((DQ107*DP107)*DQ106))),0,(IF((DP107&lt;DP106),-1,1)*(IF((DN106=FALSE),IF((DN107=FALSE),IF(ISNA(DQ107),0,IF((DQ106&lt;DS$44),IF((DQ107&lt;DS$44),(((DP107-DP106)^2)^0.5),(((((DS$44-DQ106)*(DP107-DP106))/(DQ107-DQ106))^2)^0.5)),IF((DQ107&lt;DS$44),(((((DS$44-DQ107)*(DP107-DP106))/(DQ106-DQ107))^2)^0.5),0))),0),0))))</f>
        <v>0</v>
      </c>
      <c s="588" r="DU107">
        <f>IF(ISNA((DQ107*DQ106)),0,IF((DN106=FALSE),IF((DN107=FALSE),IF(ISNA(DM107),0,IF((DQ106&lt;DS$44),IF((DQ107&lt;DS$44),((DS$44-((DQ106+DQ107)*0.5))*DT107),(((DS$44-DQ106)*0.5)*DT107)),IF((DQ107&lt;DS$44),(((DS$44-DQ107)*0.5)*DT107),0))),0),0))</f>
        <v>0</v>
      </c>
      <c s="588" r="DV107">
        <f>IF(ISNA((DQ107*DQ106)),0,IF((DN106=FALSE),IF((DN107=FALSE),IF(ISNA(DQ107),0,IF((DQ106&lt;DS$44),IF((DQ107&lt;DS$44),(((DT107^2)+((DQ107-DQ106)^2))^0.5),(((DT107^2)+((DS$44-DQ106)^2))^0.5)),IF((DQ107&lt;DS$44),(((DT107^2)+((DS$44-DQ107)^2))^0.5),0))),0),0))</f>
        <v>0</v>
      </c>
      <c s="588" r="DW107">
        <f>IF(ISNUMBER((DQ107*DQ106)),IF((DQ106&gt;=DC$148),IF((DQ107&lt;DC$148),1,0),IF((DQ107&gt;=DC$148),IF((DQ106&lt;DC$148),1,0),0)),0)</f>
        <v>0</v>
      </c>
      <c s="588" r="DX107">
        <f>IF(ISNA((DQ107*DQ106)),0,(IF((DP107&lt;DP106),-1,1)*(IF(ISNA(DQ107),0,IF((DQ106&lt;DC$148),IF((DQ107&lt;DC$148),(((DP107-DP106)^2)^0.5),(((((DC$148-DQ106)*(DP107-DP106))/(DQ107-DQ106))^2)^0.5)),IF((DQ107&lt;DC$148),(((((DC$148-DQ107)*(DP107-DP106))/(DQ106-DQ107))^2)^0.5),0))))))</f>
        <v>0</v>
      </c>
      <c s="441" r="DY107">
        <f>IF((DU107&gt;0),(MAX(DY$47:DY106)+1),0)</f>
        <v>0</v>
      </c>
      <c s="388" r="DZ107"/>
      <c s="406" r="EA107"/>
      <c s="886" r="EB107"/>
      <c s="886" r="EC107"/>
      <c s="886" r="ED107"/>
      <c s="886" r="EE107"/>
      <c s="418" r="EF107"/>
      <c s="550" r="EG107"/>
      <c s="550" r="EH107"/>
      <c t="str" s="620" r="EI107">
        <f>IF((COUNT(EH107:EH$146,EJ107:EJ$146)=0),NA(),IF(ISBLANK(EH107),EI106,(EI106+(EH107-EJ106))))</f>
        <v>#N/A:explicit</v>
      </c>
      <c s="550" r="EJ107"/>
      <c t="str" s="620" r="EK107">
        <f>IF(OR(ISBLANK(EJ107),ISNUMBER(EH108)),NA(),(EI107-EJ107))</f>
        <v>#N/A:explicit</v>
      </c>
      <c t="b" s="895" r="EL107">
        <v>0</v>
      </c>
      <c s="631" r="EM107"/>
      <c t="str" s="309" r="EN107">
        <f>IF((COUNT(EG107:EG$146)=0),NA(),IF(ISBLANK(EG107),IF(ISBLANK(EG106),MAX(EG$46:EG107),EG106),EG107))</f>
        <v>#N/A:explicit</v>
      </c>
      <c t="str" s="861" r="EO107">
        <f>IF(ISNA(EK107),IF(ISNUMBER(EN107),EO106,NA()),EK107)</f>
        <v>#N/A:explicit</v>
      </c>
      <c s="861" r="EP107">
        <f>IF(ISNUMBER(EO107),EO107,(EI$46+1000))</f>
        <v>1000</v>
      </c>
      <c t="str" s="588" r="EQ107">
        <f>IF((EL107=TRUE),NA(),IF((EQ$44=(EI$46-MAX(EJ$46:EJ$146))),NA(),EQ$44))</f>
        <v>#N/A:explicit</v>
      </c>
      <c s="588" r="ER107">
        <f>IF((ISNA(((EO107*EN107)*EO106))),0,(IF((EN107&lt;EN106),-1,1)*(IF((EL106=FALSE),IF((EL107=FALSE),IF(ISNA(EO107),0,IF((EO106&lt;EQ$44),IF((EO107&lt;EQ$44),(((EN107-EN106)^2)^0.5),(((((EQ$44-EO106)*(EN107-EN106))/(EO107-EO106))^2)^0.5)),IF((EO107&lt;EQ$44),(((((EQ$44-EO107)*(EN107-EN106))/(EO106-EO107))^2)^0.5),0))),0),0))))</f>
        <v>0</v>
      </c>
      <c s="588" r="ES107">
        <f>IF(ISNA((EO107*EO106)),0,IF((EL106=FALSE),IF((EL107=FALSE),IF(ISNA(EK107),0,IF((EO106&lt;EQ$44),IF((EO107&lt;EQ$44),((EQ$44-((EO106+EO107)*0.5))*ER107),(((EQ$44-EO106)*0.5)*ER107)),IF((EO107&lt;EQ$44),(((EQ$44-EO107)*0.5)*ER107),0))),0),0))</f>
        <v>0</v>
      </c>
      <c s="588" r="ET107">
        <f>IF(ISNA((EO107*EO106)),0,IF((EL106=FALSE),IF((EL107=FALSE),IF(ISNA(EO107),0,IF((EO106&lt;EQ$44),IF((EO107&lt;EQ$44),(((ER107^2)+((EO107-EO106)^2))^0.5),(((ER107^2)+((EQ$44-EO106)^2))^0.5)),IF((EO107&lt;EQ$44),(((ER107^2)+((EQ$44-EO107)^2))^0.5),0))),0),0))</f>
        <v>0</v>
      </c>
      <c s="588" r="EU107">
        <f>IF(ISNUMBER((EO107*EO106)),IF((EO106&gt;=EA$148),IF((EO107&lt;EA$148),1,0),IF((EO107&gt;=EA$148),IF((EO106&lt;EA$148),1,0),0)),0)</f>
        <v>0</v>
      </c>
      <c s="588" r="EV107">
        <f>IF(ISNA((EO107*EO106)),0,(IF((EN107&lt;EN106),-1,1)*(IF(ISNA(EO107),0,IF((EO106&lt;EA$148),IF((EO107&lt;EA$148),(((EN107-EN106)^2)^0.5),(((((EA$148-EO106)*(EN107-EN106))/(EO107-EO106))^2)^0.5)),IF((EO107&lt;EA$148),(((((EA$148-EO107)*(EN107-EN106))/(EO106-EO107))^2)^0.5),0))))))</f>
        <v>0</v>
      </c>
      <c s="441" r="EW107">
        <f>IF((ES107&gt;0),(MAX(EW$47:EW106)+1),0)</f>
        <v>0</v>
      </c>
      <c s="388" r="EX107"/>
      <c s="406" r="EY107"/>
      <c s="886" r="EZ107"/>
      <c s="886" r="FA107"/>
      <c s="886" r="FB107"/>
      <c s="886" r="FC107"/>
      <c s="418" r="FD107"/>
      <c s="550" r="FE107"/>
      <c s="550" r="FF107"/>
      <c t="str" s="620" r="FG107">
        <f>IF((COUNT(FF107:FF$146,FH107:FH$146)=0),NA(),IF(ISBLANK(FF107),FG106,(FG106+(FF107-FH106))))</f>
        <v>#N/A:explicit</v>
      </c>
      <c s="550" r="FH107"/>
      <c t="str" s="620" r="FI107">
        <f>IF(OR(ISBLANK(FH107),ISNUMBER(FF108)),NA(),(FG107-FH107))</f>
        <v>#N/A:explicit</v>
      </c>
      <c t="b" s="895" r="FJ107">
        <v>0</v>
      </c>
      <c s="631" r="FK107"/>
      <c t="str" s="309" r="FL107">
        <f>IF((COUNT(FE107:FE$146)=0),NA(),IF(ISBLANK(FE107),IF(ISBLANK(FE106),MAX(FE$46:FE107),FE106),FE107))</f>
        <v>#N/A:explicit</v>
      </c>
      <c t="str" s="861" r="FM107">
        <f>IF(ISNA(FI107),IF(ISNUMBER(FL107),FM106,NA()),FI107)</f>
        <v>#N/A:explicit</v>
      </c>
      <c s="861" r="FN107">
        <f>IF(ISNUMBER(FM107),FM107,(FG$46+1000))</f>
        <v>1000</v>
      </c>
      <c t="str" s="588" r="FO107">
        <f>IF((FJ107=TRUE),NA(),IF((FO$44=(FG$46-MAX(FH$46:FH$146))),NA(),FO$44))</f>
        <v>#N/A:explicit</v>
      </c>
      <c s="588" r="FP107">
        <f>IF((ISNA(((FM107*FL107)*FM106))),0,(IF((FL107&lt;FL106),-1,1)*(IF((FJ106=FALSE),IF((FJ107=FALSE),IF(ISNA(FM107),0,IF((FM106&lt;FO$44),IF((FM107&lt;FO$44),(((FL107-FL106)^2)^0.5),(((((FO$44-FM106)*(FL107-FL106))/(FM107-FM106))^2)^0.5)),IF((FM107&lt;FO$44),(((((FO$44-FM107)*(FL107-FL106))/(FM106-FM107))^2)^0.5),0))),0),0))))</f>
        <v>0</v>
      </c>
      <c s="588" r="FQ107">
        <f>IF(ISNA((FM107*FM106)),0,IF((FJ106=FALSE),IF((FJ107=FALSE),IF(ISNA(FI107),0,IF((FM106&lt;FO$44),IF((FM107&lt;FO$44),((FO$44-((FM106+FM107)*0.5))*FP107),(((FO$44-FM106)*0.5)*FP107)),IF((FM107&lt;FO$44),(((FO$44-FM107)*0.5)*FP107),0))),0),0))</f>
        <v>0</v>
      </c>
      <c s="588" r="FR107">
        <f>IF(ISNA((FM107*FM106)),0,IF((FJ106=FALSE),IF((FJ107=FALSE),IF(ISNA(FM107),0,IF((FM106&lt;FO$44),IF((FM107&lt;FO$44),(((FP107^2)+((FM107-FM106)^2))^0.5),(((FP107^2)+((FO$44-FM106)^2))^0.5)),IF((FM107&lt;FO$44),(((FP107^2)+((FO$44-FM107)^2))^0.5),0))),0),0))</f>
        <v>0</v>
      </c>
      <c s="588" r="FS107">
        <f>IF(ISNUMBER((FM107*FM106)),IF((FM106&gt;=EY$148),IF((FM107&lt;EY$148),1,0),IF((FM107&gt;=EY$148),IF((FM106&lt;EY$148),1,0),0)),0)</f>
        <v>0</v>
      </c>
      <c s="588" r="FT107">
        <f>IF(ISNA((FM107*FM106)),0,(IF((FL107&lt;FL106),-1,1)*(IF(ISNA(FM107),0,IF((FM106&lt;EY$148),IF((FM107&lt;EY$148),(((FL107-FL106)^2)^0.5),(((((EY$148-FM106)*(FL107-FL106))/(FM107-FM106))^2)^0.5)),IF((FM107&lt;EY$148),(((((EY$148-FM107)*(FL107-FL106))/(FM106-FM107))^2)^0.5),0))))))</f>
        <v>0</v>
      </c>
      <c s="441" r="FU107">
        <f>IF((FQ107&gt;0),(MAX(FU$47:FU106)+1),0)</f>
        <v>0</v>
      </c>
      <c s="222" r="FV107"/>
      <c s="125" r="FW107"/>
      <c s="125" r="FX107"/>
      <c s="125" r="FY107"/>
      <c s="125" r="FZ107"/>
      <c s="125" r="GA107"/>
      <c s="125" r="GB107"/>
      <c s="125" r="GC107"/>
      <c s="125" r="GD107"/>
      <c s="125" r="GE107"/>
      <c s="125" r="GF107"/>
      <c s="125" r="GG107"/>
      <c s="125" r="GH107"/>
      <c s="125" r="GI107"/>
      <c s="125" r="GJ107"/>
      <c s="125" r="GK107"/>
      <c s="125" r="GL107"/>
      <c s="125" r="GM107"/>
      <c s="125" r="GN107"/>
      <c s="125" r="GO107"/>
      <c s="125" r="GP107"/>
      <c s="125" r="GQ107"/>
      <c s="125" r="GR107"/>
      <c s="125" r="GS107"/>
      <c s="125" r="GT107"/>
      <c s="125" r="GU107"/>
      <c s="125" r="GV107"/>
      <c s="125" r="GW107"/>
      <c s="125" r="GX107"/>
      <c s="125" r="GY107"/>
      <c s="125" r="GZ107"/>
      <c s="125" r="HA107"/>
      <c s="125" r="HB107"/>
    </row>
    <row r="108">
      <c s="822" r="A108"/>
      <c s="178" r="B108"/>
      <c s="640" r="C108"/>
      <c s="640" r="D108"/>
      <c t="str" s="727" r="E108">
        <f>"discharge rate "&amp;IF((H4=2),"(cms)","(cfs)")</f>
        <v>discharge rate (cfs)</v>
      </c>
      <c t="str" s="126" r="F108">
        <f>IF(ISBLANK(E26),E27,E26)</f>
        <v>#VALUE!:cantParseText:---</v>
      </c>
      <c t="str" s="245" r="G108">
        <f>IF(AND(ISTEXT('Dimension Estimated Values'!S6),ISTEXT('Dimension Estimated Values'!S7)),"---",(((("("&amp;ROUND('Dimension Estimated Values'!S6,0))&amp;"-")&amp;ROUND('Dimension Estimated Values'!S7,0))&amp;")"))</f>
        <v>---</v>
      </c>
      <c s="419" r="H108"/>
      <c s="51" r="I108"/>
      <c s="822" r="J108"/>
      <c s="406" r="K108"/>
      <c s="886" r="L108"/>
      <c s="886" r="M108"/>
      <c s="886" r="N108"/>
      <c s="886" r="O108"/>
      <c s="418" r="P108"/>
      <c s="550" r="Q108"/>
      <c s="550" r="R108"/>
      <c t="str" s="620" r="S108">
        <f>IF((COUNT(R108:R$146,T108:T$146)=0),NA(),IF(ISBLANK(R108),S107,(S107+(R108-T107))))</f>
        <v>#N/A:explicit</v>
      </c>
      <c s="550" r="T108"/>
      <c t="str" s="620" r="U108">
        <f>IF(OR(ISBLANK(T108),ISNUMBER(R109)),NA(),(S108-T108))</f>
        <v>#N/A:explicit</v>
      </c>
      <c t="b" s="895" r="V108">
        <v>0</v>
      </c>
      <c s="631" r="W108"/>
      <c t="str" s="309" r="X108">
        <f>IF((COUNT(Q108:Q$146)=0),NA(),IF(ISBLANK(Q108),IF(ISBLANK(Q107),MAX(Q$46:Q108),Q107),Q108))</f>
        <v>#N/A:explicit</v>
      </c>
      <c t="str" s="861" r="Y108">
        <f>IF(ISNA(U108),IF(ISNUMBER(X108),Y107,NA()),U108)</f>
        <v>#N/A:explicit</v>
      </c>
      <c s="861" r="Z108">
        <f>IF(ISNUMBER(Y108),Y108,(S$46+1000))</f>
        <v>1000</v>
      </c>
      <c t="str" s="588" r="AA108">
        <f>IF((V108=TRUE),NA(),IF((AA$44=(S$46-MAX(T$46:T$146))),NA(),AA$44))</f>
        <v>#N/A:explicit</v>
      </c>
      <c s="588" r="AB108">
        <f>IF((ISNA(((Y108*X108)*Y107))),0,(IF((X108&lt;X107),-1,1)*(IF((V107=FALSE),IF((V108=FALSE),IF(ISNA(Y108),0,IF((Y107&lt;AA$44),IF((Y108&lt;AA$44),(((X108-X107)^2)^0.5),(((((AA$44-Y107)*(X108-X107))/(Y108-Y107))^2)^0.5)),IF((Y108&lt;AA$44),(((((AA$44-Y108)*(X108-X107))/(Y107-Y108))^2)^0.5),0))),0),0))))</f>
        <v>0</v>
      </c>
      <c s="588" r="AC108">
        <f>IF(ISNA((Y108*Y107)),0,IF((V107=FALSE),IF((V108=FALSE),IF(ISNA(U108),0,IF((Y107&lt;AA$44),IF((Y108&lt;AA$44),((AA$44-((Y107+Y108)*0.5))*AB108),(((AA$44-Y107)*0.5)*AB108)),IF((Y108&lt;AA$44),(((AA$44-Y108)*0.5)*AB108),0))),0),0))</f>
        <v>0</v>
      </c>
      <c s="588" r="AD108">
        <f>IF(ISNA((Y108*Y107)),0,IF((V107=FALSE),IF((V108=FALSE),IF(ISNA(Y108),0,IF((Y107&lt;AA$44),IF((Y108&lt;AA$44),(((AB108^2)+((Y108-Y107)^2))^0.5),(((AB108^2)+((AA$44-Y107)^2))^0.5)),IF((Y108&lt;AA$44),(((AB108^2)+((AA$44-Y108)^2))^0.5),0))),0),0))</f>
        <v>0</v>
      </c>
      <c s="588" r="AE108">
        <f>IF(ISNUMBER((Y108*Y107)),IF((Y107&gt;=K$148),IF((Y108&lt;K$148),1,0),IF((Y108&gt;=K$148),IF((Y107&lt;K$148),1,0),0)),0)</f>
        <v>0</v>
      </c>
      <c s="588" r="AF108">
        <f>IF(ISNA((Y108*Y107)),0,(IF((X108&lt;X107),-1,1)*(IF(ISNA(Y108),0,IF((Y107&lt;K$148),IF((Y108&lt;K$148),(((X108-X107)^2)^0.5),(((((K$148-Y107)*(X108-X107))/(Y108-Y107))^2)^0.5)),IF((Y108&lt;K$148),(((((K$148-Y108)*(X108-X107))/(Y107-Y108))^2)^0.5),0))))))</f>
        <v>0</v>
      </c>
      <c s="441" r="AG108">
        <f>IF((AC108&gt;0),(MAX(AG$47:AG107)+1),0)</f>
        <v>0</v>
      </c>
      <c s="388" r="AH108"/>
      <c s="406" r="AI108"/>
      <c s="886" r="AJ108"/>
      <c s="886" r="AK108"/>
      <c s="886" r="AL108"/>
      <c s="886" r="AM108"/>
      <c s="418" r="AN108"/>
      <c s="550" r="AO108"/>
      <c s="550" r="AP108"/>
      <c t="str" s="620" r="AQ108">
        <f>IF((COUNT(AP108:AP$146,AR108:AR$146)=0),NA(),IF(ISBLANK(AP108),AQ107,(AQ107+(AP108-AR107))))</f>
        <v>#N/A:explicit</v>
      </c>
      <c s="550" r="AR108"/>
      <c t="str" s="620" r="AS108">
        <f>IF(OR(ISBLANK(AR108),ISNUMBER(AP109)),NA(),(AQ108-AR108))</f>
        <v>#N/A:explicit</v>
      </c>
      <c t="b" s="895" r="AT108">
        <v>0</v>
      </c>
      <c s="631" r="AU108"/>
      <c t="str" s="309" r="AV108">
        <f>IF((COUNT(AO108:AO$146)=0),NA(),IF(ISBLANK(AO108),IF(ISBLANK(AO107),MAX(AO$46:AO108),AO107),AO108))</f>
        <v>#N/A:explicit</v>
      </c>
      <c t="str" s="861" r="AW108">
        <f>IF(ISNA(AS108),IF(ISNUMBER(AV108),AW107,NA()),AS108)</f>
        <v>#N/A:explicit</v>
      </c>
      <c s="861" r="AX108">
        <f>IF(ISNUMBER(AW108),AW108,(AQ$46+1000))</f>
        <v>1000</v>
      </c>
      <c t="str" s="588" r="AY108">
        <f>IF((AT108=TRUE),NA(),IF((AY$44=(AQ$46-MAX(AR$46:AR$146))),NA(),AY$44))</f>
        <v>#N/A:explicit</v>
      </c>
      <c s="588" r="AZ108">
        <f>IF((ISNA(((AW108*AV108)*AW107))),0,(IF((AV108&lt;AV107),-1,1)*(IF((AT107=FALSE),IF((AT108=FALSE),IF(ISNA(AW108),0,IF((AW107&lt;AY$44),IF((AW108&lt;AY$44),(((AV108-AV107)^2)^0.5),(((((AY$44-AW107)*(AV108-AV107))/(AW108-AW107))^2)^0.5)),IF((AW108&lt;AY$44),(((((AY$44-AW108)*(AV108-AV107))/(AW107-AW108))^2)^0.5),0))),0),0))))</f>
        <v>0</v>
      </c>
      <c s="588" r="BA108">
        <f>IF(ISNA((AW108*AW107)),0,IF((AT107=FALSE),IF((AT108=FALSE),IF(ISNA(AS108),0,IF((AW107&lt;AY$44),IF((AW108&lt;AY$44),((AY$44-((AW107+AW108)*0.5))*AZ108),(((AY$44-AW107)*0.5)*AZ108)),IF((AW108&lt;AY$44),(((AY$44-AW108)*0.5)*AZ108),0))),0),0))</f>
        <v>0</v>
      </c>
      <c s="588" r="BB108">
        <f>IF(ISNA((AW108*AW107)),0,IF((AT107=FALSE),IF((AT108=FALSE),IF(ISNA(AW108),0,IF((AW107&lt;AY$44),IF((AW108&lt;AY$44),(((AZ108^2)+((AW108-AW107)^2))^0.5),(((AZ108^2)+((AY$44-AW107)^2))^0.5)),IF((AW108&lt;AY$44),(((AZ108^2)+((AY$44-AW108)^2))^0.5),0))),0),0))</f>
        <v>0</v>
      </c>
      <c s="588" r="BC108">
        <f>IF(ISNUMBER((AW108*AW107)),IF((AW107&gt;=AI$148),IF((AW108&lt;AI$148),1,0),IF((AW108&gt;=AI$148),IF((AW107&lt;AI$148),1,0),0)),0)</f>
        <v>0</v>
      </c>
      <c s="588" r="BD108">
        <f>IF(ISNA((AW108*AW107)),0,(IF((AV108&lt;AV107),-1,1)*(IF(ISNA(AW108),0,IF((AW107&lt;AI$148),IF((AW108&lt;AI$148),(((AV108-AV107)^2)^0.5),(((((AI$148-AW107)*(AV108-AV107))/(AW108-AW107))^2)^0.5)),IF((AW108&lt;AI$148),(((((AI$148-AW108)*(AV108-AV107))/(AW107-AW108))^2)^0.5),0))))))</f>
        <v>0</v>
      </c>
      <c s="441" r="BE108">
        <f>IF((BA108&gt;0),(MAX(BE$47:BE107)+1),0)</f>
        <v>0</v>
      </c>
      <c s="388" r="BF108"/>
      <c s="406" r="BG108"/>
      <c s="886" r="BH108"/>
      <c s="886" r="BI108"/>
      <c s="886" r="BJ108"/>
      <c s="886" r="BK108"/>
      <c s="418" r="BL108"/>
      <c s="550" r="BM108"/>
      <c s="550" r="BN108"/>
      <c t="str" s="620" r="BO108">
        <f>IF((COUNT(BN108:BN$146,BP108:BP$146)=0),NA(),IF(ISBLANK(BN108),BO107,(BO107+(BN108-BP107))))</f>
        <v>#N/A:explicit</v>
      </c>
      <c s="550" r="BP108"/>
      <c t="str" s="620" r="BQ108">
        <f>IF(OR(ISBLANK(BP108),ISNUMBER(BN109)),NA(),(BO108-BP108))</f>
        <v>#N/A:explicit</v>
      </c>
      <c t="b" s="895" r="BR108">
        <v>0</v>
      </c>
      <c s="631" r="BS108"/>
      <c t="str" s="309" r="BT108">
        <f>IF((COUNT(BM108:BM$146)=0),NA(),IF(ISBLANK(BM108),IF(ISBLANK(BM107),MAX(BM$46:BM108),BM107),BM108))</f>
        <v>#N/A:explicit</v>
      </c>
      <c t="str" s="861" r="BU108">
        <f>IF(ISNA(BQ108),IF(ISNUMBER(BT108),BU107,NA()),BQ108)</f>
        <v>#N/A:explicit</v>
      </c>
      <c s="861" r="BV108">
        <f>IF(ISNUMBER(BU108),BU108,(BO$46+1000))</f>
        <v>1000</v>
      </c>
      <c t="str" s="588" r="BW108">
        <f>IF((BR108=TRUE),NA(),IF((BW$44=(BO$46-MAX(BP$46:BP$146))),NA(),BW$44))</f>
        <v>#N/A:explicit</v>
      </c>
      <c s="588" r="BX108">
        <f>IF((ISNA(((BU108*BT108)*BU107))),0,(IF((BT108&lt;BT107),-1,1)*(IF((BR107=FALSE),IF((BR108=FALSE),IF(ISNA(BU108),0,IF((BU107&lt;BW$44),IF((BU108&lt;BW$44),(((BT108-BT107)^2)^0.5),(((((BW$44-BU107)*(BT108-BT107))/(BU108-BU107))^2)^0.5)),IF((BU108&lt;BW$44),(((((BW$44-BU108)*(BT108-BT107))/(BU107-BU108))^2)^0.5),0))),0),0))))</f>
        <v>0</v>
      </c>
      <c s="588" r="BY108">
        <f>IF(ISNA((BU108*BU107)),0,IF((BR107=FALSE),IF((BR108=FALSE),IF(ISNA(BQ108),0,IF((BU107&lt;BW$44),IF((BU108&lt;BW$44),((BW$44-((BU107+BU108)*0.5))*BX108),(((BW$44-BU107)*0.5)*BX108)),IF((BU108&lt;BW$44),(((BW$44-BU108)*0.5)*BX108),0))),0),0))</f>
        <v>0</v>
      </c>
      <c s="588" r="BZ108">
        <f>IF(ISNA((BU108*BU107)),0,IF((BR107=FALSE),IF((BR108=FALSE),IF(ISNA(BU108),0,IF((BU107&lt;BW$44),IF((BU108&lt;BW$44),(((BX108^2)+((BU108-BU107)^2))^0.5),(((BX108^2)+((BW$44-BU107)^2))^0.5)),IF((BU108&lt;BW$44),(((BX108^2)+((BW$44-BU108)^2))^0.5),0))),0),0))</f>
        <v>0</v>
      </c>
      <c s="588" r="CA108">
        <f>IF(ISNUMBER((BU108*BU107)),IF((BU107&gt;=BG$148),IF((BU108&lt;BG$148),1,0),IF((BU108&gt;=BG$148),IF((BU107&lt;BG$148),1,0),0)),0)</f>
        <v>0</v>
      </c>
      <c s="588" r="CB108">
        <f>IF(ISNA((BU108*BU107)),0,(IF((BT108&lt;BT107),-1,1)*(IF(ISNA(BU108),0,IF((BU107&lt;BG$148),IF((BU108&lt;BG$148),(((BT108-BT107)^2)^0.5),(((((BG$148-BU107)*(BT108-BT107))/(BU108-BU107))^2)^0.5)),IF((BU108&lt;BG$148),(((((BG$148-BU108)*(BT108-BT107))/(BU107-BU108))^2)^0.5),0))))))</f>
        <v>0</v>
      </c>
      <c s="441" r="CC108">
        <f>IF((BY108&gt;0),(MAX(CC$47:CC107)+1),0)</f>
        <v>0</v>
      </c>
      <c s="388" r="CD108"/>
      <c s="406" r="CE108"/>
      <c s="886" r="CF108"/>
      <c s="886" r="CG108"/>
      <c s="886" r="CH108"/>
      <c s="886" r="CI108"/>
      <c s="418" r="CJ108"/>
      <c s="550" r="CK108"/>
      <c s="550" r="CL108"/>
      <c t="str" s="620" r="CM108">
        <f>IF((COUNT(CL108:CL$146,CN108:CN$146)=0),NA(),IF(ISBLANK(CL108),CM107,(CM107+(CL108-CN107))))</f>
        <v>#N/A:explicit</v>
      </c>
      <c s="550" r="CN108"/>
      <c t="str" s="620" r="CO108">
        <f>IF(OR(ISBLANK(CN108),ISNUMBER(CL109)),NA(),(CM108-CN108))</f>
        <v>#N/A:explicit</v>
      </c>
      <c t="b" s="895" r="CP108">
        <v>0</v>
      </c>
      <c s="631" r="CQ108"/>
      <c t="str" s="309" r="CR108">
        <f>IF((COUNT(CK108:CK$146)=0),NA(),IF(ISBLANK(CK108),IF(ISBLANK(CK107),MAX(CK$46:CK108),CK107),CK108))</f>
        <v>#N/A:explicit</v>
      </c>
      <c t="str" s="861" r="CS108">
        <f>IF(ISNA(CO108),IF(ISNUMBER(CR108),CS107,NA()),CO108)</f>
        <v>#N/A:explicit</v>
      </c>
      <c s="861" r="CT108">
        <f>IF(ISNUMBER(CS108),CS108,(CM$46+1000))</f>
        <v>1000</v>
      </c>
      <c t="str" s="588" r="CU108">
        <f>IF((CP108=TRUE),NA(),IF((CU$44=(CM$46-MAX(CN$46:CN$146))),NA(),CU$44))</f>
        <v>#N/A:explicit</v>
      </c>
      <c s="588" r="CV108">
        <f>IF((ISNA(((CS108*CR108)*CS107))),0,(IF((CR108&lt;CR107),-1,1)*(IF((CP107=FALSE),IF((CP108=FALSE),IF(ISNA(CS108),0,IF((CS107&lt;CU$44),IF((CS108&lt;CU$44),(((CR108-CR107)^2)^0.5),(((((CU$44-CS107)*(CR108-CR107))/(CS108-CS107))^2)^0.5)),IF((CS108&lt;CU$44),(((((CU$44-CS108)*(CR108-CR107))/(CS107-CS108))^2)^0.5),0))),0),0))))</f>
        <v>0</v>
      </c>
      <c s="588" r="CW108">
        <f>IF(ISNA((CS108*CS107)),0,IF((CP107=FALSE),IF((CP108=FALSE),IF(ISNA(CO108),0,IF((CS107&lt;CU$44),IF((CS108&lt;CU$44),((CU$44-((CS107+CS108)*0.5))*CV108),(((CU$44-CS107)*0.5)*CV108)),IF((CS108&lt;CU$44),(((CU$44-CS108)*0.5)*CV108),0))),0),0))</f>
        <v>0</v>
      </c>
      <c s="588" r="CX108">
        <f>IF(ISNA((CS108*CS107)),0,IF((CP107=FALSE),IF((CP108=FALSE),IF(ISNA(CS108),0,IF((CS107&lt;CU$44),IF((CS108&lt;CU$44),(((CV108^2)+((CS108-CS107)^2))^0.5),(((CV108^2)+((CU$44-CS107)^2))^0.5)),IF((CS108&lt;CU$44),(((CV108^2)+((CU$44-CS108)^2))^0.5),0))),0),0))</f>
        <v>0</v>
      </c>
      <c s="588" r="CY108">
        <f>IF(ISNUMBER((CS108*CS107)),IF((CS107&gt;=CE$148),IF((CS108&lt;CE$148),1,0),IF((CS108&gt;=CE$148),IF((CS107&lt;CE$148),1,0),0)),0)</f>
        <v>0</v>
      </c>
      <c s="588" r="CZ108">
        <f>IF(ISNA((CS108*CS107)),0,(IF((CR108&lt;CR107),-1,1)*(IF(ISNA(CS108),0,IF((CS107&lt;CE$148),IF((CS108&lt;CE$148),(((CR108-CR107)^2)^0.5),(((((CE$148-CS107)*(CR108-CR107))/(CS108-CS107))^2)^0.5)),IF((CS108&lt;CE$148),(((((CE$148-CS108)*(CR108-CR107))/(CS107-CS108))^2)^0.5),0))))))</f>
        <v>0</v>
      </c>
      <c s="441" r="DA108">
        <f>IF((CW108&gt;0),(MAX(DA$47:DA107)+1),0)</f>
        <v>0</v>
      </c>
      <c s="388" r="DB108"/>
      <c s="406" r="DC108"/>
      <c s="886" r="DD108"/>
      <c s="886" r="DE108"/>
      <c s="886" r="DF108"/>
      <c s="886" r="DG108"/>
      <c s="418" r="DH108"/>
      <c s="550" r="DI108"/>
      <c s="550" r="DJ108"/>
      <c t="str" s="620" r="DK108">
        <f>IF((COUNT(DJ108:DJ$146,DL108:DL$146)=0),NA(),IF(ISBLANK(DJ108),DK107,(DK107+(DJ108-DL107))))</f>
        <v>#N/A:explicit</v>
      </c>
      <c s="550" r="DL108"/>
      <c t="str" s="620" r="DM108">
        <f>IF(OR(ISBLANK(DL108),ISNUMBER(DJ109)),NA(),(DK108-DL108))</f>
        <v>#N/A:explicit</v>
      </c>
      <c t="b" s="895" r="DN108">
        <v>0</v>
      </c>
      <c s="631" r="DO108"/>
      <c t="str" s="309" r="DP108">
        <f>IF((COUNT(DI108:DI$146)=0),NA(),IF(ISBLANK(DI108),IF(ISBLANK(DI107),MAX(DI$46:DI108),DI107),DI108))</f>
        <v>#N/A:explicit</v>
      </c>
      <c t="str" s="861" r="DQ108">
        <f>IF(ISNA(DM108),IF(ISNUMBER(DP108),DQ107,NA()),DM108)</f>
        <v>#N/A:explicit</v>
      </c>
      <c s="861" r="DR108">
        <f>IF(ISNUMBER(DQ108),DQ108,(DK$46+1000))</f>
        <v>1000</v>
      </c>
      <c t="str" s="588" r="DS108">
        <f>IF((DN108=TRUE),NA(),IF((DS$44=(DK$46-MAX(DL$46:DL$146))),NA(),DS$44))</f>
        <v>#N/A:explicit</v>
      </c>
      <c s="588" r="DT108">
        <f>IF((ISNA(((DQ108*DP108)*DQ107))),0,(IF((DP108&lt;DP107),-1,1)*(IF((DN107=FALSE),IF((DN108=FALSE),IF(ISNA(DQ108),0,IF((DQ107&lt;DS$44),IF((DQ108&lt;DS$44),(((DP108-DP107)^2)^0.5),(((((DS$44-DQ107)*(DP108-DP107))/(DQ108-DQ107))^2)^0.5)),IF((DQ108&lt;DS$44),(((((DS$44-DQ108)*(DP108-DP107))/(DQ107-DQ108))^2)^0.5),0))),0),0))))</f>
        <v>0</v>
      </c>
      <c s="588" r="DU108">
        <f>IF(ISNA((DQ108*DQ107)),0,IF((DN107=FALSE),IF((DN108=FALSE),IF(ISNA(DM108),0,IF((DQ107&lt;DS$44),IF((DQ108&lt;DS$44),((DS$44-((DQ107+DQ108)*0.5))*DT108),(((DS$44-DQ107)*0.5)*DT108)),IF((DQ108&lt;DS$44),(((DS$44-DQ108)*0.5)*DT108),0))),0),0))</f>
        <v>0</v>
      </c>
      <c s="588" r="DV108">
        <f>IF(ISNA((DQ108*DQ107)),0,IF((DN107=FALSE),IF((DN108=FALSE),IF(ISNA(DQ108),0,IF((DQ107&lt;DS$44),IF((DQ108&lt;DS$44),(((DT108^2)+((DQ108-DQ107)^2))^0.5),(((DT108^2)+((DS$44-DQ107)^2))^0.5)),IF((DQ108&lt;DS$44),(((DT108^2)+((DS$44-DQ108)^2))^0.5),0))),0),0))</f>
        <v>0</v>
      </c>
      <c s="588" r="DW108">
        <f>IF(ISNUMBER((DQ108*DQ107)),IF((DQ107&gt;=DC$148),IF((DQ108&lt;DC$148),1,0),IF((DQ108&gt;=DC$148),IF((DQ107&lt;DC$148),1,0),0)),0)</f>
        <v>0</v>
      </c>
      <c s="588" r="DX108">
        <f>IF(ISNA((DQ108*DQ107)),0,(IF((DP108&lt;DP107),-1,1)*(IF(ISNA(DQ108),0,IF((DQ107&lt;DC$148),IF((DQ108&lt;DC$148),(((DP108-DP107)^2)^0.5),(((((DC$148-DQ107)*(DP108-DP107))/(DQ108-DQ107))^2)^0.5)),IF((DQ108&lt;DC$148),(((((DC$148-DQ108)*(DP108-DP107))/(DQ107-DQ108))^2)^0.5),0))))))</f>
        <v>0</v>
      </c>
      <c s="441" r="DY108">
        <f>IF((DU108&gt;0),(MAX(DY$47:DY107)+1),0)</f>
        <v>0</v>
      </c>
      <c s="388" r="DZ108"/>
      <c s="406" r="EA108"/>
      <c s="886" r="EB108"/>
      <c s="886" r="EC108"/>
      <c s="886" r="ED108"/>
      <c s="886" r="EE108"/>
      <c s="418" r="EF108"/>
      <c s="550" r="EG108"/>
      <c s="550" r="EH108"/>
      <c t="str" s="620" r="EI108">
        <f>IF((COUNT(EH108:EH$146,EJ108:EJ$146)=0),NA(),IF(ISBLANK(EH108),EI107,(EI107+(EH108-EJ107))))</f>
        <v>#N/A:explicit</v>
      </c>
      <c s="550" r="EJ108"/>
      <c t="str" s="620" r="EK108">
        <f>IF(OR(ISBLANK(EJ108),ISNUMBER(EH109)),NA(),(EI108-EJ108))</f>
        <v>#N/A:explicit</v>
      </c>
      <c t="b" s="895" r="EL108">
        <v>0</v>
      </c>
      <c s="631" r="EM108"/>
      <c t="str" s="309" r="EN108">
        <f>IF((COUNT(EG108:EG$146)=0),NA(),IF(ISBLANK(EG108),IF(ISBLANK(EG107),MAX(EG$46:EG108),EG107),EG108))</f>
        <v>#N/A:explicit</v>
      </c>
      <c t="str" s="861" r="EO108">
        <f>IF(ISNA(EK108),IF(ISNUMBER(EN108),EO107,NA()),EK108)</f>
        <v>#N/A:explicit</v>
      </c>
      <c s="861" r="EP108">
        <f>IF(ISNUMBER(EO108),EO108,(EI$46+1000))</f>
        <v>1000</v>
      </c>
      <c t="str" s="588" r="EQ108">
        <f>IF((EL108=TRUE),NA(),IF((EQ$44=(EI$46-MAX(EJ$46:EJ$146))),NA(),EQ$44))</f>
        <v>#N/A:explicit</v>
      </c>
      <c s="588" r="ER108">
        <f>IF((ISNA(((EO108*EN108)*EO107))),0,(IF((EN108&lt;EN107),-1,1)*(IF((EL107=FALSE),IF((EL108=FALSE),IF(ISNA(EO108),0,IF((EO107&lt;EQ$44),IF((EO108&lt;EQ$44),(((EN108-EN107)^2)^0.5),(((((EQ$44-EO107)*(EN108-EN107))/(EO108-EO107))^2)^0.5)),IF((EO108&lt;EQ$44),(((((EQ$44-EO108)*(EN108-EN107))/(EO107-EO108))^2)^0.5),0))),0),0))))</f>
        <v>0</v>
      </c>
      <c s="588" r="ES108">
        <f>IF(ISNA((EO108*EO107)),0,IF((EL107=FALSE),IF((EL108=FALSE),IF(ISNA(EK108),0,IF((EO107&lt;EQ$44),IF((EO108&lt;EQ$44),((EQ$44-((EO107+EO108)*0.5))*ER108),(((EQ$44-EO107)*0.5)*ER108)),IF((EO108&lt;EQ$44),(((EQ$44-EO108)*0.5)*ER108),0))),0),0))</f>
        <v>0</v>
      </c>
      <c s="588" r="ET108">
        <f>IF(ISNA((EO108*EO107)),0,IF((EL107=FALSE),IF((EL108=FALSE),IF(ISNA(EO108),0,IF((EO107&lt;EQ$44),IF((EO108&lt;EQ$44),(((ER108^2)+((EO108-EO107)^2))^0.5),(((ER108^2)+((EQ$44-EO107)^2))^0.5)),IF((EO108&lt;EQ$44),(((ER108^2)+((EQ$44-EO108)^2))^0.5),0))),0),0))</f>
        <v>0</v>
      </c>
      <c s="588" r="EU108">
        <f>IF(ISNUMBER((EO108*EO107)),IF((EO107&gt;=EA$148),IF((EO108&lt;EA$148),1,0),IF((EO108&gt;=EA$148),IF((EO107&lt;EA$148),1,0),0)),0)</f>
        <v>0</v>
      </c>
      <c s="588" r="EV108">
        <f>IF(ISNA((EO108*EO107)),0,(IF((EN108&lt;EN107),-1,1)*(IF(ISNA(EO108),0,IF((EO107&lt;EA$148),IF((EO108&lt;EA$148),(((EN108-EN107)^2)^0.5),(((((EA$148-EO107)*(EN108-EN107))/(EO108-EO107))^2)^0.5)),IF((EO108&lt;EA$148),(((((EA$148-EO108)*(EN108-EN107))/(EO107-EO108))^2)^0.5),0))))))</f>
        <v>0</v>
      </c>
      <c s="441" r="EW108">
        <f>IF((ES108&gt;0),(MAX(EW$47:EW107)+1),0)</f>
        <v>0</v>
      </c>
      <c s="388" r="EX108"/>
      <c s="406" r="EY108"/>
      <c s="886" r="EZ108"/>
      <c s="886" r="FA108"/>
      <c s="886" r="FB108"/>
      <c s="886" r="FC108"/>
      <c s="418" r="FD108"/>
      <c s="550" r="FE108"/>
      <c s="550" r="FF108"/>
      <c t="str" s="620" r="FG108">
        <f>IF((COUNT(FF108:FF$146,FH108:FH$146)=0),NA(),IF(ISBLANK(FF108),FG107,(FG107+(FF108-FH107))))</f>
        <v>#N/A:explicit</v>
      </c>
      <c s="550" r="FH108"/>
      <c t="str" s="620" r="FI108">
        <f>IF(OR(ISBLANK(FH108),ISNUMBER(FF109)),NA(),(FG108-FH108))</f>
        <v>#N/A:explicit</v>
      </c>
      <c t="b" s="895" r="FJ108">
        <v>0</v>
      </c>
      <c s="631" r="FK108"/>
      <c t="str" s="309" r="FL108">
        <f>IF((COUNT(FE108:FE$146)=0),NA(),IF(ISBLANK(FE108),IF(ISBLANK(FE107),MAX(FE$46:FE108),FE107),FE108))</f>
        <v>#N/A:explicit</v>
      </c>
      <c t="str" s="861" r="FM108">
        <f>IF(ISNA(FI108),IF(ISNUMBER(FL108),FM107,NA()),FI108)</f>
        <v>#N/A:explicit</v>
      </c>
      <c s="861" r="FN108">
        <f>IF(ISNUMBER(FM108),FM108,(FG$46+1000))</f>
        <v>1000</v>
      </c>
      <c t="str" s="588" r="FO108">
        <f>IF((FJ108=TRUE),NA(),IF((FO$44=(FG$46-MAX(FH$46:FH$146))),NA(),FO$44))</f>
        <v>#N/A:explicit</v>
      </c>
      <c s="588" r="FP108">
        <f>IF((ISNA(((FM108*FL108)*FM107))),0,(IF((FL108&lt;FL107),-1,1)*(IF((FJ107=FALSE),IF((FJ108=FALSE),IF(ISNA(FM108),0,IF((FM107&lt;FO$44),IF((FM108&lt;FO$44),(((FL108-FL107)^2)^0.5),(((((FO$44-FM107)*(FL108-FL107))/(FM108-FM107))^2)^0.5)),IF((FM108&lt;FO$44),(((((FO$44-FM108)*(FL108-FL107))/(FM107-FM108))^2)^0.5),0))),0),0))))</f>
        <v>0</v>
      </c>
      <c s="588" r="FQ108">
        <f>IF(ISNA((FM108*FM107)),0,IF((FJ107=FALSE),IF((FJ108=FALSE),IF(ISNA(FI108),0,IF((FM107&lt;FO$44),IF((FM108&lt;FO$44),((FO$44-((FM107+FM108)*0.5))*FP108),(((FO$44-FM107)*0.5)*FP108)),IF((FM108&lt;FO$44),(((FO$44-FM108)*0.5)*FP108),0))),0),0))</f>
        <v>0</v>
      </c>
      <c s="588" r="FR108">
        <f>IF(ISNA((FM108*FM107)),0,IF((FJ107=FALSE),IF((FJ108=FALSE),IF(ISNA(FM108),0,IF((FM107&lt;FO$44),IF((FM108&lt;FO$44),(((FP108^2)+((FM108-FM107)^2))^0.5),(((FP108^2)+((FO$44-FM107)^2))^0.5)),IF((FM108&lt;FO$44),(((FP108^2)+((FO$44-FM108)^2))^0.5),0))),0),0))</f>
        <v>0</v>
      </c>
      <c s="588" r="FS108">
        <f>IF(ISNUMBER((FM108*FM107)),IF((FM107&gt;=EY$148),IF((FM108&lt;EY$148),1,0),IF((FM108&gt;=EY$148),IF((FM107&lt;EY$148),1,0),0)),0)</f>
        <v>0</v>
      </c>
      <c s="588" r="FT108">
        <f>IF(ISNA((FM108*FM107)),0,(IF((FL108&lt;FL107),-1,1)*(IF(ISNA(FM108),0,IF((FM107&lt;EY$148),IF((FM108&lt;EY$148),(((FL108-FL107)^2)^0.5),(((((EY$148-FM107)*(FL108-FL107))/(FM108-FM107))^2)^0.5)),IF((FM108&lt;EY$148),(((((EY$148-FM108)*(FL108-FL107))/(FM107-FM108))^2)^0.5),0))))))</f>
        <v>0</v>
      </c>
      <c s="441" r="FU108">
        <f>IF((FQ108&gt;0),(MAX(FU$47:FU107)+1),0)</f>
        <v>0</v>
      </c>
      <c s="222" r="FV108"/>
      <c s="125" r="FW108"/>
      <c s="125" r="FX108"/>
      <c s="125" r="FY108"/>
      <c s="125" r="FZ108"/>
      <c s="125" r="GA108"/>
      <c s="125" r="GB108"/>
      <c s="125" r="GC108"/>
      <c s="125" r="GD108"/>
      <c s="125" r="GE108"/>
      <c s="125" r="GF108"/>
      <c s="125" r="GG108"/>
      <c s="125" r="GH108"/>
      <c s="125" r="GI108"/>
      <c s="125" r="GJ108"/>
      <c s="125" r="GK108"/>
      <c s="125" r="GL108"/>
      <c s="125" r="GM108"/>
      <c s="125" r="GN108"/>
      <c s="125" r="GO108"/>
      <c s="125" r="GP108"/>
      <c s="125" r="GQ108"/>
      <c s="125" r="GR108"/>
      <c s="125" r="GS108"/>
      <c s="125" r="GT108"/>
      <c s="125" r="GU108"/>
      <c s="125" r="GV108"/>
      <c s="125" r="GW108"/>
      <c s="125" r="GX108"/>
      <c s="125" r="GY108"/>
      <c s="125" r="GZ108"/>
      <c s="125" r="HA108"/>
      <c s="125" r="HB108"/>
    </row>
    <row r="109">
      <c s="822" r="A109"/>
      <c s="908" r="B109"/>
      <c s="551" r="C109"/>
      <c s="551" r="D109"/>
      <c t="s" s="812" r="E109">
        <v>96</v>
      </c>
      <c t="str" s="40" r="F109">
        <f>IF(ISBLANK(E23),"---",E23)</f>
        <v>---</v>
      </c>
      <c s="885" r="G109"/>
      <c s="312" r="H109"/>
      <c s="51" r="I109"/>
      <c s="822" r="J109"/>
      <c s="406" r="K109"/>
      <c s="886" r="L109"/>
      <c s="886" r="M109"/>
      <c s="886" r="N109"/>
      <c s="886" r="O109"/>
      <c s="418" r="P109"/>
      <c s="550" r="Q109"/>
      <c s="550" r="R109"/>
      <c t="str" s="620" r="S109">
        <f>IF((COUNT(R109:R$146,T109:T$146)=0),NA(),IF(ISBLANK(R109),S108,(S108+(R109-T108))))</f>
        <v>#N/A:explicit</v>
      </c>
      <c s="550" r="T109"/>
      <c t="str" s="620" r="U109">
        <f>IF(OR(ISBLANK(T109),ISNUMBER(R110)),NA(),(S109-T109))</f>
        <v>#N/A:explicit</v>
      </c>
      <c t="b" s="895" r="V109">
        <v>0</v>
      </c>
      <c s="631" r="W109"/>
      <c t="str" s="309" r="X109">
        <f>IF((COUNT(Q109:Q$146)=0),NA(),IF(ISBLANK(Q109),IF(ISBLANK(Q108),MAX(Q$46:Q109),Q108),Q109))</f>
        <v>#N/A:explicit</v>
      </c>
      <c t="str" s="861" r="Y109">
        <f>IF(ISNA(U109),IF(ISNUMBER(X109),Y108,NA()),U109)</f>
        <v>#N/A:explicit</v>
      </c>
      <c s="861" r="Z109">
        <f>IF(ISNUMBER(Y109),Y109,(S$46+1000))</f>
        <v>1000</v>
      </c>
      <c t="str" s="588" r="AA109">
        <f>IF((V109=TRUE),NA(),IF((AA$44=(S$46-MAX(T$46:T$146))),NA(),AA$44))</f>
        <v>#N/A:explicit</v>
      </c>
      <c s="588" r="AB109">
        <f>IF((ISNA(((Y109*X109)*Y108))),0,(IF((X109&lt;X108),-1,1)*(IF((V108=FALSE),IF((V109=FALSE),IF(ISNA(Y109),0,IF((Y108&lt;AA$44),IF((Y109&lt;AA$44),(((X109-X108)^2)^0.5),(((((AA$44-Y108)*(X109-X108))/(Y109-Y108))^2)^0.5)),IF((Y109&lt;AA$44),(((((AA$44-Y109)*(X109-X108))/(Y108-Y109))^2)^0.5),0))),0),0))))</f>
        <v>0</v>
      </c>
      <c s="588" r="AC109">
        <f>IF(ISNA((Y109*Y108)),0,IF((V108=FALSE),IF((V109=FALSE),IF(ISNA(U109),0,IF((Y108&lt;AA$44),IF((Y109&lt;AA$44),((AA$44-((Y108+Y109)*0.5))*AB109),(((AA$44-Y108)*0.5)*AB109)),IF((Y109&lt;AA$44),(((AA$44-Y109)*0.5)*AB109),0))),0),0))</f>
        <v>0</v>
      </c>
      <c s="588" r="AD109">
        <f>IF(ISNA((Y109*Y108)),0,IF((V108=FALSE),IF((V109=FALSE),IF(ISNA(Y109),0,IF((Y108&lt;AA$44),IF((Y109&lt;AA$44),(((AB109^2)+((Y109-Y108)^2))^0.5),(((AB109^2)+((AA$44-Y108)^2))^0.5)),IF((Y109&lt;AA$44),(((AB109^2)+((AA$44-Y109)^2))^0.5),0))),0),0))</f>
        <v>0</v>
      </c>
      <c s="588" r="AE109">
        <f>IF(ISNUMBER((Y109*Y108)),IF((Y108&gt;=K$148),IF((Y109&lt;K$148),1,0),IF((Y109&gt;=K$148),IF((Y108&lt;K$148),1,0),0)),0)</f>
        <v>0</v>
      </c>
      <c s="588" r="AF109">
        <f>IF(ISNA((Y109*Y108)),0,(IF((X109&lt;X108),-1,1)*(IF(ISNA(Y109),0,IF((Y108&lt;K$148),IF((Y109&lt;K$148),(((X109-X108)^2)^0.5),(((((K$148-Y108)*(X109-X108))/(Y109-Y108))^2)^0.5)),IF((Y109&lt;K$148),(((((K$148-Y109)*(X109-X108))/(Y108-Y109))^2)^0.5),0))))))</f>
        <v>0</v>
      </c>
      <c s="441" r="AG109">
        <f>IF((AC109&gt;0),(MAX(AG$47:AG108)+1),0)</f>
        <v>0</v>
      </c>
      <c s="388" r="AH109"/>
      <c s="406" r="AI109"/>
      <c s="886" r="AJ109"/>
      <c s="886" r="AK109"/>
      <c s="886" r="AL109"/>
      <c s="886" r="AM109"/>
      <c s="418" r="AN109"/>
      <c s="550" r="AO109"/>
      <c s="550" r="AP109"/>
      <c t="str" s="620" r="AQ109">
        <f>IF((COUNT(AP109:AP$146,AR109:AR$146)=0),NA(),IF(ISBLANK(AP109),AQ108,(AQ108+(AP109-AR108))))</f>
        <v>#N/A:explicit</v>
      </c>
      <c s="550" r="AR109"/>
      <c t="str" s="620" r="AS109">
        <f>IF(OR(ISBLANK(AR109),ISNUMBER(AP110)),NA(),(AQ109-AR109))</f>
        <v>#N/A:explicit</v>
      </c>
      <c t="b" s="895" r="AT109">
        <v>0</v>
      </c>
      <c s="631" r="AU109"/>
      <c t="str" s="309" r="AV109">
        <f>IF((COUNT(AO109:AO$146)=0),NA(),IF(ISBLANK(AO109),IF(ISBLANK(AO108),MAX(AO$46:AO109),AO108),AO109))</f>
        <v>#N/A:explicit</v>
      </c>
      <c t="str" s="861" r="AW109">
        <f>IF(ISNA(AS109),IF(ISNUMBER(AV109),AW108,NA()),AS109)</f>
        <v>#N/A:explicit</v>
      </c>
      <c s="861" r="AX109">
        <f>IF(ISNUMBER(AW109),AW109,(AQ$46+1000))</f>
        <v>1000</v>
      </c>
      <c t="str" s="588" r="AY109">
        <f>IF((AT109=TRUE),NA(),IF((AY$44=(AQ$46-MAX(AR$46:AR$146))),NA(),AY$44))</f>
        <v>#N/A:explicit</v>
      </c>
      <c s="588" r="AZ109">
        <f>IF((ISNA(((AW109*AV109)*AW108))),0,(IF((AV109&lt;AV108),-1,1)*(IF((AT108=FALSE),IF((AT109=FALSE),IF(ISNA(AW109),0,IF((AW108&lt;AY$44),IF((AW109&lt;AY$44),(((AV109-AV108)^2)^0.5),(((((AY$44-AW108)*(AV109-AV108))/(AW109-AW108))^2)^0.5)),IF((AW109&lt;AY$44),(((((AY$44-AW109)*(AV109-AV108))/(AW108-AW109))^2)^0.5),0))),0),0))))</f>
        <v>0</v>
      </c>
      <c s="588" r="BA109">
        <f>IF(ISNA((AW109*AW108)),0,IF((AT108=FALSE),IF((AT109=FALSE),IF(ISNA(AS109),0,IF((AW108&lt;AY$44),IF((AW109&lt;AY$44),((AY$44-((AW108+AW109)*0.5))*AZ109),(((AY$44-AW108)*0.5)*AZ109)),IF((AW109&lt;AY$44),(((AY$44-AW109)*0.5)*AZ109),0))),0),0))</f>
        <v>0</v>
      </c>
      <c s="588" r="BB109">
        <f>IF(ISNA((AW109*AW108)),0,IF((AT108=FALSE),IF((AT109=FALSE),IF(ISNA(AW109),0,IF((AW108&lt;AY$44),IF((AW109&lt;AY$44),(((AZ109^2)+((AW109-AW108)^2))^0.5),(((AZ109^2)+((AY$44-AW108)^2))^0.5)),IF((AW109&lt;AY$44),(((AZ109^2)+((AY$44-AW109)^2))^0.5),0))),0),0))</f>
        <v>0</v>
      </c>
      <c s="588" r="BC109">
        <f>IF(ISNUMBER((AW109*AW108)),IF((AW108&gt;=AI$148),IF((AW109&lt;AI$148),1,0),IF((AW109&gt;=AI$148),IF((AW108&lt;AI$148),1,0),0)),0)</f>
        <v>0</v>
      </c>
      <c s="588" r="BD109">
        <f>IF(ISNA((AW109*AW108)),0,(IF((AV109&lt;AV108),-1,1)*(IF(ISNA(AW109),0,IF((AW108&lt;AI$148),IF((AW109&lt;AI$148),(((AV109-AV108)^2)^0.5),(((((AI$148-AW108)*(AV109-AV108))/(AW109-AW108))^2)^0.5)),IF((AW109&lt;AI$148),(((((AI$148-AW109)*(AV109-AV108))/(AW108-AW109))^2)^0.5),0))))))</f>
        <v>0</v>
      </c>
      <c s="441" r="BE109">
        <f>IF((BA109&gt;0),(MAX(BE$47:BE108)+1),0)</f>
        <v>0</v>
      </c>
      <c s="388" r="BF109"/>
      <c s="406" r="BG109"/>
      <c s="886" r="BH109"/>
      <c s="886" r="BI109"/>
      <c s="886" r="BJ109"/>
      <c s="886" r="BK109"/>
      <c s="418" r="BL109"/>
      <c s="550" r="BM109"/>
      <c s="550" r="BN109"/>
      <c t="str" s="620" r="BO109">
        <f>IF((COUNT(BN109:BN$146,BP109:BP$146)=0),NA(),IF(ISBLANK(BN109),BO108,(BO108+(BN109-BP108))))</f>
        <v>#N/A:explicit</v>
      </c>
      <c s="550" r="BP109"/>
      <c t="str" s="620" r="BQ109">
        <f>IF(OR(ISBLANK(BP109),ISNUMBER(BN110)),NA(),(BO109-BP109))</f>
        <v>#N/A:explicit</v>
      </c>
      <c t="b" s="895" r="BR109">
        <v>0</v>
      </c>
      <c s="631" r="BS109"/>
      <c t="str" s="309" r="BT109">
        <f>IF((COUNT(BM109:BM$146)=0),NA(),IF(ISBLANK(BM109),IF(ISBLANK(BM108),MAX(BM$46:BM109),BM108),BM109))</f>
        <v>#N/A:explicit</v>
      </c>
      <c t="str" s="861" r="BU109">
        <f>IF(ISNA(BQ109),IF(ISNUMBER(BT109),BU108,NA()),BQ109)</f>
        <v>#N/A:explicit</v>
      </c>
      <c s="861" r="BV109">
        <f>IF(ISNUMBER(BU109),BU109,(BO$46+1000))</f>
        <v>1000</v>
      </c>
      <c t="str" s="588" r="BW109">
        <f>IF((BR109=TRUE),NA(),IF((BW$44=(BO$46-MAX(BP$46:BP$146))),NA(),BW$44))</f>
        <v>#N/A:explicit</v>
      </c>
      <c s="588" r="BX109">
        <f>IF((ISNA(((BU109*BT109)*BU108))),0,(IF((BT109&lt;BT108),-1,1)*(IF((BR108=FALSE),IF((BR109=FALSE),IF(ISNA(BU109),0,IF((BU108&lt;BW$44),IF((BU109&lt;BW$44),(((BT109-BT108)^2)^0.5),(((((BW$44-BU108)*(BT109-BT108))/(BU109-BU108))^2)^0.5)),IF((BU109&lt;BW$44),(((((BW$44-BU109)*(BT109-BT108))/(BU108-BU109))^2)^0.5),0))),0),0))))</f>
        <v>0</v>
      </c>
      <c s="588" r="BY109">
        <f>IF(ISNA((BU109*BU108)),0,IF((BR108=FALSE),IF((BR109=FALSE),IF(ISNA(BQ109),0,IF((BU108&lt;BW$44),IF((BU109&lt;BW$44),((BW$44-((BU108+BU109)*0.5))*BX109),(((BW$44-BU108)*0.5)*BX109)),IF((BU109&lt;BW$44),(((BW$44-BU109)*0.5)*BX109),0))),0),0))</f>
        <v>0</v>
      </c>
      <c s="588" r="BZ109">
        <f>IF(ISNA((BU109*BU108)),0,IF((BR108=FALSE),IF((BR109=FALSE),IF(ISNA(BU109),0,IF((BU108&lt;BW$44),IF((BU109&lt;BW$44),(((BX109^2)+((BU109-BU108)^2))^0.5),(((BX109^2)+((BW$44-BU108)^2))^0.5)),IF((BU109&lt;BW$44),(((BX109^2)+((BW$44-BU109)^2))^0.5),0))),0),0))</f>
        <v>0</v>
      </c>
      <c s="588" r="CA109">
        <f>IF(ISNUMBER((BU109*BU108)),IF((BU108&gt;=BG$148),IF((BU109&lt;BG$148),1,0),IF((BU109&gt;=BG$148),IF((BU108&lt;BG$148),1,0),0)),0)</f>
        <v>0</v>
      </c>
      <c s="588" r="CB109">
        <f>IF(ISNA((BU109*BU108)),0,(IF((BT109&lt;BT108),-1,1)*(IF(ISNA(BU109),0,IF((BU108&lt;BG$148),IF((BU109&lt;BG$148),(((BT109-BT108)^2)^0.5),(((((BG$148-BU108)*(BT109-BT108))/(BU109-BU108))^2)^0.5)),IF((BU109&lt;BG$148),(((((BG$148-BU109)*(BT109-BT108))/(BU108-BU109))^2)^0.5),0))))))</f>
        <v>0</v>
      </c>
      <c s="441" r="CC109">
        <f>IF((BY109&gt;0),(MAX(CC$47:CC108)+1),0)</f>
        <v>0</v>
      </c>
      <c s="388" r="CD109"/>
      <c s="406" r="CE109"/>
      <c s="886" r="CF109"/>
      <c s="886" r="CG109"/>
      <c s="886" r="CH109"/>
      <c s="886" r="CI109"/>
      <c s="418" r="CJ109"/>
      <c s="550" r="CK109"/>
      <c s="550" r="CL109"/>
      <c t="str" s="620" r="CM109">
        <f>IF((COUNT(CL109:CL$146,CN109:CN$146)=0),NA(),IF(ISBLANK(CL109),CM108,(CM108+(CL109-CN108))))</f>
        <v>#N/A:explicit</v>
      </c>
      <c s="550" r="CN109"/>
      <c t="str" s="620" r="CO109">
        <f>IF(OR(ISBLANK(CN109),ISNUMBER(CL110)),NA(),(CM109-CN109))</f>
        <v>#N/A:explicit</v>
      </c>
      <c t="b" s="895" r="CP109">
        <v>0</v>
      </c>
      <c s="631" r="CQ109"/>
      <c t="str" s="309" r="CR109">
        <f>IF((COUNT(CK109:CK$146)=0),NA(),IF(ISBLANK(CK109),IF(ISBLANK(CK108),MAX(CK$46:CK109),CK108),CK109))</f>
        <v>#N/A:explicit</v>
      </c>
      <c t="str" s="861" r="CS109">
        <f>IF(ISNA(CO109),IF(ISNUMBER(CR109),CS108,NA()),CO109)</f>
        <v>#N/A:explicit</v>
      </c>
      <c s="861" r="CT109">
        <f>IF(ISNUMBER(CS109),CS109,(CM$46+1000))</f>
        <v>1000</v>
      </c>
      <c t="str" s="588" r="CU109">
        <f>IF((CP109=TRUE),NA(),IF((CU$44=(CM$46-MAX(CN$46:CN$146))),NA(),CU$44))</f>
        <v>#N/A:explicit</v>
      </c>
      <c s="588" r="CV109">
        <f>IF((ISNA(((CS109*CR109)*CS108))),0,(IF((CR109&lt;CR108),-1,1)*(IF((CP108=FALSE),IF((CP109=FALSE),IF(ISNA(CS109),0,IF((CS108&lt;CU$44),IF((CS109&lt;CU$44),(((CR109-CR108)^2)^0.5),(((((CU$44-CS108)*(CR109-CR108))/(CS109-CS108))^2)^0.5)),IF((CS109&lt;CU$44),(((((CU$44-CS109)*(CR109-CR108))/(CS108-CS109))^2)^0.5),0))),0),0))))</f>
        <v>0</v>
      </c>
      <c s="588" r="CW109">
        <f>IF(ISNA((CS109*CS108)),0,IF((CP108=FALSE),IF((CP109=FALSE),IF(ISNA(CO109),0,IF((CS108&lt;CU$44),IF((CS109&lt;CU$44),((CU$44-((CS108+CS109)*0.5))*CV109),(((CU$44-CS108)*0.5)*CV109)),IF((CS109&lt;CU$44),(((CU$44-CS109)*0.5)*CV109),0))),0),0))</f>
        <v>0</v>
      </c>
      <c s="588" r="CX109">
        <f>IF(ISNA((CS109*CS108)),0,IF((CP108=FALSE),IF((CP109=FALSE),IF(ISNA(CS109),0,IF((CS108&lt;CU$44),IF((CS109&lt;CU$44),(((CV109^2)+((CS109-CS108)^2))^0.5),(((CV109^2)+((CU$44-CS108)^2))^0.5)),IF((CS109&lt;CU$44),(((CV109^2)+((CU$44-CS109)^2))^0.5),0))),0),0))</f>
        <v>0</v>
      </c>
      <c s="588" r="CY109">
        <f>IF(ISNUMBER((CS109*CS108)),IF((CS108&gt;=CE$148),IF((CS109&lt;CE$148),1,0),IF((CS109&gt;=CE$148),IF((CS108&lt;CE$148),1,0),0)),0)</f>
        <v>0</v>
      </c>
      <c s="588" r="CZ109">
        <f>IF(ISNA((CS109*CS108)),0,(IF((CR109&lt;CR108),-1,1)*(IF(ISNA(CS109),0,IF((CS108&lt;CE$148),IF((CS109&lt;CE$148),(((CR109-CR108)^2)^0.5),(((((CE$148-CS108)*(CR109-CR108))/(CS109-CS108))^2)^0.5)),IF((CS109&lt;CE$148),(((((CE$148-CS109)*(CR109-CR108))/(CS108-CS109))^2)^0.5),0))))))</f>
        <v>0</v>
      </c>
      <c s="441" r="DA109">
        <f>IF((CW109&gt;0),(MAX(DA$47:DA108)+1),0)</f>
        <v>0</v>
      </c>
      <c s="388" r="DB109"/>
      <c s="406" r="DC109"/>
      <c s="886" r="DD109"/>
      <c s="886" r="DE109"/>
      <c s="886" r="DF109"/>
      <c s="886" r="DG109"/>
      <c s="418" r="DH109"/>
      <c s="550" r="DI109"/>
      <c s="550" r="DJ109"/>
      <c t="str" s="620" r="DK109">
        <f>IF((COUNT(DJ109:DJ$146,DL109:DL$146)=0),NA(),IF(ISBLANK(DJ109),DK108,(DK108+(DJ109-DL108))))</f>
        <v>#N/A:explicit</v>
      </c>
      <c s="550" r="DL109"/>
      <c t="str" s="620" r="DM109">
        <f>IF(OR(ISBLANK(DL109),ISNUMBER(DJ110)),NA(),(DK109-DL109))</f>
        <v>#N/A:explicit</v>
      </c>
      <c t="b" s="895" r="DN109">
        <v>0</v>
      </c>
      <c s="631" r="DO109"/>
      <c t="str" s="309" r="DP109">
        <f>IF((COUNT(DI109:DI$146)=0),NA(),IF(ISBLANK(DI109),IF(ISBLANK(DI108),MAX(DI$46:DI109),DI108),DI109))</f>
        <v>#N/A:explicit</v>
      </c>
      <c t="str" s="861" r="DQ109">
        <f>IF(ISNA(DM109),IF(ISNUMBER(DP109),DQ108,NA()),DM109)</f>
        <v>#N/A:explicit</v>
      </c>
      <c s="861" r="DR109">
        <f>IF(ISNUMBER(DQ109),DQ109,(DK$46+1000))</f>
        <v>1000</v>
      </c>
      <c t="str" s="588" r="DS109">
        <f>IF((DN109=TRUE),NA(),IF((DS$44=(DK$46-MAX(DL$46:DL$146))),NA(),DS$44))</f>
        <v>#N/A:explicit</v>
      </c>
      <c s="588" r="DT109">
        <f>IF((ISNA(((DQ109*DP109)*DQ108))),0,(IF((DP109&lt;DP108),-1,1)*(IF((DN108=FALSE),IF((DN109=FALSE),IF(ISNA(DQ109),0,IF((DQ108&lt;DS$44),IF((DQ109&lt;DS$44),(((DP109-DP108)^2)^0.5),(((((DS$44-DQ108)*(DP109-DP108))/(DQ109-DQ108))^2)^0.5)),IF((DQ109&lt;DS$44),(((((DS$44-DQ109)*(DP109-DP108))/(DQ108-DQ109))^2)^0.5),0))),0),0))))</f>
        <v>0</v>
      </c>
      <c s="588" r="DU109">
        <f>IF(ISNA((DQ109*DQ108)),0,IF((DN108=FALSE),IF((DN109=FALSE),IF(ISNA(DM109),0,IF((DQ108&lt;DS$44),IF((DQ109&lt;DS$44),((DS$44-((DQ108+DQ109)*0.5))*DT109),(((DS$44-DQ108)*0.5)*DT109)),IF((DQ109&lt;DS$44),(((DS$44-DQ109)*0.5)*DT109),0))),0),0))</f>
        <v>0</v>
      </c>
      <c s="588" r="DV109">
        <f>IF(ISNA((DQ109*DQ108)),0,IF((DN108=FALSE),IF((DN109=FALSE),IF(ISNA(DQ109),0,IF((DQ108&lt;DS$44),IF((DQ109&lt;DS$44),(((DT109^2)+((DQ109-DQ108)^2))^0.5),(((DT109^2)+((DS$44-DQ108)^2))^0.5)),IF((DQ109&lt;DS$44),(((DT109^2)+((DS$44-DQ109)^2))^0.5),0))),0),0))</f>
        <v>0</v>
      </c>
      <c s="588" r="DW109">
        <f>IF(ISNUMBER((DQ109*DQ108)),IF((DQ108&gt;=DC$148),IF((DQ109&lt;DC$148),1,0),IF((DQ109&gt;=DC$148),IF((DQ108&lt;DC$148),1,0),0)),0)</f>
        <v>0</v>
      </c>
      <c s="588" r="DX109">
        <f>IF(ISNA((DQ109*DQ108)),0,(IF((DP109&lt;DP108),-1,1)*(IF(ISNA(DQ109),0,IF((DQ108&lt;DC$148),IF((DQ109&lt;DC$148),(((DP109-DP108)^2)^0.5),(((((DC$148-DQ108)*(DP109-DP108))/(DQ109-DQ108))^2)^0.5)),IF((DQ109&lt;DC$148),(((((DC$148-DQ109)*(DP109-DP108))/(DQ108-DQ109))^2)^0.5),0))))))</f>
        <v>0</v>
      </c>
      <c s="441" r="DY109">
        <f>IF((DU109&gt;0),(MAX(DY$47:DY108)+1),0)</f>
        <v>0</v>
      </c>
      <c s="388" r="DZ109"/>
      <c s="406" r="EA109"/>
      <c s="886" r="EB109"/>
      <c s="886" r="EC109"/>
      <c s="886" r="ED109"/>
      <c s="886" r="EE109"/>
      <c s="418" r="EF109"/>
      <c s="550" r="EG109"/>
      <c s="550" r="EH109"/>
      <c t="str" s="620" r="EI109">
        <f>IF((COUNT(EH109:EH$146,EJ109:EJ$146)=0),NA(),IF(ISBLANK(EH109),EI108,(EI108+(EH109-EJ108))))</f>
        <v>#N/A:explicit</v>
      </c>
      <c s="550" r="EJ109"/>
      <c t="str" s="620" r="EK109">
        <f>IF(OR(ISBLANK(EJ109),ISNUMBER(EH110)),NA(),(EI109-EJ109))</f>
        <v>#N/A:explicit</v>
      </c>
      <c t="b" s="895" r="EL109">
        <v>0</v>
      </c>
      <c s="631" r="EM109"/>
      <c t="str" s="309" r="EN109">
        <f>IF((COUNT(EG109:EG$146)=0),NA(),IF(ISBLANK(EG109),IF(ISBLANK(EG108),MAX(EG$46:EG109),EG108),EG109))</f>
        <v>#N/A:explicit</v>
      </c>
      <c t="str" s="861" r="EO109">
        <f>IF(ISNA(EK109),IF(ISNUMBER(EN109),EO108,NA()),EK109)</f>
        <v>#N/A:explicit</v>
      </c>
      <c s="861" r="EP109">
        <f>IF(ISNUMBER(EO109),EO109,(EI$46+1000))</f>
        <v>1000</v>
      </c>
      <c t="str" s="588" r="EQ109">
        <f>IF((EL109=TRUE),NA(),IF((EQ$44=(EI$46-MAX(EJ$46:EJ$146))),NA(),EQ$44))</f>
        <v>#N/A:explicit</v>
      </c>
      <c s="588" r="ER109">
        <f>IF((ISNA(((EO109*EN109)*EO108))),0,(IF((EN109&lt;EN108),-1,1)*(IF((EL108=FALSE),IF((EL109=FALSE),IF(ISNA(EO109),0,IF((EO108&lt;EQ$44),IF((EO109&lt;EQ$44),(((EN109-EN108)^2)^0.5),(((((EQ$44-EO108)*(EN109-EN108))/(EO109-EO108))^2)^0.5)),IF((EO109&lt;EQ$44),(((((EQ$44-EO109)*(EN109-EN108))/(EO108-EO109))^2)^0.5),0))),0),0))))</f>
        <v>0</v>
      </c>
      <c s="588" r="ES109">
        <f>IF(ISNA((EO109*EO108)),0,IF((EL108=FALSE),IF((EL109=FALSE),IF(ISNA(EK109),0,IF((EO108&lt;EQ$44),IF((EO109&lt;EQ$44),((EQ$44-((EO108+EO109)*0.5))*ER109),(((EQ$44-EO108)*0.5)*ER109)),IF((EO109&lt;EQ$44),(((EQ$44-EO109)*0.5)*ER109),0))),0),0))</f>
        <v>0</v>
      </c>
      <c s="588" r="ET109">
        <f>IF(ISNA((EO109*EO108)),0,IF((EL108=FALSE),IF((EL109=FALSE),IF(ISNA(EO109),0,IF((EO108&lt;EQ$44),IF((EO109&lt;EQ$44),(((ER109^2)+((EO109-EO108)^2))^0.5),(((ER109^2)+((EQ$44-EO108)^2))^0.5)),IF((EO109&lt;EQ$44),(((ER109^2)+((EQ$44-EO109)^2))^0.5),0))),0),0))</f>
        <v>0</v>
      </c>
      <c s="588" r="EU109">
        <f>IF(ISNUMBER((EO109*EO108)),IF((EO108&gt;=EA$148),IF((EO109&lt;EA$148),1,0),IF((EO109&gt;=EA$148),IF((EO108&lt;EA$148),1,0),0)),0)</f>
        <v>0</v>
      </c>
      <c s="588" r="EV109">
        <f>IF(ISNA((EO109*EO108)),0,(IF((EN109&lt;EN108),-1,1)*(IF(ISNA(EO109),0,IF((EO108&lt;EA$148),IF((EO109&lt;EA$148),(((EN109-EN108)^2)^0.5),(((((EA$148-EO108)*(EN109-EN108))/(EO109-EO108))^2)^0.5)),IF((EO109&lt;EA$148),(((((EA$148-EO109)*(EN109-EN108))/(EO108-EO109))^2)^0.5),0))))))</f>
        <v>0</v>
      </c>
      <c s="441" r="EW109">
        <f>IF((ES109&gt;0),(MAX(EW$47:EW108)+1),0)</f>
        <v>0</v>
      </c>
      <c s="388" r="EX109"/>
      <c s="406" r="EY109"/>
      <c s="886" r="EZ109"/>
      <c s="886" r="FA109"/>
      <c s="886" r="FB109"/>
      <c s="886" r="FC109"/>
      <c s="418" r="FD109"/>
      <c s="550" r="FE109"/>
      <c s="550" r="FF109"/>
      <c t="str" s="620" r="FG109">
        <f>IF((COUNT(FF109:FF$146,FH109:FH$146)=0),NA(),IF(ISBLANK(FF109),FG108,(FG108+(FF109-FH108))))</f>
        <v>#N/A:explicit</v>
      </c>
      <c s="550" r="FH109"/>
      <c t="str" s="620" r="FI109">
        <f>IF(OR(ISBLANK(FH109),ISNUMBER(FF110)),NA(),(FG109-FH109))</f>
        <v>#N/A:explicit</v>
      </c>
      <c t="b" s="895" r="FJ109">
        <v>0</v>
      </c>
      <c s="631" r="FK109"/>
      <c t="str" s="309" r="FL109">
        <f>IF((COUNT(FE109:FE$146)=0),NA(),IF(ISBLANK(FE109),IF(ISBLANK(FE108),MAX(FE$46:FE109),FE108),FE109))</f>
        <v>#N/A:explicit</v>
      </c>
      <c t="str" s="861" r="FM109">
        <f>IF(ISNA(FI109),IF(ISNUMBER(FL109),FM108,NA()),FI109)</f>
        <v>#N/A:explicit</v>
      </c>
      <c s="861" r="FN109">
        <f>IF(ISNUMBER(FM109),FM109,(FG$46+1000))</f>
        <v>1000</v>
      </c>
      <c t="str" s="588" r="FO109">
        <f>IF((FJ109=TRUE),NA(),IF((FO$44=(FG$46-MAX(FH$46:FH$146))),NA(),FO$44))</f>
        <v>#N/A:explicit</v>
      </c>
      <c s="588" r="FP109">
        <f>IF((ISNA(((FM109*FL109)*FM108))),0,(IF((FL109&lt;FL108),-1,1)*(IF((FJ108=FALSE),IF((FJ109=FALSE),IF(ISNA(FM109),0,IF((FM108&lt;FO$44),IF((FM109&lt;FO$44),(((FL109-FL108)^2)^0.5),(((((FO$44-FM108)*(FL109-FL108))/(FM109-FM108))^2)^0.5)),IF((FM109&lt;FO$44),(((((FO$44-FM109)*(FL109-FL108))/(FM108-FM109))^2)^0.5),0))),0),0))))</f>
        <v>0</v>
      </c>
      <c s="588" r="FQ109">
        <f>IF(ISNA((FM109*FM108)),0,IF((FJ108=FALSE),IF((FJ109=FALSE),IF(ISNA(FI109),0,IF((FM108&lt;FO$44),IF((FM109&lt;FO$44),((FO$44-((FM108+FM109)*0.5))*FP109),(((FO$44-FM108)*0.5)*FP109)),IF((FM109&lt;FO$44),(((FO$44-FM109)*0.5)*FP109),0))),0),0))</f>
        <v>0</v>
      </c>
      <c s="588" r="FR109">
        <f>IF(ISNA((FM109*FM108)),0,IF((FJ108=FALSE),IF((FJ109=FALSE),IF(ISNA(FM109),0,IF((FM108&lt;FO$44),IF((FM109&lt;FO$44),(((FP109^2)+((FM109-FM108)^2))^0.5),(((FP109^2)+((FO$44-FM108)^2))^0.5)),IF((FM109&lt;FO$44),(((FP109^2)+((FO$44-FM109)^2))^0.5),0))),0),0))</f>
        <v>0</v>
      </c>
      <c s="588" r="FS109">
        <f>IF(ISNUMBER((FM109*FM108)),IF((FM108&gt;=EY$148),IF((FM109&lt;EY$148),1,0),IF((FM109&gt;=EY$148),IF((FM108&lt;EY$148),1,0),0)),0)</f>
        <v>0</v>
      </c>
      <c s="588" r="FT109">
        <f>IF(ISNA((FM109*FM108)),0,(IF((FL109&lt;FL108),-1,1)*(IF(ISNA(FM109),0,IF((FM108&lt;EY$148),IF((FM109&lt;EY$148),(((FL109-FL108)^2)^0.5),(((((EY$148-FM108)*(FL109-FL108))/(FM109-FM108))^2)^0.5)),IF((FM109&lt;EY$148),(((((EY$148-FM109)*(FL109-FL108))/(FM108-FM109))^2)^0.5),0))))))</f>
        <v>0</v>
      </c>
      <c s="441" r="FU109">
        <f>IF((FQ109&gt;0),(MAX(FU$47:FU108)+1),0)</f>
        <v>0</v>
      </c>
      <c s="222" r="FV109"/>
      <c s="125" r="FW109"/>
      <c s="125" r="FX109"/>
      <c s="125" r="FY109"/>
      <c s="125" r="FZ109"/>
      <c s="125" r="GA109"/>
      <c s="125" r="GB109"/>
      <c s="125" r="GC109"/>
      <c s="125" r="GD109"/>
      <c s="125" r="GE109"/>
      <c s="125" r="GF109"/>
      <c s="125" r="GG109"/>
      <c s="125" r="GH109"/>
      <c s="125" r="GI109"/>
      <c s="125" r="GJ109"/>
      <c s="125" r="GK109"/>
      <c s="125" r="GL109"/>
      <c s="125" r="GM109"/>
      <c s="125" r="GN109"/>
      <c s="125" r="GO109"/>
      <c s="125" r="GP109"/>
      <c s="125" r="GQ109"/>
      <c s="125" r="GR109"/>
      <c s="125" r="GS109"/>
      <c s="125" r="GT109"/>
      <c s="125" r="GU109"/>
      <c s="125" r="GV109"/>
      <c s="125" r="GW109"/>
      <c s="125" r="GX109"/>
      <c s="125" r="GY109"/>
      <c s="125" r="GZ109"/>
      <c s="125" r="HA109"/>
      <c s="125" r="HB109"/>
    </row>
    <row r="110">
      <c s="822" r="A110"/>
      <c s="908" r="B110"/>
      <c s="551" r="C110"/>
      <c s="551" r="D110"/>
      <c s="812" r="E110"/>
      <c t="s" s="858" r="F110">
        <v>605</v>
      </c>
      <c s="202" r="G110"/>
      <c t="s" s="46" r="H110">
        <v>308</v>
      </c>
      <c s="51" r="I110"/>
      <c s="822" r="J110"/>
      <c s="406" r="K110"/>
      <c s="886" r="L110"/>
      <c s="886" r="M110"/>
      <c s="886" r="N110"/>
      <c s="886" r="O110"/>
      <c s="418" r="P110"/>
      <c s="550" r="Q110"/>
      <c s="550" r="R110"/>
      <c t="str" s="620" r="S110">
        <f>IF((COUNT(R110:R$146,T110:T$146)=0),NA(),IF(ISBLANK(R110),S109,(S109+(R110-T109))))</f>
        <v>#N/A:explicit</v>
      </c>
      <c s="550" r="T110"/>
      <c t="str" s="620" r="U110">
        <f>IF(OR(ISBLANK(T110),ISNUMBER(R111)),NA(),(S110-T110))</f>
        <v>#N/A:explicit</v>
      </c>
      <c t="b" s="895" r="V110">
        <v>0</v>
      </c>
      <c s="631" r="W110"/>
      <c t="str" s="309" r="X110">
        <f>IF((COUNT(Q110:Q$146)=0),NA(),IF(ISBLANK(Q110),IF(ISBLANK(Q109),MAX(Q$46:Q110),Q109),Q110))</f>
        <v>#N/A:explicit</v>
      </c>
      <c t="str" s="861" r="Y110">
        <f>IF(ISNA(U110),IF(ISNUMBER(X110),Y109,NA()),U110)</f>
        <v>#N/A:explicit</v>
      </c>
      <c s="861" r="Z110">
        <f>IF(ISNUMBER(Y110),Y110,(S$46+1000))</f>
        <v>1000</v>
      </c>
      <c t="str" s="588" r="AA110">
        <f>IF((V110=TRUE),NA(),IF((AA$44=(S$46-MAX(T$46:T$146))),NA(),AA$44))</f>
        <v>#N/A:explicit</v>
      </c>
      <c s="588" r="AB110">
        <f>IF((ISNA(((Y110*X110)*Y109))),0,(IF((X110&lt;X109),-1,1)*(IF((V109=FALSE),IF((V110=FALSE),IF(ISNA(Y110),0,IF((Y109&lt;AA$44),IF((Y110&lt;AA$44),(((X110-X109)^2)^0.5),(((((AA$44-Y109)*(X110-X109))/(Y110-Y109))^2)^0.5)),IF((Y110&lt;AA$44),(((((AA$44-Y110)*(X110-X109))/(Y109-Y110))^2)^0.5),0))),0),0))))</f>
        <v>0</v>
      </c>
      <c s="588" r="AC110">
        <f>IF(ISNA((Y110*Y109)),0,IF((V109=FALSE),IF((V110=FALSE),IF(ISNA(U110),0,IF((Y109&lt;AA$44),IF((Y110&lt;AA$44),((AA$44-((Y109+Y110)*0.5))*AB110),(((AA$44-Y109)*0.5)*AB110)),IF((Y110&lt;AA$44),(((AA$44-Y110)*0.5)*AB110),0))),0),0))</f>
        <v>0</v>
      </c>
      <c s="588" r="AD110">
        <f>IF(ISNA((Y110*Y109)),0,IF((V109=FALSE),IF((V110=FALSE),IF(ISNA(Y110),0,IF((Y109&lt;AA$44),IF((Y110&lt;AA$44),(((AB110^2)+((Y110-Y109)^2))^0.5),(((AB110^2)+((AA$44-Y109)^2))^0.5)),IF((Y110&lt;AA$44),(((AB110^2)+((AA$44-Y110)^2))^0.5),0))),0),0))</f>
        <v>0</v>
      </c>
      <c s="588" r="AE110">
        <f>IF(ISNUMBER((Y110*Y109)),IF((Y109&gt;=K$148),IF((Y110&lt;K$148),1,0),IF((Y110&gt;=K$148),IF((Y109&lt;K$148),1,0),0)),0)</f>
        <v>0</v>
      </c>
      <c s="588" r="AF110">
        <f>IF(ISNA((Y110*Y109)),0,(IF((X110&lt;X109),-1,1)*(IF(ISNA(Y110),0,IF((Y109&lt;K$148),IF((Y110&lt;K$148),(((X110-X109)^2)^0.5),(((((K$148-Y109)*(X110-X109))/(Y110-Y109))^2)^0.5)),IF((Y110&lt;K$148),(((((K$148-Y110)*(X110-X109))/(Y109-Y110))^2)^0.5),0))))))</f>
        <v>0</v>
      </c>
      <c s="441" r="AG110">
        <f>IF((AC110&gt;0),(MAX(AG$47:AG109)+1),0)</f>
        <v>0</v>
      </c>
      <c s="388" r="AH110"/>
      <c s="406" r="AI110"/>
      <c s="886" r="AJ110"/>
      <c s="886" r="AK110"/>
      <c s="886" r="AL110"/>
      <c s="886" r="AM110"/>
      <c s="418" r="AN110"/>
      <c s="550" r="AO110"/>
      <c s="550" r="AP110"/>
      <c t="str" s="620" r="AQ110">
        <f>IF((COUNT(AP110:AP$146,AR110:AR$146)=0),NA(),IF(ISBLANK(AP110),AQ109,(AQ109+(AP110-AR109))))</f>
        <v>#N/A:explicit</v>
      </c>
      <c s="550" r="AR110"/>
      <c t="str" s="620" r="AS110">
        <f>IF(OR(ISBLANK(AR110),ISNUMBER(AP111)),NA(),(AQ110-AR110))</f>
        <v>#N/A:explicit</v>
      </c>
      <c t="b" s="895" r="AT110">
        <v>0</v>
      </c>
      <c s="631" r="AU110"/>
      <c t="str" s="309" r="AV110">
        <f>IF((COUNT(AO110:AO$146)=0),NA(),IF(ISBLANK(AO110),IF(ISBLANK(AO109),MAX(AO$46:AO110),AO109),AO110))</f>
        <v>#N/A:explicit</v>
      </c>
      <c t="str" s="861" r="AW110">
        <f>IF(ISNA(AS110),IF(ISNUMBER(AV110),AW109,NA()),AS110)</f>
        <v>#N/A:explicit</v>
      </c>
      <c s="861" r="AX110">
        <f>IF(ISNUMBER(AW110),AW110,(AQ$46+1000))</f>
        <v>1000</v>
      </c>
      <c t="str" s="588" r="AY110">
        <f>IF((AT110=TRUE),NA(),IF((AY$44=(AQ$46-MAX(AR$46:AR$146))),NA(),AY$44))</f>
        <v>#N/A:explicit</v>
      </c>
      <c s="588" r="AZ110">
        <f>IF((ISNA(((AW110*AV110)*AW109))),0,(IF((AV110&lt;AV109),-1,1)*(IF((AT109=FALSE),IF((AT110=FALSE),IF(ISNA(AW110),0,IF((AW109&lt;AY$44),IF((AW110&lt;AY$44),(((AV110-AV109)^2)^0.5),(((((AY$44-AW109)*(AV110-AV109))/(AW110-AW109))^2)^0.5)),IF((AW110&lt;AY$44),(((((AY$44-AW110)*(AV110-AV109))/(AW109-AW110))^2)^0.5),0))),0),0))))</f>
        <v>0</v>
      </c>
      <c s="588" r="BA110">
        <f>IF(ISNA((AW110*AW109)),0,IF((AT109=FALSE),IF((AT110=FALSE),IF(ISNA(AS110),0,IF((AW109&lt;AY$44),IF((AW110&lt;AY$44),((AY$44-((AW109+AW110)*0.5))*AZ110),(((AY$44-AW109)*0.5)*AZ110)),IF((AW110&lt;AY$44),(((AY$44-AW110)*0.5)*AZ110),0))),0),0))</f>
        <v>0</v>
      </c>
      <c s="588" r="BB110">
        <f>IF(ISNA((AW110*AW109)),0,IF((AT109=FALSE),IF((AT110=FALSE),IF(ISNA(AW110),0,IF((AW109&lt;AY$44),IF((AW110&lt;AY$44),(((AZ110^2)+((AW110-AW109)^2))^0.5),(((AZ110^2)+((AY$44-AW109)^2))^0.5)),IF((AW110&lt;AY$44),(((AZ110^2)+((AY$44-AW110)^2))^0.5),0))),0),0))</f>
        <v>0</v>
      </c>
      <c s="588" r="BC110">
        <f>IF(ISNUMBER((AW110*AW109)),IF((AW109&gt;=AI$148),IF((AW110&lt;AI$148),1,0),IF((AW110&gt;=AI$148),IF((AW109&lt;AI$148),1,0),0)),0)</f>
        <v>0</v>
      </c>
      <c s="588" r="BD110">
        <f>IF(ISNA((AW110*AW109)),0,(IF((AV110&lt;AV109),-1,1)*(IF(ISNA(AW110),0,IF((AW109&lt;AI$148),IF((AW110&lt;AI$148),(((AV110-AV109)^2)^0.5),(((((AI$148-AW109)*(AV110-AV109))/(AW110-AW109))^2)^0.5)),IF((AW110&lt;AI$148),(((((AI$148-AW110)*(AV110-AV109))/(AW109-AW110))^2)^0.5),0))))))</f>
        <v>0</v>
      </c>
      <c s="441" r="BE110">
        <f>IF((BA110&gt;0),(MAX(BE$47:BE109)+1),0)</f>
        <v>0</v>
      </c>
      <c s="388" r="BF110"/>
      <c s="406" r="BG110"/>
      <c s="886" r="BH110"/>
      <c s="886" r="BI110"/>
      <c s="886" r="BJ110"/>
      <c s="886" r="BK110"/>
      <c s="418" r="BL110"/>
      <c s="550" r="BM110"/>
      <c s="550" r="BN110"/>
      <c t="str" s="620" r="BO110">
        <f>IF((COUNT(BN110:BN$146,BP110:BP$146)=0),NA(),IF(ISBLANK(BN110),BO109,(BO109+(BN110-BP109))))</f>
        <v>#N/A:explicit</v>
      </c>
      <c s="550" r="BP110"/>
      <c t="str" s="620" r="BQ110">
        <f>IF(OR(ISBLANK(BP110),ISNUMBER(BN111)),NA(),(BO110-BP110))</f>
        <v>#N/A:explicit</v>
      </c>
      <c t="b" s="895" r="BR110">
        <v>0</v>
      </c>
      <c s="631" r="BS110"/>
      <c t="str" s="309" r="BT110">
        <f>IF((COUNT(BM110:BM$146)=0),NA(),IF(ISBLANK(BM110),IF(ISBLANK(BM109),MAX(BM$46:BM110),BM109),BM110))</f>
        <v>#N/A:explicit</v>
      </c>
      <c t="str" s="861" r="BU110">
        <f>IF(ISNA(BQ110),IF(ISNUMBER(BT110),BU109,NA()),BQ110)</f>
        <v>#N/A:explicit</v>
      </c>
      <c s="861" r="BV110">
        <f>IF(ISNUMBER(BU110),BU110,(BO$46+1000))</f>
        <v>1000</v>
      </c>
      <c t="str" s="588" r="BW110">
        <f>IF((BR110=TRUE),NA(),IF((BW$44=(BO$46-MAX(BP$46:BP$146))),NA(),BW$44))</f>
        <v>#N/A:explicit</v>
      </c>
      <c s="588" r="BX110">
        <f>IF((ISNA(((BU110*BT110)*BU109))),0,(IF((BT110&lt;BT109),-1,1)*(IF((BR109=FALSE),IF((BR110=FALSE),IF(ISNA(BU110),0,IF((BU109&lt;BW$44),IF((BU110&lt;BW$44),(((BT110-BT109)^2)^0.5),(((((BW$44-BU109)*(BT110-BT109))/(BU110-BU109))^2)^0.5)),IF((BU110&lt;BW$44),(((((BW$44-BU110)*(BT110-BT109))/(BU109-BU110))^2)^0.5),0))),0),0))))</f>
        <v>0</v>
      </c>
      <c s="588" r="BY110">
        <f>IF(ISNA((BU110*BU109)),0,IF((BR109=FALSE),IF((BR110=FALSE),IF(ISNA(BQ110),0,IF((BU109&lt;BW$44),IF((BU110&lt;BW$44),((BW$44-((BU109+BU110)*0.5))*BX110),(((BW$44-BU109)*0.5)*BX110)),IF((BU110&lt;BW$44),(((BW$44-BU110)*0.5)*BX110),0))),0),0))</f>
        <v>0</v>
      </c>
      <c s="588" r="BZ110">
        <f>IF(ISNA((BU110*BU109)),0,IF((BR109=FALSE),IF((BR110=FALSE),IF(ISNA(BU110),0,IF((BU109&lt;BW$44),IF((BU110&lt;BW$44),(((BX110^2)+((BU110-BU109)^2))^0.5),(((BX110^2)+((BW$44-BU109)^2))^0.5)),IF((BU110&lt;BW$44),(((BX110^2)+((BW$44-BU110)^2))^0.5),0))),0),0))</f>
        <v>0</v>
      </c>
      <c s="588" r="CA110">
        <f>IF(ISNUMBER((BU110*BU109)),IF((BU109&gt;=BG$148),IF((BU110&lt;BG$148),1,0),IF((BU110&gt;=BG$148),IF((BU109&lt;BG$148),1,0),0)),0)</f>
        <v>0</v>
      </c>
      <c s="588" r="CB110">
        <f>IF(ISNA((BU110*BU109)),0,(IF((BT110&lt;BT109),-1,1)*(IF(ISNA(BU110),0,IF((BU109&lt;BG$148),IF((BU110&lt;BG$148),(((BT110-BT109)^2)^0.5),(((((BG$148-BU109)*(BT110-BT109))/(BU110-BU109))^2)^0.5)),IF((BU110&lt;BG$148),(((((BG$148-BU110)*(BT110-BT109))/(BU109-BU110))^2)^0.5),0))))))</f>
        <v>0</v>
      </c>
      <c s="441" r="CC110">
        <f>IF((BY110&gt;0),(MAX(CC$47:CC109)+1),0)</f>
        <v>0</v>
      </c>
      <c s="388" r="CD110"/>
      <c s="406" r="CE110"/>
      <c s="886" r="CF110"/>
      <c s="886" r="CG110"/>
      <c s="886" r="CH110"/>
      <c s="886" r="CI110"/>
      <c s="418" r="CJ110"/>
      <c s="550" r="CK110"/>
      <c s="550" r="CL110"/>
      <c t="str" s="620" r="CM110">
        <f>IF((COUNT(CL110:CL$146,CN110:CN$146)=0),NA(),IF(ISBLANK(CL110),CM109,(CM109+(CL110-CN109))))</f>
        <v>#N/A:explicit</v>
      </c>
      <c s="550" r="CN110"/>
      <c t="str" s="620" r="CO110">
        <f>IF(OR(ISBLANK(CN110),ISNUMBER(CL111)),NA(),(CM110-CN110))</f>
        <v>#N/A:explicit</v>
      </c>
      <c t="b" s="895" r="CP110">
        <v>0</v>
      </c>
      <c s="631" r="CQ110"/>
      <c t="str" s="309" r="CR110">
        <f>IF((COUNT(CK110:CK$146)=0),NA(),IF(ISBLANK(CK110),IF(ISBLANK(CK109),MAX(CK$46:CK110),CK109),CK110))</f>
        <v>#N/A:explicit</v>
      </c>
      <c t="str" s="861" r="CS110">
        <f>IF(ISNA(CO110),IF(ISNUMBER(CR110),CS109,NA()),CO110)</f>
        <v>#N/A:explicit</v>
      </c>
      <c s="861" r="CT110">
        <f>IF(ISNUMBER(CS110),CS110,(CM$46+1000))</f>
        <v>1000</v>
      </c>
      <c t="str" s="588" r="CU110">
        <f>IF((CP110=TRUE),NA(),IF((CU$44=(CM$46-MAX(CN$46:CN$146))),NA(),CU$44))</f>
        <v>#N/A:explicit</v>
      </c>
      <c s="588" r="CV110">
        <f>IF((ISNA(((CS110*CR110)*CS109))),0,(IF((CR110&lt;CR109),-1,1)*(IF((CP109=FALSE),IF((CP110=FALSE),IF(ISNA(CS110),0,IF((CS109&lt;CU$44),IF((CS110&lt;CU$44),(((CR110-CR109)^2)^0.5),(((((CU$44-CS109)*(CR110-CR109))/(CS110-CS109))^2)^0.5)),IF((CS110&lt;CU$44),(((((CU$44-CS110)*(CR110-CR109))/(CS109-CS110))^2)^0.5),0))),0),0))))</f>
        <v>0</v>
      </c>
      <c s="588" r="CW110">
        <f>IF(ISNA((CS110*CS109)),0,IF((CP109=FALSE),IF((CP110=FALSE),IF(ISNA(CO110),0,IF((CS109&lt;CU$44),IF((CS110&lt;CU$44),((CU$44-((CS109+CS110)*0.5))*CV110),(((CU$44-CS109)*0.5)*CV110)),IF((CS110&lt;CU$44),(((CU$44-CS110)*0.5)*CV110),0))),0),0))</f>
        <v>0</v>
      </c>
      <c s="588" r="CX110">
        <f>IF(ISNA((CS110*CS109)),0,IF((CP109=FALSE),IF((CP110=FALSE),IF(ISNA(CS110),0,IF((CS109&lt;CU$44),IF((CS110&lt;CU$44),(((CV110^2)+((CS110-CS109)^2))^0.5),(((CV110^2)+((CU$44-CS109)^2))^0.5)),IF((CS110&lt;CU$44),(((CV110^2)+((CU$44-CS110)^2))^0.5),0))),0),0))</f>
        <v>0</v>
      </c>
      <c s="588" r="CY110">
        <f>IF(ISNUMBER((CS110*CS109)),IF((CS109&gt;=CE$148),IF((CS110&lt;CE$148),1,0),IF((CS110&gt;=CE$148),IF((CS109&lt;CE$148),1,0),0)),0)</f>
        <v>0</v>
      </c>
      <c s="588" r="CZ110">
        <f>IF(ISNA((CS110*CS109)),0,(IF((CR110&lt;CR109),-1,1)*(IF(ISNA(CS110),0,IF((CS109&lt;CE$148),IF((CS110&lt;CE$148),(((CR110-CR109)^2)^0.5),(((((CE$148-CS109)*(CR110-CR109))/(CS110-CS109))^2)^0.5)),IF((CS110&lt;CE$148),(((((CE$148-CS110)*(CR110-CR109))/(CS109-CS110))^2)^0.5),0))))))</f>
        <v>0</v>
      </c>
      <c s="441" r="DA110">
        <f>IF((CW110&gt;0),(MAX(DA$47:DA109)+1),0)</f>
        <v>0</v>
      </c>
      <c s="388" r="DB110"/>
      <c s="406" r="DC110"/>
      <c s="886" r="DD110"/>
      <c s="886" r="DE110"/>
      <c s="886" r="DF110"/>
      <c s="886" r="DG110"/>
      <c s="418" r="DH110"/>
      <c s="550" r="DI110"/>
      <c s="550" r="DJ110"/>
      <c t="str" s="620" r="DK110">
        <f>IF((COUNT(DJ110:DJ$146,DL110:DL$146)=0),NA(),IF(ISBLANK(DJ110),DK109,(DK109+(DJ110-DL109))))</f>
        <v>#N/A:explicit</v>
      </c>
      <c s="550" r="DL110"/>
      <c t="str" s="620" r="DM110">
        <f>IF(OR(ISBLANK(DL110),ISNUMBER(DJ111)),NA(),(DK110-DL110))</f>
        <v>#N/A:explicit</v>
      </c>
      <c t="b" s="895" r="DN110">
        <v>0</v>
      </c>
      <c s="631" r="DO110"/>
      <c t="str" s="309" r="DP110">
        <f>IF((COUNT(DI110:DI$146)=0),NA(),IF(ISBLANK(DI110),IF(ISBLANK(DI109),MAX(DI$46:DI110),DI109),DI110))</f>
        <v>#N/A:explicit</v>
      </c>
      <c t="str" s="861" r="DQ110">
        <f>IF(ISNA(DM110),IF(ISNUMBER(DP110),DQ109,NA()),DM110)</f>
        <v>#N/A:explicit</v>
      </c>
      <c s="861" r="DR110">
        <f>IF(ISNUMBER(DQ110),DQ110,(DK$46+1000))</f>
        <v>1000</v>
      </c>
      <c t="str" s="588" r="DS110">
        <f>IF((DN110=TRUE),NA(),IF((DS$44=(DK$46-MAX(DL$46:DL$146))),NA(),DS$44))</f>
        <v>#N/A:explicit</v>
      </c>
      <c s="588" r="DT110">
        <f>IF((ISNA(((DQ110*DP110)*DQ109))),0,(IF((DP110&lt;DP109),-1,1)*(IF((DN109=FALSE),IF((DN110=FALSE),IF(ISNA(DQ110),0,IF((DQ109&lt;DS$44),IF((DQ110&lt;DS$44),(((DP110-DP109)^2)^0.5),(((((DS$44-DQ109)*(DP110-DP109))/(DQ110-DQ109))^2)^0.5)),IF((DQ110&lt;DS$44),(((((DS$44-DQ110)*(DP110-DP109))/(DQ109-DQ110))^2)^0.5),0))),0),0))))</f>
        <v>0</v>
      </c>
      <c s="588" r="DU110">
        <f>IF(ISNA((DQ110*DQ109)),0,IF((DN109=FALSE),IF((DN110=FALSE),IF(ISNA(DM110),0,IF((DQ109&lt;DS$44),IF((DQ110&lt;DS$44),((DS$44-((DQ109+DQ110)*0.5))*DT110),(((DS$44-DQ109)*0.5)*DT110)),IF((DQ110&lt;DS$44),(((DS$44-DQ110)*0.5)*DT110),0))),0),0))</f>
        <v>0</v>
      </c>
      <c s="588" r="DV110">
        <f>IF(ISNA((DQ110*DQ109)),0,IF((DN109=FALSE),IF((DN110=FALSE),IF(ISNA(DQ110),0,IF((DQ109&lt;DS$44),IF((DQ110&lt;DS$44),(((DT110^2)+((DQ110-DQ109)^2))^0.5),(((DT110^2)+((DS$44-DQ109)^2))^0.5)),IF((DQ110&lt;DS$44),(((DT110^2)+((DS$44-DQ110)^2))^0.5),0))),0),0))</f>
        <v>0</v>
      </c>
      <c s="588" r="DW110">
        <f>IF(ISNUMBER((DQ110*DQ109)),IF((DQ109&gt;=DC$148),IF((DQ110&lt;DC$148),1,0),IF((DQ110&gt;=DC$148),IF((DQ109&lt;DC$148),1,0),0)),0)</f>
        <v>0</v>
      </c>
      <c s="588" r="DX110">
        <f>IF(ISNA((DQ110*DQ109)),0,(IF((DP110&lt;DP109),-1,1)*(IF(ISNA(DQ110),0,IF((DQ109&lt;DC$148),IF((DQ110&lt;DC$148),(((DP110-DP109)^2)^0.5),(((((DC$148-DQ109)*(DP110-DP109))/(DQ110-DQ109))^2)^0.5)),IF((DQ110&lt;DC$148),(((((DC$148-DQ110)*(DP110-DP109))/(DQ109-DQ110))^2)^0.5),0))))))</f>
        <v>0</v>
      </c>
      <c s="441" r="DY110">
        <f>IF((DU110&gt;0),(MAX(DY$47:DY109)+1),0)</f>
        <v>0</v>
      </c>
      <c s="388" r="DZ110"/>
      <c s="406" r="EA110"/>
      <c s="886" r="EB110"/>
      <c s="886" r="EC110"/>
      <c s="886" r="ED110"/>
      <c s="886" r="EE110"/>
      <c s="418" r="EF110"/>
      <c s="550" r="EG110"/>
      <c s="550" r="EH110"/>
      <c t="str" s="620" r="EI110">
        <f>IF((COUNT(EH110:EH$146,EJ110:EJ$146)=0),NA(),IF(ISBLANK(EH110),EI109,(EI109+(EH110-EJ109))))</f>
        <v>#N/A:explicit</v>
      </c>
      <c s="550" r="EJ110"/>
      <c t="str" s="620" r="EK110">
        <f>IF(OR(ISBLANK(EJ110),ISNUMBER(EH111)),NA(),(EI110-EJ110))</f>
        <v>#N/A:explicit</v>
      </c>
      <c t="b" s="895" r="EL110">
        <v>0</v>
      </c>
      <c s="631" r="EM110"/>
      <c t="str" s="309" r="EN110">
        <f>IF((COUNT(EG110:EG$146)=0),NA(),IF(ISBLANK(EG110),IF(ISBLANK(EG109),MAX(EG$46:EG110),EG109),EG110))</f>
        <v>#N/A:explicit</v>
      </c>
      <c t="str" s="861" r="EO110">
        <f>IF(ISNA(EK110),IF(ISNUMBER(EN110),EO109,NA()),EK110)</f>
        <v>#N/A:explicit</v>
      </c>
      <c s="861" r="EP110">
        <f>IF(ISNUMBER(EO110),EO110,(EI$46+1000))</f>
        <v>1000</v>
      </c>
      <c t="str" s="588" r="EQ110">
        <f>IF((EL110=TRUE),NA(),IF((EQ$44=(EI$46-MAX(EJ$46:EJ$146))),NA(),EQ$44))</f>
        <v>#N/A:explicit</v>
      </c>
      <c s="588" r="ER110">
        <f>IF((ISNA(((EO110*EN110)*EO109))),0,(IF((EN110&lt;EN109),-1,1)*(IF((EL109=FALSE),IF((EL110=FALSE),IF(ISNA(EO110),0,IF((EO109&lt;EQ$44),IF((EO110&lt;EQ$44),(((EN110-EN109)^2)^0.5),(((((EQ$44-EO109)*(EN110-EN109))/(EO110-EO109))^2)^0.5)),IF((EO110&lt;EQ$44),(((((EQ$44-EO110)*(EN110-EN109))/(EO109-EO110))^2)^0.5),0))),0),0))))</f>
        <v>0</v>
      </c>
      <c s="588" r="ES110">
        <f>IF(ISNA((EO110*EO109)),0,IF((EL109=FALSE),IF((EL110=FALSE),IF(ISNA(EK110),0,IF((EO109&lt;EQ$44),IF((EO110&lt;EQ$44),((EQ$44-((EO109+EO110)*0.5))*ER110),(((EQ$44-EO109)*0.5)*ER110)),IF((EO110&lt;EQ$44),(((EQ$44-EO110)*0.5)*ER110),0))),0),0))</f>
        <v>0</v>
      </c>
      <c s="588" r="ET110">
        <f>IF(ISNA((EO110*EO109)),0,IF((EL109=FALSE),IF((EL110=FALSE),IF(ISNA(EO110),0,IF((EO109&lt;EQ$44),IF((EO110&lt;EQ$44),(((ER110^2)+((EO110-EO109)^2))^0.5),(((ER110^2)+((EQ$44-EO109)^2))^0.5)),IF((EO110&lt;EQ$44),(((ER110^2)+((EQ$44-EO110)^2))^0.5),0))),0),0))</f>
        <v>0</v>
      </c>
      <c s="588" r="EU110">
        <f>IF(ISNUMBER((EO110*EO109)),IF((EO109&gt;=EA$148),IF((EO110&lt;EA$148),1,0),IF((EO110&gt;=EA$148),IF((EO109&lt;EA$148),1,0),0)),0)</f>
        <v>0</v>
      </c>
      <c s="588" r="EV110">
        <f>IF(ISNA((EO110*EO109)),0,(IF((EN110&lt;EN109),-1,1)*(IF(ISNA(EO110),0,IF((EO109&lt;EA$148),IF((EO110&lt;EA$148),(((EN110-EN109)^2)^0.5),(((((EA$148-EO109)*(EN110-EN109))/(EO110-EO109))^2)^0.5)),IF((EO110&lt;EA$148),(((((EA$148-EO110)*(EN110-EN109))/(EO109-EO110))^2)^0.5),0))))))</f>
        <v>0</v>
      </c>
      <c s="441" r="EW110">
        <f>IF((ES110&gt;0),(MAX(EW$47:EW109)+1),0)</f>
        <v>0</v>
      </c>
      <c s="388" r="EX110"/>
      <c s="406" r="EY110"/>
      <c s="886" r="EZ110"/>
      <c s="886" r="FA110"/>
      <c s="886" r="FB110"/>
      <c s="886" r="FC110"/>
      <c s="418" r="FD110"/>
      <c s="550" r="FE110"/>
      <c s="550" r="FF110"/>
      <c t="str" s="620" r="FG110">
        <f>IF((COUNT(FF110:FF$146,FH110:FH$146)=0),NA(),IF(ISBLANK(FF110),FG109,(FG109+(FF110-FH109))))</f>
        <v>#N/A:explicit</v>
      </c>
      <c s="550" r="FH110"/>
      <c t="str" s="620" r="FI110">
        <f>IF(OR(ISBLANK(FH110),ISNUMBER(FF111)),NA(),(FG110-FH110))</f>
        <v>#N/A:explicit</v>
      </c>
      <c t="b" s="895" r="FJ110">
        <v>0</v>
      </c>
      <c s="631" r="FK110"/>
      <c t="str" s="309" r="FL110">
        <f>IF((COUNT(FE110:FE$146)=0),NA(),IF(ISBLANK(FE110),IF(ISBLANK(FE109),MAX(FE$46:FE110),FE109),FE110))</f>
        <v>#N/A:explicit</v>
      </c>
      <c t="str" s="861" r="FM110">
        <f>IF(ISNA(FI110),IF(ISNUMBER(FL110),FM109,NA()),FI110)</f>
        <v>#N/A:explicit</v>
      </c>
      <c s="861" r="FN110">
        <f>IF(ISNUMBER(FM110),FM110,(FG$46+1000))</f>
        <v>1000</v>
      </c>
      <c t="str" s="588" r="FO110">
        <f>IF((FJ110=TRUE),NA(),IF((FO$44=(FG$46-MAX(FH$46:FH$146))),NA(),FO$44))</f>
        <v>#N/A:explicit</v>
      </c>
      <c s="588" r="FP110">
        <f>IF((ISNA(((FM110*FL110)*FM109))),0,(IF((FL110&lt;FL109),-1,1)*(IF((FJ109=FALSE),IF((FJ110=FALSE),IF(ISNA(FM110),0,IF((FM109&lt;FO$44),IF((FM110&lt;FO$44),(((FL110-FL109)^2)^0.5),(((((FO$44-FM109)*(FL110-FL109))/(FM110-FM109))^2)^0.5)),IF((FM110&lt;FO$44),(((((FO$44-FM110)*(FL110-FL109))/(FM109-FM110))^2)^0.5),0))),0),0))))</f>
        <v>0</v>
      </c>
      <c s="588" r="FQ110">
        <f>IF(ISNA((FM110*FM109)),0,IF((FJ109=FALSE),IF((FJ110=FALSE),IF(ISNA(FI110),0,IF((FM109&lt;FO$44),IF((FM110&lt;FO$44),((FO$44-((FM109+FM110)*0.5))*FP110),(((FO$44-FM109)*0.5)*FP110)),IF((FM110&lt;FO$44),(((FO$44-FM110)*0.5)*FP110),0))),0),0))</f>
        <v>0</v>
      </c>
      <c s="588" r="FR110">
        <f>IF(ISNA((FM110*FM109)),0,IF((FJ109=FALSE),IF((FJ110=FALSE),IF(ISNA(FM110),0,IF((FM109&lt;FO$44),IF((FM110&lt;FO$44),(((FP110^2)+((FM110-FM109)^2))^0.5),(((FP110^2)+((FO$44-FM109)^2))^0.5)),IF((FM110&lt;FO$44),(((FP110^2)+((FO$44-FM110)^2))^0.5),0))),0),0))</f>
        <v>0</v>
      </c>
      <c s="588" r="FS110">
        <f>IF(ISNUMBER((FM110*FM109)),IF((FM109&gt;=EY$148),IF((FM110&lt;EY$148),1,0),IF((FM110&gt;=EY$148),IF((FM109&lt;EY$148),1,0),0)),0)</f>
        <v>0</v>
      </c>
      <c s="588" r="FT110">
        <f>IF(ISNA((FM110*FM109)),0,(IF((FL110&lt;FL109),-1,1)*(IF(ISNA(FM110),0,IF((FM109&lt;EY$148),IF((FM110&lt;EY$148),(((FL110-FL109)^2)^0.5),(((((EY$148-FM109)*(FL110-FL109))/(FM110-FM109))^2)^0.5)),IF((FM110&lt;EY$148),(((((EY$148-FM110)*(FL110-FL109))/(FM109-FM110))^2)^0.5),0))))))</f>
        <v>0</v>
      </c>
      <c s="441" r="FU110">
        <f>IF((FQ110&gt;0),(MAX(FU$47:FU109)+1),0)</f>
        <v>0</v>
      </c>
      <c s="222" r="FV110"/>
      <c s="125" r="FW110"/>
      <c s="125" r="FX110"/>
      <c s="125" r="FY110"/>
      <c s="125" r="FZ110"/>
      <c s="125" r="GA110"/>
      <c s="125" r="GB110"/>
      <c s="125" r="GC110"/>
      <c s="125" r="GD110"/>
      <c s="125" r="GE110"/>
      <c s="125" r="GF110"/>
      <c s="125" r="GG110"/>
      <c s="125" r="GH110"/>
      <c s="125" r="GI110"/>
      <c s="125" r="GJ110"/>
      <c s="125" r="GK110"/>
      <c s="125" r="GL110"/>
      <c s="125" r="GM110"/>
      <c s="125" r="GN110"/>
      <c s="125" r="GO110"/>
      <c s="125" r="GP110"/>
      <c s="125" r="GQ110"/>
      <c s="125" r="GR110"/>
      <c s="125" r="GS110"/>
      <c s="125" r="GT110"/>
      <c s="125" r="GU110"/>
      <c s="125" r="GV110"/>
      <c s="125" r="GW110"/>
      <c s="125" r="GX110"/>
      <c s="125" r="GY110"/>
      <c s="125" r="GZ110"/>
      <c s="125" r="HA110"/>
      <c s="125" r="HB110"/>
    </row>
    <row r="111">
      <c s="822" r="A111"/>
      <c s="908" r="B111"/>
      <c s="551" r="C111"/>
      <c s="551" r="D111"/>
      <c t="str" s="812" r="E111">
        <f>"velocity "&amp;IF((H4=2),"(m/s)","(ft/s)")</f>
        <v>velocity (ft/s)</v>
      </c>
      <c t="str" s="126" r="F111">
        <f>IF(ISNUMBER((F108/F90)),(F108/F90),"---")</f>
        <v>---</v>
      </c>
      <c t="str" s="245" r="G111">
        <f>IF(AND(ISTEXT('Dimension Estimated Values'!R6),ISTEXT('Dimension Estimated Values'!R7)),"---",(((("("&amp;ROUND('Dimension Estimated Values'!R6,1))&amp;"-")&amp;ROUND('Dimension Estimated Values'!R7,1))&amp;")"))</f>
        <v>---</v>
      </c>
      <c t="str" s="564" r="H111">
        <f>IF(ISNUMBER((F108/F95)),(F108/F95),"---")</f>
        <v>---</v>
      </c>
      <c s="51" r="I111"/>
      <c s="822" r="J111"/>
      <c s="406" r="K111"/>
      <c s="886" r="L111"/>
      <c s="886" r="M111"/>
      <c s="886" r="N111"/>
      <c s="886" r="O111"/>
      <c s="418" r="P111"/>
      <c s="550" r="Q111"/>
      <c s="550" r="R111"/>
      <c t="str" s="620" r="S111">
        <f>IF((COUNT(R111:R$146,T111:T$146)=0),NA(),IF(ISBLANK(R111),S110,(S110+(R111-T110))))</f>
        <v>#N/A:explicit</v>
      </c>
      <c s="550" r="T111"/>
      <c t="str" s="620" r="U111">
        <f>IF(OR(ISBLANK(T111),ISNUMBER(R112)),NA(),(S111-T111))</f>
        <v>#N/A:explicit</v>
      </c>
      <c t="b" s="895" r="V111">
        <v>0</v>
      </c>
      <c s="631" r="W111"/>
      <c t="str" s="309" r="X111">
        <f>IF((COUNT(Q111:Q$146)=0),NA(),IF(ISBLANK(Q111),IF(ISBLANK(Q110),MAX(Q$46:Q111),Q110),Q111))</f>
        <v>#N/A:explicit</v>
      </c>
      <c t="str" s="861" r="Y111">
        <f>IF(ISNA(U111),IF(ISNUMBER(X111),Y110,NA()),U111)</f>
        <v>#N/A:explicit</v>
      </c>
      <c s="861" r="Z111">
        <f>IF(ISNUMBER(Y111),Y111,(S$46+1000))</f>
        <v>1000</v>
      </c>
      <c t="str" s="588" r="AA111">
        <f>IF((V111=TRUE),NA(),IF((AA$44=(S$46-MAX(T$46:T$146))),NA(),AA$44))</f>
        <v>#N/A:explicit</v>
      </c>
      <c s="588" r="AB111">
        <f>IF((ISNA(((Y111*X111)*Y110))),0,(IF((X111&lt;X110),-1,1)*(IF((V110=FALSE),IF((V111=FALSE),IF(ISNA(Y111),0,IF((Y110&lt;AA$44),IF((Y111&lt;AA$44),(((X111-X110)^2)^0.5),(((((AA$44-Y110)*(X111-X110))/(Y111-Y110))^2)^0.5)),IF((Y111&lt;AA$44),(((((AA$44-Y111)*(X111-X110))/(Y110-Y111))^2)^0.5),0))),0),0))))</f>
        <v>0</v>
      </c>
      <c s="588" r="AC111">
        <f>IF(ISNA((Y111*Y110)),0,IF((V110=FALSE),IF((V111=FALSE),IF(ISNA(U111),0,IF((Y110&lt;AA$44),IF((Y111&lt;AA$44),((AA$44-((Y110+Y111)*0.5))*AB111),(((AA$44-Y110)*0.5)*AB111)),IF((Y111&lt;AA$44),(((AA$44-Y111)*0.5)*AB111),0))),0),0))</f>
        <v>0</v>
      </c>
      <c s="588" r="AD111">
        <f>IF(ISNA((Y111*Y110)),0,IF((V110=FALSE),IF((V111=FALSE),IF(ISNA(Y111),0,IF((Y110&lt;AA$44),IF((Y111&lt;AA$44),(((AB111^2)+((Y111-Y110)^2))^0.5),(((AB111^2)+((AA$44-Y110)^2))^0.5)),IF((Y111&lt;AA$44),(((AB111^2)+((AA$44-Y111)^2))^0.5),0))),0),0))</f>
        <v>0</v>
      </c>
      <c s="588" r="AE111">
        <f>IF(ISNUMBER((Y111*Y110)),IF((Y110&gt;=K$148),IF((Y111&lt;K$148),1,0),IF((Y111&gt;=K$148),IF((Y110&lt;K$148),1,0),0)),0)</f>
        <v>0</v>
      </c>
      <c s="588" r="AF111">
        <f>IF(ISNA((Y111*Y110)),0,(IF((X111&lt;X110),-1,1)*(IF(ISNA(Y111),0,IF((Y110&lt;K$148),IF((Y111&lt;K$148),(((X111-X110)^2)^0.5),(((((K$148-Y110)*(X111-X110))/(Y111-Y110))^2)^0.5)),IF((Y111&lt;K$148),(((((K$148-Y111)*(X111-X110))/(Y110-Y111))^2)^0.5),0))))))</f>
        <v>0</v>
      </c>
      <c s="441" r="AG111">
        <f>IF((AC111&gt;0),(MAX(AG$47:AG110)+1),0)</f>
        <v>0</v>
      </c>
      <c s="388" r="AH111"/>
      <c s="406" r="AI111"/>
      <c s="886" r="AJ111"/>
      <c s="886" r="AK111"/>
      <c s="886" r="AL111"/>
      <c s="886" r="AM111"/>
      <c s="418" r="AN111"/>
      <c s="550" r="AO111"/>
      <c s="550" r="AP111"/>
      <c t="str" s="620" r="AQ111">
        <f>IF((COUNT(AP111:AP$146,AR111:AR$146)=0),NA(),IF(ISBLANK(AP111),AQ110,(AQ110+(AP111-AR110))))</f>
        <v>#N/A:explicit</v>
      </c>
      <c s="550" r="AR111"/>
      <c t="str" s="620" r="AS111">
        <f>IF(OR(ISBLANK(AR111),ISNUMBER(AP112)),NA(),(AQ111-AR111))</f>
        <v>#N/A:explicit</v>
      </c>
      <c t="b" s="895" r="AT111">
        <v>0</v>
      </c>
      <c s="631" r="AU111"/>
      <c t="str" s="309" r="AV111">
        <f>IF((COUNT(AO111:AO$146)=0),NA(),IF(ISBLANK(AO111),IF(ISBLANK(AO110),MAX(AO$46:AO111),AO110),AO111))</f>
        <v>#N/A:explicit</v>
      </c>
      <c t="str" s="861" r="AW111">
        <f>IF(ISNA(AS111),IF(ISNUMBER(AV111),AW110,NA()),AS111)</f>
        <v>#N/A:explicit</v>
      </c>
      <c s="861" r="AX111">
        <f>IF(ISNUMBER(AW111),AW111,(AQ$46+1000))</f>
        <v>1000</v>
      </c>
      <c t="str" s="588" r="AY111">
        <f>IF((AT111=TRUE),NA(),IF((AY$44=(AQ$46-MAX(AR$46:AR$146))),NA(),AY$44))</f>
        <v>#N/A:explicit</v>
      </c>
      <c s="588" r="AZ111">
        <f>IF((ISNA(((AW111*AV111)*AW110))),0,(IF((AV111&lt;AV110),-1,1)*(IF((AT110=FALSE),IF((AT111=FALSE),IF(ISNA(AW111),0,IF((AW110&lt;AY$44),IF((AW111&lt;AY$44),(((AV111-AV110)^2)^0.5),(((((AY$44-AW110)*(AV111-AV110))/(AW111-AW110))^2)^0.5)),IF((AW111&lt;AY$44),(((((AY$44-AW111)*(AV111-AV110))/(AW110-AW111))^2)^0.5),0))),0),0))))</f>
        <v>0</v>
      </c>
      <c s="588" r="BA111">
        <f>IF(ISNA((AW111*AW110)),0,IF((AT110=FALSE),IF((AT111=FALSE),IF(ISNA(AS111),0,IF((AW110&lt;AY$44),IF((AW111&lt;AY$44),((AY$44-((AW110+AW111)*0.5))*AZ111),(((AY$44-AW110)*0.5)*AZ111)),IF((AW111&lt;AY$44),(((AY$44-AW111)*0.5)*AZ111),0))),0),0))</f>
        <v>0</v>
      </c>
      <c s="588" r="BB111">
        <f>IF(ISNA((AW111*AW110)),0,IF((AT110=FALSE),IF((AT111=FALSE),IF(ISNA(AW111),0,IF((AW110&lt;AY$44),IF((AW111&lt;AY$44),(((AZ111^2)+((AW111-AW110)^2))^0.5),(((AZ111^2)+((AY$44-AW110)^2))^0.5)),IF((AW111&lt;AY$44),(((AZ111^2)+((AY$44-AW111)^2))^0.5),0))),0),0))</f>
        <v>0</v>
      </c>
      <c s="588" r="BC111">
        <f>IF(ISNUMBER((AW111*AW110)),IF((AW110&gt;=AI$148),IF((AW111&lt;AI$148),1,0),IF((AW111&gt;=AI$148),IF((AW110&lt;AI$148),1,0),0)),0)</f>
        <v>0</v>
      </c>
      <c s="588" r="BD111">
        <f>IF(ISNA((AW111*AW110)),0,(IF((AV111&lt;AV110),-1,1)*(IF(ISNA(AW111),0,IF((AW110&lt;AI$148),IF((AW111&lt;AI$148),(((AV111-AV110)^2)^0.5),(((((AI$148-AW110)*(AV111-AV110))/(AW111-AW110))^2)^0.5)),IF((AW111&lt;AI$148),(((((AI$148-AW111)*(AV111-AV110))/(AW110-AW111))^2)^0.5),0))))))</f>
        <v>0</v>
      </c>
      <c s="441" r="BE111">
        <f>IF((BA111&gt;0),(MAX(BE$47:BE110)+1),0)</f>
        <v>0</v>
      </c>
      <c s="388" r="BF111"/>
      <c s="406" r="BG111"/>
      <c s="886" r="BH111"/>
      <c s="886" r="BI111"/>
      <c s="886" r="BJ111"/>
      <c s="886" r="BK111"/>
      <c s="418" r="BL111"/>
      <c s="550" r="BM111"/>
      <c s="550" r="BN111"/>
      <c t="str" s="620" r="BO111">
        <f>IF((COUNT(BN111:BN$146,BP111:BP$146)=0),NA(),IF(ISBLANK(BN111),BO110,(BO110+(BN111-BP110))))</f>
        <v>#N/A:explicit</v>
      </c>
      <c s="550" r="BP111"/>
      <c t="str" s="620" r="BQ111">
        <f>IF(OR(ISBLANK(BP111),ISNUMBER(BN112)),NA(),(BO111-BP111))</f>
        <v>#N/A:explicit</v>
      </c>
      <c t="b" s="895" r="BR111">
        <v>0</v>
      </c>
      <c s="631" r="BS111"/>
      <c t="str" s="309" r="BT111">
        <f>IF((COUNT(BM111:BM$146)=0),NA(),IF(ISBLANK(BM111),IF(ISBLANK(BM110),MAX(BM$46:BM111),BM110),BM111))</f>
        <v>#N/A:explicit</v>
      </c>
      <c t="str" s="861" r="BU111">
        <f>IF(ISNA(BQ111),IF(ISNUMBER(BT111),BU110,NA()),BQ111)</f>
        <v>#N/A:explicit</v>
      </c>
      <c s="861" r="BV111">
        <f>IF(ISNUMBER(BU111),BU111,(BO$46+1000))</f>
        <v>1000</v>
      </c>
      <c t="str" s="588" r="BW111">
        <f>IF((BR111=TRUE),NA(),IF((BW$44=(BO$46-MAX(BP$46:BP$146))),NA(),BW$44))</f>
        <v>#N/A:explicit</v>
      </c>
      <c s="588" r="BX111">
        <f>IF((ISNA(((BU111*BT111)*BU110))),0,(IF((BT111&lt;BT110),-1,1)*(IF((BR110=FALSE),IF((BR111=FALSE),IF(ISNA(BU111),0,IF((BU110&lt;BW$44),IF((BU111&lt;BW$44),(((BT111-BT110)^2)^0.5),(((((BW$44-BU110)*(BT111-BT110))/(BU111-BU110))^2)^0.5)),IF((BU111&lt;BW$44),(((((BW$44-BU111)*(BT111-BT110))/(BU110-BU111))^2)^0.5),0))),0),0))))</f>
        <v>0</v>
      </c>
      <c s="588" r="BY111">
        <f>IF(ISNA((BU111*BU110)),0,IF((BR110=FALSE),IF((BR111=FALSE),IF(ISNA(BQ111),0,IF((BU110&lt;BW$44),IF((BU111&lt;BW$44),((BW$44-((BU110+BU111)*0.5))*BX111),(((BW$44-BU110)*0.5)*BX111)),IF((BU111&lt;BW$44),(((BW$44-BU111)*0.5)*BX111),0))),0),0))</f>
        <v>0</v>
      </c>
      <c s="588" r="BZ111">
        <f>IF(ISNA((BU111*BU110)),0,IF((BR110=FALSE),IF((BR111=FALSE),IF(ISNA(BU111),0,IF((BU110&lt;BW$44),IF((BU111&lt;BW$44),(((BX111^2)+((BU111-BU110)^2))^0.5),(((BX111^2)+((BW$44-BU110)^2))^0.5)),IF((BU111&lt;BW$44),(((BX111^2)+((BW$44-BU111)^2))^0.5),0))),0),0))</f>
        <v>0</v>
      </c>
      <c s="588" r="CA111">
        <f>IF(ISNUMBER((BU111*BU110)),IF((BU110&gt;=BG$148),IF((BU111&lt;BG$148),1,0),IF((BU111&gt;=BG$148),IF((BU110&lt;BG$148),1,0),0)),0)</f>
        <v>0</v>
      </c>
      <c s="588" r="CB111">
        <f>IF(ISNA((BU111*BU110)),0,(IF((BT111&lt;BT110),-1,1)*(IF(ISNA(BU111),0,IF((BU110&lt;BG$148),IF((BU111&lt;BG$148),(((BT111-BT110)^2)^0.5),(((((BG$148-BU110)*(BT111-BT110))/(BU111-BU110))^2)^0.5)),IF((BU111&lt;BG$148),(((((BG$148-BU111)*(BT111-BT110))/(BU110-BU111))^2)^0.5),0))))))</f>
        <v>0</v>
      </c>
      <c s="441" r="CC111">
        <f>IF((BY111&gt;0),(MAX(CC$47:CC110)+1),0)</f>
        <v>0</v>
      </c>
      <c s="388" r="CD111"/>
      <c s="406" r="CE111"/>
      <c s="886" r="CF111"/>
      <c s="886" r="CG111"/>
      <c s="886" r="CH111"/>
      <c s="886" r="CI111"/>
      <c s="418" r="CJ111"/>
      <c s="550" r="CK111"/>
      <c s="550" r="CL111"/>
      <c t="str" s="620" r="CM111">
        <f>IF((COUNT(CL111:CL$146,CN111:CN$146)=0),NA(),IF(ISBLANK(CL111),CM110,(CM110+(CL111-CN110))))</f>
        <v>#N/A:explicit</v>
      </c>
      <c s="550" r="CN111"/>
      <c t="str" s="620" r="CO111">
        <f>IF(OR(ISBLANK(CN111),ISNUMBER(CL112)),NA(),(CM111-CN111))</f>
        <v>#N/A:explicit</v>
      </c>
      <c t="b" s="895" r="CP111">
        <v>0</v>
      </c>
      <c s="631" r="CQ111"/>
      <c t="str" s="309" r="CR111">
        <f>IF((COUNT(CK111:CK$146)=0),NA(),IF(ISBLANK(CK111),IF(ISBLANK(CK110),MAX(CK$46:CK111),CK110),CK111))</f>
        <v>#N/A:explicit</v>
      </c>
      <c t="str" s="861" r="CS111">
        <f>IF(ISNA(CO111),IF(ISNUMBER(CR111),CS110,NA()),CO111)</f>
        <v>#N/A:explicit</v>
      </c>
      <c s="861" r="CT111">
        <f>IF(ISNUMBER(CS111),CS111,(CM$46+1000))</f>
        <v>1000</v>
      </c>
      <c t="str" s="588" r="CU111">
        <f>IF((CP111=TRUE),NA(),IF((CU$44=(CM$46-MAX(CN$46:CN$146))),NA(),CU$44))</f>
        <v>#N/A:explicit</v>
      </c>
      <c s="588" r="CV111">
        <f>IF((ISNA(((CS111*CR111)*CS110))),0,(IF((CR111&lt;CR110),-1,1)*(IF((CP110=FALSE),IF((CP111=FALSE),IF(ISNA(CS111),0,IF((CS110&lt;CU$44),IF((CS111&lt;CU$44),(((CR111-CR110)^2)^0.5),(((((CU$44-CS110)*(CR111-CR110))/(CS111-CS110))^2)^0.5)),IF((CS111&lt;CU$44),(((((CU$44-CS111)*(CR111-CR110))/(CS110-CS111))^2)^0.5),0))),0),0))))</f>
        <v>0</v>
      </c>
      <c s="588" r="CW111">
        <f>IF(ISNA((CS111*CS110)),0,IF((CP110=FALSE),IF((CP111=FALSE),IF(ISNA(CO111),0,IF((CS110&lt;CU$44),IF((CS111&lt;CU$44),((CU$44-((CS110+CS111)*0.5))*CV111),(((CU$44-CS110)*0.5)*CV111)),IF((CS111&lt;CU$44),(((CU$44-CS111)*0.5)*CV111),0))),0),0))</f>
        <v>0</v>
      </c>
      <c s="588" r="CX111">
        <f>IF(ISNA((CS111*CS110)),0,IF((CP110=FALSE),IF((CP111=FALSE),IF(ISNA(CS111),0,IF((CS110&lt;CU$44),IF((CS111&lt;CU$44),(((CV111^2)+((CS111-CS110)^2))^0.5),(((CV111^2)+((CU$44-CS110)^2))^0.5)),IF((CS111&lt;CU$44),(((CV111^2)+((CU$44-CS111)^2))^0.5),0))),0),0))</f>
        <v>0</v>
      </c>
      <c s="588" r="CY111">
        <f>IF(ISNUMBER((CS111*CS110)),IF((CS110&gt;=CE$148),IF((CS111&lt;CE$148),1,0),IF((CS111&gt;=CE$148),IF((CS110&lt;CE$148),1,0),0)),0)</f>
        <v>0</v>
      </c>
      <c s="588" r="CZ111">
        <f>IF(ISNA((CS111*CS110)),0,(IF((CR111&lt;CR110),-1,1)*(IF(ISNA(CS111),0,IF((CS110&lt;CE$148),IF((CS111&lt;CE$148),(((CR111-CR110)^2)^0.5),(((((CE$148-CS110)*(CR111-CR110))/(CS111-CS110))^2)^0.5)),IF((CS111&lt;CE$148),(((((CE$148-CS111)*(CR111-CR110))/(CS110-CS111))^2)^0.5),0))))))</f>
        <v>0</v>
      </c>
      <c s="441" r="DA111">
        <f>IF((CW111&gt;0),(MAX(DA$47:DA110)+1),0)</f>
        <v>0</v>
      </c>
      <c s="388" r="DB111"/>
      <c s="406" r="DC111"/>
      <c s="886" r="DD111"/>
      <c s="886" r="DE111"/>
      <c s="886" r="DF111"/>
      <c s="886" r="DG111"/>
      <c s="418" r="DH111"/>
      <c s="550" r="DI111"/>
      <c s="550" r="DJ111"/>
      <c t="str" s="620" r="DK111">
        <f>IF((COUNT(DJ111:DJ$146,DL111:DL$146)=0),NA(),IF(ISBLANK(DJ111),DK110,(DK110+(DJ111-DL110))))</f>
        <v>#N/A:explicit</v>
      </c>
      <c s="550" r="DL111"/>
      <c t="str" s="620" r="DM111">
        <f>IF(OR(ISBLANK(DL111),ISNUMBER(DJ112)),NA(),(DK111-DL111))</f>
        <v>#N/A:explicit</v>
      </c>
      <c t="b" s="895" r="DN111">
        <v>0</v>
      </c>
      <c s="631" r="DO111"/>
      <c t="str" s="309" r="DP111">
        <f>IF((COUNT(DI111:DI$146)=0),NA(),IF(ISBLANK(DI111),IF(ISBLANK(DI110),MAX(DI$46:DI111),DI110),DI111))</f>
        <v>#N/A:explicit</v>
      </c>
      <c t="str" s="861" r="DQ111">
        <f>IF(ISNA(DM111),IF(ISNUMBER(DP111),DQ110,NA()),DM111)</f>
        <v>#N/A:explicit</v>
      </c>
      <c s="861" r="DR111">
        <f>IF(ISNUMBER(DQ111),DQ111,(DK$46+1000))</f>
        <v>1000</v>
      </c>
      <c t="str" s="588" r="DS111">
        <f>IF((DN111=TRUE),NA(),IF((DS$44=(DK$46-MAX(DL$46:DL$146))),NA(),DS$44))</f>
        <v>#N/A:explicit</v>
      </c>
      <c s="588" r="DT111">
        <f>IF((ISNA(((DQ111*DP111)*DQ110))),0,(IF((DP111&lt;DP110),-1,1)*(IF((DN110=FALSE),IF((DN111=FALSE),IF(ISNA(DQ111),0,IF((DQ110&lt;DS$44),IF((DQ111&lt;DS$44),(((DP111-DP110)^2)^0.5),(((((DS$44-DQ110)*(DP111-DP110))/(DQ111-DQ110))^2)^0.5)),IF((DQ111&lt;DS$44),(((((DS$44-DQ111)*(DP111-DP110))/(DQ110-DQ111))^2)^0.5),0))),0),0))))</f>
        <v>0</v>
      </c>
      <c s="588" r="DU111">
        <f>IF(ISNA((DQ111*DQ110)),0,IF((DN110=FALSE),IF((DN111=FALSE),IF(ISNA(DM111),0,IF((DQ110&lt;DS$44),IF((DQ111&lt;DS$44),((DS$44-((DQ110+DQ111)*0.5))*DT111),(((DS$44-DQ110)*0.5)*DT111)),IF((DQ111&lt;DS$44),(((DS$44-DQ111)*0.5)*DT111),0))),0),0))</f>
        <v>0</v>
      </c>
      <c s="588" r="DV111">
        <f>IF(ISNA((DQ111*DQ110)),0,IF((DN110=FALSE),IF((DN111=FALSE),IF(ISNA(DQ111),0,IF((DQ110&lt;DS$44),IF((DQ111&lt;DS$44),(((DT111^2)+((DQ111-DQ110)^2))^0.5),(((DT111^2)+((DS$44-DQ110)^2))^0.5)),IF((DQ111&lt;DS$44),(((DT111^2)+((DS$44-DQ111)^2))^0.5),0))),0),0))</f>
        <v>0</v>
      </c>
      <c s="588" r="DW111">
        <f>IF(ISNUMBER((DQ111*DQ110)),IF((DQ110&gt;=DC$148),IF((DQ111&lt;DC$148),1,0),IF((DQ111&gt;=DC$148),IF((DQ110&lt;DC$148),1,0),0)),0)</f>
        <v>0</v>
      </c>
      <c s="588" r="DX111">
        <f>IF(ISNA((DQ111*DQ110)),0,(IF((DP111&lt;DP110),-1,1)*(IF(ISNA(DQ111),0,IF((DQ110&lt;DC$148),IF((DQ111&lt;DC$148),(((DP111-DP110)^2)^0.5),(((((DC$148-DQ110)*(DP111-DP110))/(DQ111-DQ110))^2)^0.5)),IF((DQ111&lt;DC$148),(((((DC$148-DQ111)*(DP111-DP110))/(DQ110-DQ111))^2)^0.5),0))))))</f>
        <v>0</v>
      </c>
      <c s="441" r="DY111">
        <f>IF((DU111&gt;0),(MAX(DY$47:DY110)+1),0)</f>
        <v>0</v>
      </c>
      <c s="388" r="DZ111"/>
      <c s="406" r="EA111"/>
      <c s="886" r="EB111"/>
      <c s="886" r="EC111"/>
      <c s="886" r="ED111"/>
      <c s="886" r="EE111"/>
      <c s="418" r="EF111"/>
      <c s="550" r="EG111"/>
      <c s="550" r="EH111"/>
      <c t="str" s="620" r="EI111">
        <f>IF((COUNT(EH111:EH$146,EJ111:EJ$146)=0),NA(),IF(ISBLANK(EH111),EI110,(EI110+(EH111-EJ110))))</f>
        <v>#N/A:explicit</v>
      </c>
      <c s="550" r="EJ111"/>
      <c t="str" s="620" r="EK111">
        <f>IF(OR(ISBLANK(EJ111),ISNUMBER(EH112)),NA(),(EI111-EJ111))</f>
        <v>#N/A:explicit</v>
      </c>
      <c t="b" s="895" r="EL111">
        <v>0</v>
      </c>
      <c s="631" r="EM111"/>
      <c t="str" s="309" r="EN111">
        <f>IF((COUNT(EG111:EG$146)=0),NA(),IF(ISBLANK(EG111),IF(ISBLANK(EG110),MAX(EG$46:EG111),EG110),EG111))</f>
        <v>#N/A:explicit</v>
      </c>
      <c t="str" s="861" r="EO111">
        <f>IF(ISNA(EK111),IF(ISNUMBER(EN111),EO110,NA()),EK111)</f>
        <v>#N/A:explicit</v>
      </c>
      <c s="861" r="EP111">
        <f>IF(ISNUMBER(EO111),EO111,(EI$46+1000))</f>
        <v>1000</v>
      </c>
      <c t="str" s="588" r="EQ111">
        <f>IF((EL111=TRUE),NA(),IF((EQ$44=(EI$46-MAX(EJ$46:EJ$146))),NA(),EQ$44))</f>
        <v>#N/A:explicit</v>
      </c>
      <c s="588" r="ER111">
        <f>IF((ISNA(((EO111*EN111)*EO110))),0,(IF((EN111&lt;EN110),-1,1)*(IF((EL110=FALSE),IF((EL111=FALSE),IF(ISNA(EO111),0,IF((EO110&lt;EQ$44),IF((EO111&lt;EQ$44),(((EN111-EN110)^2)^0.5),(((((EQ$44-EO110)*(EN111-EN110))/(EO111-EO110))^2)^0.5)),IF((EO111&lt;EQ$44),(((((EQ$44-EO111)*(EN111-EN110))/(EO110-EO111))^2)^0.5),0))),0),0))))</f>
        <v>0</v>
      </c>
      <c s="588" r="ES111">
        <f>IF(ISNA((EO111*EO110)),0,IF((EL110=FALSE),IF((EL111=FALSE),IF(ISNA(EK111),0,IF((EO110&lt;EQ$44),IF((EO111&lt;EQ$44),((EQ$44-((EO110+EO111)*0.5))*ER111),(((EQ$44-EO110)*0.5)*ER111)),IF((EO111&lt;EQ$44),(((EQ$44-EO111)*0.5)*ER111),0))),0),0))</f>
        <v>0</v>
      </c>
      <c s="588" r="ET111">
        <f>IF(ISNA((EO111*EO110)),0,IF((EL110=FALSE),IF((EL111=FALSE),IF(ISNA(EO111),0,IF((EO110&lt;EQ$44),IF((EO111&lt;EQ$44),(((ER111^2)+((EO111-EO110)^2))^0.5),(((ER111^2)+((EQ$44-EO110)^2))^0.5)),IF((EO111&lt;EQ$44),(((ER111^2)+((EQ$44-EO111)^2))^0.5),0))),0),0))</f>
        <v>0</v>
      </c>
      <c s="588" r="EU111">
        <f>IF(ISNUMBER((EO111*EO110)),IF((EO110&gt;=EA$148),IF((EO111&lt;EA$148),1,0),IF((EO111&gt;=EA$148),IF((EO110&lt;EA$148),1,0),0)),0)</f>
        <v>0</v>
      </c>
      <c s="588" r="EV111">
        <f>IF(ISNA((EO111*EO110)),0,(IF((EN111&lt;EN110),-1,1)*(IF(ISNA(EO111),0,IF((EO110&lt;EA$148),IF((EO111&lt;EA$148),(((EN111-EN110)^2)^0.5),(((((EA$148-EO110)*(EN111-EN110))/(EO111-EO110))^2)^0.5)),IF((EO111&lt;EA$148),(((((EA$148-EO111)*(EN111-EN110))/(EO110-EO111))^2)^0.5),0))))))</f>
        <v>0</v>
      </c>
      <c s="441" r="EW111">
        <f>IF((ES111&gt;0),(MAX(EW$47:EW110)+1),0)</f>
        <v>0</v>
      </c>
      <c s="388" r="EX111"/>
      <c s="406" r="EY111"/>
      <c s="886" r="EZ111"/>
      <c s="886" r="FA111"/>
      <c s="886" r="FB111"/>
      <c s="886" r="FC111"/>
      <c s="418" r="FD111"/>
      <c s="550" r="FE111"/>
      <c s="550" r="FF111"/>
      <c t="str" s="620" r="FG111">
        <f>IF((COUNT(FF111:FF$146,FH111:FH$146)=0),NA(),IF(ISBLANK(FF111),FG110,(FG110+(FF111-FH110))))</f>
        <v>#N/A:explicit</v>
      </c>
      <c s="550" r="FH111"/>
      <c t="str" s="620" r="FI111">
        <f>IF(OR(ISBLANK(FH111),ISNUMBER(FF112)),NA(),(FG111-FH111))</f>
        <v>#N/A:explicit</v>
      </c>
      <c t="b" s="895" r="FJ111">
        <v>0</v>
      </c>
      <c s="631" r="FK111"/>
      <c t="str" s="309" r="FL111">
        <f>IF((COUNT(FE111:FE$146)=0),NA(),IF(ISBLANK(FE111),IF(ISBLANK(FE110),MAX(FE$46:FE111),FE110),FE111))</f>
        <v>#N/A:explicit</v>
      </c>
      <c t="str" s="861" r="FM111">
        <f>IF(ISNA(FI111),IF(ISNUMBER(FL111),FM110,NA()),FI111)</f>
        <v>#N/A:explicit</v>
      </c>
      <c s="861" r="FN111">
        <f>IF(ISNUMBER(FM111),FM111,(FG$46+1000))</f>
        <v>1000</v>
      </c>
      <c t="str" s="588" r="FO111">
        <f>IF((FJ111=TRUE),NA(),IF((FO$44=(FG$46-MAX(FH$46:FH$146))),NA(),FO$44))</f>
        <v>#N/A:explicit</v>
      </c>
      <c s="588" r="FP111">
        <f>IF((ISNA(((FM111*FL111)*FM110))),0,(IF((FL111&lt;FL110),-1,1)*(IF((FJ110=FALSE),IF((FJ111=FALSE),IF(ISNA(FM111),0,IF((FM110&lt;FO$44),IF((FM111&lt;FO$44),(((FL111-FL110)^2)^0.5),(((((FO$44-FM110)*(FL111-FL110))/(FM111-FM110))^2)^0.5)),IF((FM111&lt;FO$44),(((((FO$44-FM111)*(FL111-FL110))/(FM110-FM111))^2)^0.5),0))),0),0))))</f>
        <v>0</v>
      </c>
      <c s="588" r="FQ111">
        <f>IF(ISNA((FM111*FM110)),0,IF((FJ110=FALSE),IF((FJ111=FALSE),IF(ISNA(FI111),0,IF((FM110&lt;FO$44),IF((FM111&lt;FO$44),((FO$44-((FM110+FM111)*0.5))*FP111),(((FO$44-FM110)*0.5)*FP111)),IF((FM111&lt;FO$44),(((FO$44-FM111)*0.5)*FP111),0))),0),0))</f>
        <v>0</v>
      </c>
      <c s="588" r="FR111">
        <f>IF(ISNA((FM111*FM110)),0,IF((FJ110=FALSE),IF((FJ111=FALSE),IF(ISNA(FM111),0,IF((FM110&lt;FO$44),IF((FM111&lt;FO$44),(((FP111^2)+((FM111-FM110)^2))^0.5),(((FP111^2)+((FO$44-FM110)^2))^0.5)),IF((FM111&lt;FO$44),(((FP111^2)+((FO$44-FM111)^2))^0.5),0))),0),0))</f>
        <v>0</v>
      </c>
      <c s="588" r="FS111">
        <f>IF(ISNUMBER((FM111*FM110)),IF((FM110&gt;=EY$148),IF((FM111&lt;EY$148),1,0),IF((FM111&gt;=EY$148),IF((FM110&lt;EY$148),1,0),0)),0)</f>
        <v>0</v>
      </c>
      <c s="588" r="FT111">
        <f>IF(ISNA((FM111*FM110)),0,(IF((FL111&lt;FL110),-1,1)*(IF(ISNA(FM111),0,IF((FM110&lt;EY$148),IF((FM111&lt;EY$148),(((FL111-FL110)^2)^0.5),(((((EY$148-FM110)*(FL111-FL110))/(FM111-FM110))^2)^0.5)),IF((FM111&lt;EY$148),(((((EY$148-FM111)*(FL111-FL110))/(FM110-FM111))^2)^0.5),0))))))</f>
        <v>0</v>
      </c>
      <c s="441" r="FU111">
        <f>IF((FQ111&gt;0),(MAX(FU$47:FU110)+1),0)</f>
        <v>0</v>
      </c>
      <c s="222" r="FV111"/>
      <c s="125" r="FW111"/>
      <c s="125" r="FX111"/>
      <c s="125" r="FY111"/>
      <c s="125" r="FZ111"/>
      <c s="125" r="GA111"/>
      <c s="125" r="GB111"/>
      <c s="125" r="GC111"/>
      <c s="125" r="GD111"/>
      <c s="125" r="GE111"/>
      <c s="125" r="GF111"/>
      <c s="125" r="GG111"/>
      <c s="125" r="GH111"/>
      <c s="125" r="GI111"/>
      <c s="125" r="GJ111"/>
      <c s="125" r="GK111"/>
      <c s="125" r="GL111"/>
      <c s="125" r="GM111"/>
      <c s="125" r="GN111"/>
      <c s="125" r="GO111"/>
      <c s="125" r="GP111"/>
      <c s="125" r="GQ111"/>
      <c s="125" r="GR111"/>
      <c s="125" r="GS111"/>
      <c s="125" r="GT111"/>
      <c s="125" r="GU111"/>
      <c s="125" r="GV111"/>
      <c s="125" r="GW111"/>
      <c s="125" r="GX111"/>
      <c s="125" r="GY111"/>
      <c s="125" r="GZ111"/>
      <c s="125" r="HA111"/>
      <c s="125" r="HB111"/>
    </row>
    <row r="112">
      <c s="822" r="A112"/>
      <c s="908" r="B112"/>
      <c s="551" r="C112"/>
      <c s="551" r="D112"/>
      <c t="s" s="812" r="E112">
        <v>101</v>
      </c>
      <c t="str" s="128" r="F112">
        <f>IF(ISNUMBER((F111*F94)),IF(((F111*F94)&lt;&gt;0),(F111/((IF((H4=2),9.81,32.2)*F94)^0.5)),"---"),"---")</f>
        <v>---</v>
      </c>
      <c t="str" s="677" r="G112">
        <f>IF(AND(ISTEXT('Dimension Estimated Values'!W6),ISTEXT('Dimension Estimated Values'!W7)),"---",(((("("&amp;ROUND('Dimension Estimated Values'!W6,2))&amp;"-")&amp;ROUND('Dimension Estimated Values'!W7,2))&amp;")"))</f>
        <v>---</v>
      </c>
      <c t="str" s="22" r="H112">
        <f>IF(ISNUMBER((H111*F98)),IF(((H111*F98)&lt;&gt;0),((H111^2)/(32.2*F98)),"---"),"---")</f>
        <v>---</v>
      </c>
      <c s="51" r="I112"/>
      <c s="822" r="J112"/>
      <c s="406" r="K112"/>
      <c s="886" r="L112"/>
      <c s="886" r="M112"/>
      <c s="886" r="N112"/>
      <c s="886" r="O112"/>
      <c s="418" r="P112"/>
      <c s="550" r="Q112"/>
      <c s="550" r="R112"/>
      <c t="str" s="620" r="S112">
        <f>IF((COUNT(R112:R$146,T112:T$146)=0),NA(),IF(ISBLANK(R112),S111,(S111+(R112-T111))))</f>
        <v>#N/A:explicit</v>
      </c>
      <c s="550" r="T112"/>
      <c t="str" s="620" r="U112">
        <f>IF(OR(ISBLANK(T112),ISNUMBER(R113)),NA(),(S112-T112))</f>
        <v>#N/A:explicit</v>
      </c>
      <c t="b" s="895" r="V112">
        <v>0</v>
      </c>
      <c s="631" r="W112"/>
      <c t="str" s="309" r="X112">
        <f>IF((COUNT(Q112:Q$146)=0),NA(),IF(ISBLANK(Q112),IF(ISBLANK(Q111),MAX(Q$46:Q112),Q111),Q112))</f>
        <v>#N/A:explicit</v>
      </c>
      <c t="str" s="861" r="Y112">
        <f>IF(ISNA(U112),IF(ISNUMBER(X112),Y111,NA()),U112)</f>
        <v>#N/A:explicit</v>
      </c>
      <c s="861" r="Z112">
        <f>IF(ISNUMBER(Y112),Y112,(S$46+1000))</f>
        <v>1000</v>
      </c>
      <c t="str" s="588" r="AA112">
        <f>IF((V112=TRUE),NA(),IF((AA$44=(S$46-MAX(T$46:T$146))),NA(),AA$44))</f>
        <v>#N/A:explicit</v>
      </c>
      <c s="588" r="AB112">
        <f>IF((ISNA(((Y112*X112)*Y111))),0,(IF((X112&lt;X111),-1,1)*(IF((V111=FALSE),IF((V112=FALSE),IF(ISNA(Y112),0,IF((Y111&lt;AA$44),IF((Y112&lt;AA$44),(((X112-X111)^2)^0.5),(((((AA$44-Y111)*(X112-X111))/(Y112-Y111))^2)^0.5)),IF((Y112&lt;AA$44),(((((AA$44-Y112)*(X112-X111))/(Y111-Y112))^2)^0.5),0))),0),0))))</f>
        <v>0</v>
      </c>
      <c s="588" r="AC112">
        <f>IF(ISNA((Y112*Y111)),0,IF((V111=FALSE),IF((V112=FALSE),IF(ISNA(U112),0,IF((Y111&lt;AA$44),IF((Y112&lt;AA$44),((AA$44-((Y111+Y112)*0.5))*AB112),(((AA$44-Y111)*0.5)*AB112)),IF((Y112&lt;AA$44),(((AA$44-Y112)*0.5)*AB112),0))),0),0))</f>
        <v>0</v>
      </c>
      <c s="588" r="AD112">
        <f>IF(ISNA((Y112*Y111)),0,IF((V111=FALSE),IF((V112=FALSE),IF(ISNA(Y112),0,IF((Y111&lt;AA$44),IF((Y112&lt;AA$44),(((AB112^2)+((Y112-Y111)^2))^0.5),(((AB112^2)+((AA$44-Y111)^2))^0.5)),IF((Y112&lt;AA$44),(((AB112^2)+((AA$44-Y112)^2))^0.5),0))),0),0))</f>
        <v>0</v>
      </c>
      <c s="588" r="AE112">
        <f>IF(ISNUMBER((Y112*Y111)),IF((Y111&gt;=K$148),IF((Y112&lt;K$148),1,0),IF((Y112&gt;=K$148),IF((Y111&lt;K$148),1,0),0)),0)</f>
        <v>0</v>
      </c>
      <c s="588" r="AF112">
        <f>IF(ISNA((Y112*Y111)),0,(IF((X112&lt;X111),-1,1)*(IF(ISNA(Y112),0,IF((Y111&lt;K$148),IF((Y112&lt;K$148),(((X112-X111)^2)^0.5),(((((K$148-Y111)*(X112-X111))/(Y112-Y111))^2)^0.5)),IF((Y112&lt;K$148),(((((K$148-Y112)*(X112-X111))/(Y111-Y112))^2)^0.5),0))))))</f>
        <v>0</v>
      </c>
      <c s="441" r="AG112">
        <f>IF((AC112&gt;0),(MAX(AG$47:AG111)+1),0)</f>
        <v>0</v>
      </c>
      <c s="388" r="AH112"/>
      <c s="406" r="AI112"/>
      <c s="886" r="AJ112"/>
      <c s="886" r="AK112"/>
      <c s="886" r="AL112"/>
      <c s="886" r="AM112"/>
      <c s="418" r="AN112"/>
      <c s="550" r="AO112"/>
      <c s="550" r="AP112"/>
      <c t="str" s="620" r="AQ112">
        <f>IF((COUNT(AP112:AP$146,AR112:AR$146)=0),NA(),IF(ISBLANK(AP112),AQ111,(AQ111+(AP112-AR111))))</f>
        <v>#N/A:explicit</v>
      </c>
      <c s="550" r="AR112"/>
      <c t="str" s="620" r="AS112">
        <f>IF(OR(ISBLANK(AR112),ISNUMBER(AP113)),NA(),(AQ112-AR112))</f>
        <v>#N/A:explicit</v>
      </c>
      <c t="b" s="895" r="AT112">
        <v>0</v>
      </c>
      <c s="631" r="AU112"/>
      <c t="str" s="309" r="AV112">
        <f>IF((COUNT(AO112:AO$146)=0),NA(),IF(ISBLANK(AO112),IF(ISBLANK(AO111),MAX(AO$46:AO112),AO111),AO112))</f>
        <v>#N/A:explicit</v>
      </c>
      <c t="str" s="861" r="AW112">
        <f>IF(ISNA(AS112),IF(ISNUMBER(AV112),AW111,NA()),AS112)</f>
        <v>#N/A:explicit</v>
      </c>
      <c s="861" r="AX112">
        <f>IF(ISNUMBER(AW112),AW112,(AQ$46+1000))</f>
        <v>1000</v>
      </c>
      <c t="str" s="588" r="AY112">
        <f>IF((AT112=TRUE),NA(),IF((AY$44=(AQ$46-MAX(AR$46:AR$146))),NA(),AY$44))</f>
        <v>#N/A:explicit</v>
      </c>
      <c s="588" r="AZ112">
        <f>IF((ISNA(((AW112*AV112)*AW111))),0,(IF((AV112&lt;AV111),-1,1)*(IF((AT111=FALSE),IF((AT112=FALSE),IF(ISNA(AW112),0,IF((AW111&lt;AY$44),IF((AW112&lt;AY$44),(((AV112-AV111)^2)^0.5),(((((AY$44-AW111)*(AV112-AV111))/(AW112-AW111))^2)^0.5)),IF((AW112&lt;AY$44),(((((AY$44-AW112)*(AV112-AV111))/(AW111-AW112))^2)^0.5),0))),0),0))))</f>
        <v>0</v>
      </c>
      <c s="588" r="BA112">
        <f>IF(ISNA((AW112*AW111)),0,IF((AT111=FALSE),IF((AT112=FALSE),IF(ISNA(AS112),0,IF((AW111&lt;AY$44),IF((AW112&lt;AY$44),((AY$44-((AW111+AW112)*0.5))*AZ112),(((AY$44-AW111)*0.5)*AZ112)),IF((AW112&lt;AY$44),(((AY$44-AW112)*0.5)*AZ112),0))),0),0))</f>
        <v>0</v>
      </c>
      <c s="588" r="BB112">
        <f>IF(ISNA((AW112*AW111)),0,IF((AT111=FALSE),IF((AT112=FALSE),IF(ISNA(AW112),0,IF((AW111&lt;AY$44),IF((AW112&lt;AY$44),(((AZ112^2)+((AW112-AW111)^2))^0.5),(((AZ112^2)+((AY$44-AW111)^2))^0.5)),IF((AW112&lt;AY$44),(((AZ112^2)+((AY$44-AW112)^2))^0.5),0))),0),0))</f>
        <v>0</v>
      </c>
      <c s="588" r="BC112">
        <f>IF(ISNUMBER((AW112*AW111)),IF((AW111&gt;=AI$148),IF((AW112&lt;AI$148),1,0),IF((AW112&gt;=AI$148),IF((AW111&lt;AI$148),1,0),0)),0)</f>
        <v>0</v>
      </c>
      <c s="588" r="BD112">
        <f>IF(ISNA((AW112*AW111)),0,(IF((AV112&lt;AV111),-1,1)*(IF(ISNA(AW112),0,IF((AW111&lt;AI$148),IF((AW112&lt;AI$148),(((AV112-AV111)^2)^0.5),(((((AI$148-AW111)*(AV112-AV111))/(AW112-AW111))^2)^0.5)),IF((AW112&lt;AI$148),(((((AI$148-AW112)*(AV112-AV111))/(AW111-AW112))^2)^0.5),0))))))</f>
        <v>0</v>
      </c>
      <c s="441" r="BE112">
        <f>IF((BA112&gt;0),(MAX(BE$47:BE111)+1),0)</f>
        <v>0</v>
      </c>
      <c s="388" r="BF112"/>
      <c s="406" r="BG112"/>
      <c s="886" r="BH112"/>
      <c s="886" r="BI112"/>
      <c s="886" r="BJ112"/>
      <c s="886" r="BK112"/>
      <c s="418" r="BL112"/>
      <c s="550" r="BM112"/>
      <c s="550" r="BN112"/>
      <c t="str" s="620" r="BO112">
        <f>IF((COUNT(BN112:BN$146,BP112:BP$146)=0),NA(),IF(ISBLANK(BN112),BO111,(BO111+(BN112-BP111))))</f>
        <v>#N/A:explicit</v>
      </c>
      <c s="550" r="BP112"/>
      <c t="str" s="620" r="BQ112">
        <f>IF(OR(ISBLANK(BP112),ISNUMBER(BN113)),NA(),(BO112-BP112))</f>
        <v>#N/A:explicit</v>
      </c>
      <c t="b" s="895" r="BR112">
        <v>0</v>
      </c>
      <c s="631" r="BS112"/>
      <c t="str" s="309" r="BT112">
        <f>IF((COUNT(BM112:BM$146)=0),NA(),IF(ISBLANK(BM112),IF(ISBLANK(BM111),MAX(BM$46:BM112),BM111),BM112))</f>
        <v>#N/A:explicit</v>
      </c>
      <c t="str" s="861" r="BU112">
        <f>IF(ISNA(BQ112),IF(ISNUMBER(BT112),BU111,NA()),BQ112)</f>
        <v>#N/A:explicit</v>
      </c>
      <c s="861" r="BV112">
        <f>IF(ISNUMBER(BU112),BU112,(BO$46+1000))</f>
        <v>1000</v>
      </c>
      <c t="str" s="588" r="BW112">
        <f>IF((BR112=TRUE),NA(),IF((BW$44=(BO$46-MAX(BP$46:BP$146))),NA(),BW$44))</f>
        <v>#N/A:explicit</v>
      </c>
      <c s="588" r="BX112">
        <f>IF((ISNA(((BU112*BT112)*BU111))),0,(IF((BT112&lt;BT111),-1,1)*(IF((BR111=FALSE),IF((BR112=FALSE),IF(ISNA(BU112),0,IF((BU111&lt;BW$44),IF((BU112&lt;BW$44),(((BT112-BT111)^2)^0.5),(((((BW$44-BU111)*(BT112-BT111))/(BU112-BU111))^2)^0.5)),IF((BU112&lt;BW$44),(((((BW$44-BU112)*(BT112-BT111))/(BU111-BU112))^2)^0.5),0))),0),0))))</f>
        <v>0</v>
      </c>
      <c s="588" r="BY112">
        <f>IF(ISNA((BU112*BU111)),0,IF((BR111=FALSE),IF((BR112=FALSE),IF(ISNA(BQ112),0,IF((BU111&lt;BW$44),IF((BU112&lt;BW$44),((BW$44-((BU111+BU112)*0.5))*BX112),(((BW$44-BU111)*0.5)*BX112)),IF((BU112&lt;BW$44),(((BW$44-BU112)*0.5)*BX112),0))),0),0))</f>
        <v>0</v>
      </c>
      <c s="588" r="BZ112">
        <f>IF(ISNA((BU112*BU111)),0,IF((BR111=FALSE),IF((BR112=FALSE),IF(ISNA(BU112),0,IF((BU111&lt;BW$44),IF((BU112&lt;BW$44),(((BX112^2)+((BU112-BU111)^2))^0.5),(((BX112^2)+((BW$44-BU111)^2))^0.5)),IF((BU112&lt;BW$44),(((BX112^2)+((BW$44-BU112)^2))^0.5),0))),0),0))</f>
        <v>0</v>
      </c>
      <c s="588" r="CA112">
        <f>IF(ISNUMBER((BU112*BU111)),IF((BU111&gt;=BG$148),IF((BU112&lt;BG$148),1,0),IF((BU112&gt;=BG$148),IF((BU111&lt;BG$148),1,0),0)),0)</f>
        <v>0</v>
      </c>
      <c s="588" r="CB112">
        <f>IF(ISNA((BU112*BU111)),0,(IF((BT112&lt;BT111),-1,1)*(IF(ISNA(BU112),0,IF((BU111&lt;BG$148),IF((BU112&lt;BG$148),(((BT112-BT111)^2)^0.5),(((((BG$148-BU111)*(BT112-BT111))/(BU112-BU111))^2)^0.5)),IF((BU112&lt;BG$148),(((((BG$148-BU112)*(BT112-BT111))/(BU111-BU112))^2)^0.5),0))))))</f>
        <v>0</v>
      </c>
      <c s="441" r="CC112">
        <f>IF((BY112&gt;0),(MAX(CC$47:CC111)+1),0)</f>
        <v>0</v>
      </c>
      <c s="388" r="CD112"/>
      <c s="406" r="CE112"/>
      <c s="886" r="CF112"/>
      <c s="886" r="CG112"/>
      <c s="886" r="CH112"/>
      <c s="886" r="CI112"/>
      <c s="418" r="CJ112"/>
      <c s="550" r="CK112"/>
      <c s="550" r="CL112"/>
      <c t="str" s="620" r="CM112">
        <f>IF((COUNT(CL112:CL$146,CN112:CN$146)=0),NA(),IF(ISBLANK(CL112),CM111,(CM111+(CL112-CN111))))</f>
        <v>#N/A:explicit</v>
      </c>
      <c s="550" r="CN112"/>
      <c t="str" s="620" r="CO112">
        <f>IF(OR(ISBLANK(CN112),ISNUMBER(CL113)),NA(),(CM112-CN112))</f>
        <v>#N/A:explicit</v>
      </c>
      <c t="b" s="895" r="CP112">
        <v>0</v>
      </c>
      <c s="631" r="CQ112"/>
      <c t="str" s="309" r="CR112">
        <f>IF((COUNT(CK112:CK$146)=0),NA(),IF(ISBLANK(CK112),IF(ISBLANK(CK111),MAX(CK$46:CK112),CK111),CK112))</f>
        <v>#N/A:explicit</v>
      </c>
      <c t="str" s="861" r="CS112">
        <f>IF(ISNA(CO112),IF(ISNUMBER(CR112),CS111,NA()),CO112)</f>
        <v>#N/A:explicit</v>
      </c>
      <c s="861" r="CT112">
        <f>IF(ISNUMBER(CS112),CS112,(CM$46+1000))</f>
        <v>1000</v>
      </c>
      <c t="str" s="588" r="CU112">
        <f>IF((CP112=TRUE),NA(),IF((CU$44=(CM$46-MAX(CN$46:CN$146))),NA(),CU$44))</f>
        <v>#N/A:explicit</v>
      </c>
      <c s="588" r="CV112">
        <f>IF((ISNA(((CS112*CR112)*CS111))),0,(IF((CR112&lt;CR111),-1,1)*(IF((CP111=FALSE),IF((CP112=FALSE),IF(ISNA(CS112),0,IF((CS111&lt;CU$44),IF((CS112&lt;CU$44),(((CR112-CR111)^2)^0.5),(((((CU$44-CS111)*(CR112-CR111))/(CS112-CS111))^2)^0.5)),IF((CS112&lt;CU$44),(((((CU$44-CS112)*(CR112-CR111))/(CS111-CS112))^2)^0.5),0))),0),0))))</f>
        <v>0</v>
      </c>
      <c s="588" r="CW112">
        <f>IF(ISNA((CS112*CS111)),0,IF((CP111=FALSE),IF((CP112=FALSE),IF(ISNA(CO112),0,IF((CS111&lt;CU$44),IF((CS112&lt;CU$44),((CU$44-((CS111+CS112)*0.5))*CV112),(((CU$44-CS111)*0.5)*CV112)),IF((CS112&lt;CU$44),(((CU$44-CS112)*0.5)*CV112),0))),0),0))</f>
        <v>0</v>
      </c>
      <c s="588" r="CX112">
        <f>IF(ISNA((CS112*CS111)),0,IF((CP111=FALSE),IF((CP112=FALSE),IF(ISNA(CS112),0,IF((CS111&lt;CU$44),IF((CS112&lt;CU$44),(((CV112^2)+((CS112-CS111)^2))^0.5),(((CV112^2)+((CU$44-CS111)^2))^0.5)),IF((CS112&lt;CU$44),(((CV112^2)+((CU$44-CS112)^2))^0.5),0))),0),0))</f>
        <v>0</v>
      </c>
      <c s="588" r="CY112">
        <f>IF(ISNUMBER((CS112*CS111)),IF((CS111&gt;=CE$148),IF((CS112&lt;CE$148),1,0),IF((CS112&gt;=CE$148),IF((CS111&lt;CE$148),1,0),0)),0)</f>
        <v>0</v>
      </c>
      <c s="588" r="CZ112">
        <f>IF(ISNA((CS112*CS111)),0,(IF((CR112&lt;CR111),-1,1)*(IF(ISNA(CS112),0,IF((CS111&lt;CE$148),IF((CS112&lt;CE$148),(((CR112-CR111)^2)^0.5),(((((CE$148-CS111)*(CR112-CR111))/(CS112-CS111))^2)^0.5)),IF((CS112&lt;CE$148),(((((CE$148-CS112)*(CR112-CR111))/(CS111-CS112))^2)^0.5),0))))))</f>
        <v>0</v>
      </c>
      <c s="441" r="DA112">
        <f>IF((CW112&gt;0),(MAX(DA$47:DA111)+1),0)</f>
        <v>0</v>
      </c>
      <c s="388" r="DB112"/>
      <c s="406" r="DC112"/>
      <c s="886" r="DD112"/>
      <c s="886" r="DE112"/>
      <c s="886" r="DF112"/>
      <c s="886" r="DG112"/>
      <c s="418" r="DH112"/>
      <c s="550" r="DI112"/>
      <c s="550" r="DJ112"/>
      <c t="str" s="620" r="DK112">
        <f>IF((COUNT(DJ112:DJ$146,DL112:DL$146)=0),NA(),IF(ISBLANK(DJ112),DK111,(DK111+(DJ112-DL111))))</f>
        <v>#N/A:explicit</v>
      </c>
      <c s="550" r="DL112"/>
      <c t="str" s="620" r="DM112">
        <f>IF(OR(ISBLANK(DL112),ISNUMBER(DJ113)),NA(),(DK112-DL112))</f>
        <v>#N/A:explicit</v>
      </c>
      <c t="b" s="895" r="DN112">
        <v>0</v>
      </c>
      <c s="631" r="DO112"/>
      <c t="str" s="309" r="DP112">
        <f>IF((COUNT(DI112:DI$146)=0),NA(),IF(ISBLANK(DI112),IF(ISBLANK(DI111),MAX(DI$46:DI112),DI111),DI112))</f>
        <v>#N/A:explicit</v>
      </c>
      <c t="str" s="861" r="DQ112">
        <f>IF(ISNA(DM112),IF(ISNUMBER(DP112),DQ111,NA()),DM112)</f>
        <v>#N/A:explicit</v>
      </c>
      <c s="861" r="DR112">
        <f>IF(ISNUMBER(DQ112),DQ112,(DK$46+1000))</f>
        <v>1000</v>
      </c>
      <c t="str" s="588" r="DS112">
        <f>IF((DN112=TRUE),NA(),IF((DS$44=(DK$46-MAX(DL$46:DL$146))),NA(),DS$44))</f>
        <v>#N/A:explicit</v>
      </c>
      <c s="588" r="DT112">
        <f>IF((ISNA(((DQ112*DP112)*DQ111))),0,(IF((DP112&lt;DP111),-1,1)*(IF((DN111=FALSE),IF((DN112=FALSE),IF(ISNA(DQ112),0,IF((DQ111&lt;DS$44),IF((DQ112&lt;DS$44),(((DP112-DP111)^2)^0.5),(((((DS$44-DQ111)*(DP112-DP111))/(DQ112-DQ111))^2)^0.5)),IF((DQ112&lt;DS$44),(((((DS$44-DQ112)*(DP112-DP111))/(DQ111-DQ112))^2)^0.5),0))),0),0))))</f>
        <v>0</v>
      </c>
      <c s="588" r="DU112">
        <f>IF(ISNA((DQ112*DQ111)),0,IF((DN111=FALSE),IF((DN112=FALSE),IF(ISNA(DM112),0,IF((DQ111&lt;DS$44),IF((DQ112&lt;DS$44),((DS$44-((DQ111+DQ112)*0.5))*DT112),(((DS$44-DQ111)*0.5)*DT112)),IF((DQ112&lt;DS$44),(((DS$44-DQ112)*0.5)*DT112),0))),0),0))</f>
        <v>0</v>
      </c>
      <c s="588" r="DV112">
        <f>IF(ISNA((DQ112*DQ111)),0,IF((DN111=FALSE),IF((DN112=FALSE),IF(ISNA(DQ112),0,IF((DQ111&lt;DS$44),IF((DQ112&lt;DS$44),(((DT112^2)+((DQ112-DQ111)^2))^0.5),(((DT112^2)+((DS$44-DQ111)^2))^0.5)),IF((DQ112&lt;DS$44),(((DT112^2)+((DS$44-DQ112)^2))^0.5),0))),0),0))</f>
        <v>0</v>
      </c>
      <c s="588" r="DW112">
        <f>IF(ISNUMBER((DQ112*DQ111)),IF((DQ111&gt;=DC$148),IF((DQ112&lt;DC$148),1,0),IF((DQ112&gt;=DC$148),IF((DQ111&lt;DC$148),1,0),0)),0)</f>
        <v>0</v>
      </c>
      <c s="588" r="DX112">
        <f>IF(ISNA((DQ112*DQ111)),0,(IF((DP112&lt;DP111),-1,1)*(IF(ISNA(DQ112),0,IF((DQ111&lt;DC$148),IF((DQ112&lt;DC$148),(((DP112-DP111)^2)^0.5),(((((DC$148-DQ111)*(DP112-DP111))/(DQ112-DQ111))^2)^0.5)),IF((DQ112&lt;DC$148),(((((DC$148-DQ112)*(DP112-DP111))/(DQ111-DQ112))^2)^0.5),0))))))</f>
        <v>0</v>
      </c>
      <c s="441" r="DY112">
        <f>IF((DU112&gt;0),(MAX(DY$47:DY111)+1),0)</f>
        <v>0</v>
      </c>
      <c s="388" r="DZ112"/>
      <c s="406" r="EA112"/>
      <c s="886" r="EB112"/>
      <c s="886" r="EC112"/>
      <c s="886" r="ED112"/>
      <c s="886" r="EE112"/>
      <c s="418" r="EF112"/>
      <c s="550" r="EG112"/>
      <c s="550" r="EH112"/>
      <c t="str" s="620" r="EI112">
        <f>IF((COUNT(EH112:EH$146,EJ112:EJ$146)=0),NA(),IF(ISBLANK(EH112),EI111,(EI111+(EH112-EJ111))))</f>
        <v>#N/A:explicit</v>
      </c>
      <c s="550" r="EJ112"/>
      <c t="str" s="620" r="EK112">
        <f>IF(OR(ISBLANK(EJ112),ISNUMBER(EH113)),NA(),(EI112-EJ112))</f>
        <v>#N/A:explicit</v>
      </c>
      <c t="b" s="895" r="EL112">
        <v>0</v>
      </c>
      <c s="631" r="EM112"/>
      <c t="str" s="309" r="EN112">
        <f>IF((COUNT(EG112:EG$146)=0),NA(),IF(ISBLANK(EG112),IF(ISBLANK(EG111),MAX(EG$46:EG112),EG111),EG112))</f>
        <v>#N/A:explicit</v>
      </c>
      <c t="str" s="861" r="EO112">
        <f>IF(ISNA(EK112),IF(ISNUMBER(EN112),EO111,NA()),EK112)</f>
        <v>#N/A:explicit</v>
      </c>
      <c s="861" r="EP112">
        <f>IF(ISNUMBER(EO112),EO112,(EI$46+1000))</f>
        <v>1000</v>
      </c>
      <c t="str" s="588" r="EQ112">
        <f>IF((EL112=TRUE),NA(),IF((EQ$44=(EI$46-MAX(EJ$46:EJ$146))),NA(),EQ$44))</f>
        <v>#N/A:explicit</v>
      </c>
      <c s="588" r="ER112">
        <f>IF((ISNA(((EO112*EN112)*EO111))),0,(IF((EN112&lt;EN111),-1,1)*(IF((EL111=FALSE),IF((EL112=FALSE),IF(ISNA(EO112),0,IF((EO111&lt;EQ$44),IF((EO112&lt;EQ$44),(((EN112-EN111)^2)^0.5),(((((EQ$44-EO111)*(EN112-EN111))/(EO112-EO111))^2)^0.5)),IF((EO112&lt;EQ$44),(((((EQ$44-EO112)*(EN112-EN111))/(EO111-EO112))^2)^0.5),0))),0),0))))</f>
        <v>0</v>
      </c>
      <c s="588" r="ES112">
        <f>IF(ISNA((EO112*EO111)),0,IF((EL111=FALSE),IF((EL112=FALSE),IF(ISNA(EK112),0,IF((EO111&lt;EQ$44),IF((EO112&lt;EQ$44),((EQ$44-((EO111+EO112)*0.5))*ER112),(((EQ$44-EO111)*0.5)*ER112)),IF((EO112&lt;EQ$44),(((EQ$44-EO112)*0.5)*ER112),0))),0),0))</f>
        <v>0</v>
      </c>
      <c s="588" r="ET112">
        <f>IF(ISNA((EO112*EO111)),0,IF((EL111=FALSE),IF((EL112=FALSE),IF(ISNA(EO112),0,IF((EO111&lt;EQ$44),IF((EO112&lt;EQ$44),(((ER112^2)+((EO112-EO111)^2))^0.5),(((ER112^2)+((EQ$44-EO111)^2))^0.5)),IF((EO112&lt;EQ$44),(((ER112^2)+((EQ$44-EO112)^2))^0.5),0))),0),0))</f>
        <v>0</v>
      </c>
      <c s="588" r="EU112">
        <f>IF(ISNUMBER((EO112*EO111)),IF((EO111&gt;=EA$148),IF((EO112&lt;EA$148),1,0),IF((EO112&gt;=EA$148),IF((EO111&lt;EA$148),1,0),0)),0)</f>
        <v>0</v>
      </c>
      <c s="588" r="EV112">
        <f>IF(ISNA((EO112*EO111)),0,(IF((EN112&lt;EN111),-1,1)*(IF(ISNA(EO112),0,IF((EO111&lt;EA$148),IF((EO112&lt;EA$148),(((EN112-EN111)^2)^0.5),(((((EA$148-EO111)*(EN112-EN111))/(EO112-EO111))^2)^0.5)),IF((EO112&lt;EA$148),(((((EA$148-EO112)*(EN112-EN111))/(EO111-EO112))^2)^0.5),0))))))</f>
        <v>0</v>
      </c>
      <c s="441" r="EW112">
        <f>IF((ES112&gt;0),(MAX(EW$47:EW111)+1),0)</f>
        <v>0</v>
      </c>
      <c s="388" r="EX112"/>
      <c s="406" r="EY112"/>
      <c s="886" r="EZ112"/>
      <c s="886" r="FA112"/>
      <c s="886" r="FB112"/>
      <c s="886" r="FC112"/>
      <c s="418" r="FD112"/>
      <c s="550" r="FE112"/>
      <c s="550" r="FF112"/>
      <c t="str" s="620" r="FG112">
        <f>IF((COUNT(FF112:FF$146,FH112:FH$146)=0),NA(),IF(ISBLANK(FF112),FG111,(FG111+(FF112-FH111))))</f>
        <v>#N/A:explicit</v>
      </c>
      <c s="550" r="FH112"/>
      <c t="str" s="620" r="FI112">
        <f>IF(OR(ISBLANK(FH112),ISNUMBER(FF113)),NA(),(FG112-FH112))</f>
        <v>#N/A:explicit</v>
      </c>
      <c t="b" s="895" r="FJ112">
        <v>0</v>
      </c>
      <c s="631" r="FK112"/>
      <c t="str" s="309" r="FL112">
        <f>IF((COUNT(FE112:FE$146)=0),NA(),IF(ISBLANK(FE112),IF(ISBLANK(FE111),MAX(FE$46:FE112),FE111),FE112))</f>
        <v>#N/A:explicit</v>
      </c>
      <c t="str" s="861" r="FM112">
        <f>IF(ISNA(FI112),IF(ISNUMBER(FL112),FM111,NA()),FI112)</f>
        <v>#N/A:explicit</v>
      </c>
      <c s="861" r="FN112">
        <f>IF(ISNUMBER(FM112),FM112,(FG$46+1000))</f>
        <v>1000</v>
      </c>
      <c t="str" s="588" r="FO112">
        <f>IF((FJ112=TRUE),NA(),IF((FO$44=(FG$46-MAX(FH$46:FH$146))),NA(),FO$44))</f>
        <v>#N/A:explicit</v>
      </c>
      <c s="588" r="FP112">
        <f>IF((ISNA(((FM112*FL112)*FM111))),0,(IF((FL112&lt;FL111),-1,1)*(IF((FJ111=FALSE),IF((FJ112=FALSE),IF(ISNA(FM112),0,IF((FM111&lt;FO$44),IF((FM112&lt;FO$44),(((FL112-FL111)^2)^0.5),(((((FO$44-FM111)*(FL112-FL111))/(FM112-FM111))^2)^0.5)),IF((FM112&lt;FO$44),(((((FO$44-FM112)*(FL112-FL111))/(FM111-FM112))^2)^0.5),0))),0),0))))</f>
        <v>0</v>
      </c>
      <c s="588" r="FQ112">
        <f>IF(ISNA((FM112*FM111)),0,IF((FJ111=FALSE),IF((FJ112=FALSE),IF(ISNA(FI112),0,IF((FM111&lt;FO$44),IF((FM112&lt;FO$44),((FO$44-((FM111+FM112)*0.5))*FP112),(((FO$44-FM111)*0.5)*FP112)),IF((FM112&lt;FO$44),(((FO$44-FM112)*0.5)*FP112),0))),0),0))</f>
        <v>0</v>
      </c>
      <c s="588" r="FR112">
        <f>IF(ISNA((FM112*FM111)),0,IF((FJ111=FALSE),IF((FJ112=FALSE),IF(ISNA(FM112),0,IF((FM111&lt;FO$44),IF((FM112&lt;FO$44),(((FP112^2)+((FM112-FM111)^2))^0.5),(((FP112^2)+((FO$44-FM111)^2))^0.5)),IF((FM112&lt;FO$44),(((FP112^2)+((FO$44-FM112)^2))^0.5),0))),0),0))</f>
        <v>0</v>
      </c>
      <c s="588" r="FS112">
        <f>IF(ISNUMBER((FM112*FM111)),IF((FM111&gt;=EY$148),IF((FM112&lt;EY$148),1,0),IF((FM112&gt;=EY$148),IF((FM111&lt;EY$148),1,0),0)),0)</f>
        <v>0</v>
      </c>
      <c s="588" r="FT112">
        <f>IF(ISNA((FM112*FM111)),0,(IF((FL112&lt;FL111),-1,1)*(IF(ISNA(FM112),0,IF((FM111&lt;EY$148),IF((FM112&lt;EY$148),(((FL112-FL111)^2)^0.5),(((((EY$148-FM111)*(FL112-FL111))/(FM112-FM111))^2)^0.5)),IF((FM112&lt;EY$148),(((((EY$148-FM112)*(FL112-FL111))/(FM111-FM112))^2)^0.5),0))))))</f>
        <v>0</v>
      </c>
      <c s="441" r="FU112">
        <f>IF((FQ112&gt;0),(MAX(FU$47:FU111)+1),0)</f>
        <v>0</v>
      </c>
      <c s="222" r="FV112"/>
      <c s="125" r="FW112"/>
      <c s="125" r="FX112"/>
      <c s="125" r="FY112"/>
      <c s="125" r="FZ112"/>
      <c s="125" r="GA112"/>
      <c s="125" r="GB112"/>
      <c s="125" r="GC112"/>
      <c s="125" r="GD112"/>
      <c s="125" r="GE112"/>
      <c s="125" r="GF112"/>
      <c s="125" r="GG112"/>
      <c s="125" r="GH112"/>
      <c s="125" r="GI112"/>
      <c s="125" r="GJ112"/>
      <c s="125" r="GK112"/>
      <c s="125" r="GL112"/>
      <c s="125" r="GM112"/>
      <c s="125" r="GN112"/>
      <c s="125" r="GO112"/>
      <c s="125" r="GP112"/>
      <c s="125" r="GQ112"/>
      <c s="125" r="GR112"/>
      <c s="125" r="GS112"/>
      <c s="125" r="GT112"/>
      <c s="125" r="GU112"/>
      <c s="125" r="GV112"/>
      <c s="125" r="GW112"/>
      <c s="125" r="GX112"/>
      <c s="125" r="GY112"/>
      <c s="125" r="GZ112"/>
      <c s="125" r="HA112"/>
      <c s="125" r="HB112"/>
    </row>
    <row r="113">
      <c s="822" r="A113"/>
      <c s="908" r="B113"/>
      <c s="551" r="C113"/>
      <c s="551" r="D113"/>
      <c t="str" s="812" r="E113">
        <f>"shear stress "&amp;IF((H4=2),"(N/sq.m)","(lbs/sq.ft)")</f>
        <v>shear stress (lbs/sq.ft)</v>
      </c>
      <c t="str" s="76" r="F113">
        <f>IF(ISNUMBER((F94*F109)),((IF((H4=2),(1000*9.81),62.4)*F94)*(F109/100)),"---")</f>
        <v>---</v>
      </c>
      <c t="str" s="677" r="G113">
        <f>IF(AND(ISTEXT('Dimension Estimated Values'!T6),ISTEXT('Dimension Estimated Values'!T7)),"---",(((("("&amp;ROUND('Dimension Estimated Values'!T6,2))&amp;"-")&amp;ROUND('Dimension Estimated Values'!T7,2))&amp;")"))</f>
        <v>---</v>
      </c>
      <c t="str" s="215" r="H113">
        <f>IF(ISNUMBER((F98*F109)),((62.4*F98)*(F109/100)),"---")</f>
        <v>---</v>
      </c>
      <c s="51" r="I113"/>
      <c s="822" r="J113"/>
      <c s="406" r="K113"/>
      <c s="886" r="L113"/>
      <c s="886" r="M113"/>
      <c s="886" r="N113"/>
      <c s="886" r="O113"/>
      <c s="418" r="P113"/>
      <c s="550" r="Q113"/>
      <c s="550" r="R113"/>
      <c t="str" s="620" r="S113">
        <f>IF((COUNT(R113:R$146,T113:T$146)=0),NA(),IF(ISBLANK(R113),S112,(S112+(R113-T112))))</f>
        <v>#N/A:explicit</v>
      </c>
      <c s="550" r="T113"/>
      <c t="str" s="620" r="U113">
        <f>IF(OR(ISBLANK(T113),ISNUMBER(R114)),NA(),(S113-T113))</f>
        <v>#N/A:explicit</v>
      </c>
      <c t="b" s="895" r="V113">
        <v>0</v>
      </c>
      <c s="631" r="W113"/>
      <c t="str" s="309" r="X113">
        <f>IF((COUNT(Q113:Q$146)=0),NA(),IF(ISBLANK(Q113),IF(ISBLANK(Q112),MAX(Q$46:Q113),Q112),Q113))</f>
        <v>#N/A:explicit</v>
      </c>
      <c t="str" s="861" r="Y113">
        <f>IF(ISNA(U113),IF(ISNUMBER(X113),Y112,NA()),U113)</f>
        <v>#N/A:explicit</v>
      </c>
      <c s="861" r="Z113">
        <f>IF(ISNUMBER(Y113),Y113,(S$46+1000))</f>
        <v>1000</v>
      </c>
      <c t="str" s="588" r="AA113">
        <f>IF((V113=TRUE),NA(),IF((AA$44=(S$46-MAX(T$46:T$146))),NA(),AA$44))</f>
        <v>#N/A:explicit</v>
      </c>
      <c s="588" r="AB113">
        <f>IF((ISNA(((Y113*X113)*Y112))),0,(IF((X113&lt;X112),-1,1)*(IF((V112=FALSE),IF((V113=FALSE),IF(ISNA(Y113),0,IF((Y112&lt;AA$44),IF((Y113&lt;AA$44),(((X113-X112)^2)^0.5),(((((AA$44-Y112)*(X113-X112))/(Y113-Y112))^2)^0.5)),IF((Y113&lt;AA$44),(((((AA$44-Y113)*(X113-X112))/(Y112-Y113))^2)^0.5),0))),0),0))))</f>
        <v>0</v>
      </c>
      <c s="588" r="AC113">
        <f>IF(ISNA((Y113*Y112)),0,IF((V112=FALSE),IF((V113=FALSE),IF(ISNA(U113),0,IF((Y112&lt;AA$44),IF((Y113&lt;AA$44),((AA$44-((Y112+Y113)*0.5))*AB113),(((AA$44-Y112)*0.5)*AB113)),IF((Y113&lt;AA$44),(((AA$44-Y113)*0.5)*AB113),0))),0),0))</f>
        <v>0</v>
      </c>
      <c s="588" r="AD113">
        <f>IF(ISNA((Y113*Y112)),0,IF((V112=FALSE),IF((V113=FALSE),IF(ISNA(Y113),0,IF((Y112&lt;AA$44),IF((Y113&lt;AA$44),(((AB113^2)+((Y113-Y112)^2))^0.5),(((AB113^2)+((AA$44-Y112)^2))^0.5)),IF((Y113&lt;AA$44),(((AB113^2)+((AA$44-Y113)^2))^0.5),0))),0),0))</f>
        <v>0</v>
      </c>
      <c s="588" r="AE113">
        <f>IF(ISNUMBER((Y113*Y112)),IF((Y112&gt;=K$148),IF((Y113&lt;K$148),1,0),IF((Y113&gt;=K$148),IF((Y112&lt;K$148),1,0),0)),0)</f>
        <v>0</v>
      </c>
      <c s="588" r="AF113">
        <f>IF(ISNA((Y113*Y112)),0,(IF((X113&lt;X112),-1,1)*(IF(ISNA(Y113),0,IF((Y112&lt;K$148),IF((Y113&lt;K$148),(((X113-X112)^2)^0.5),(((((K$148-Y112)*(X113-X112))/(Y113-Y112))^2)^0.5)),IF((Y113&lt;K$148),(((((K$148-Y113)*(X113-X112))/(Y112-Y113))^2)^0.5),0))))))</f>
        <v>0</v>
      </c>
      <c s="441" r="AG113">
        <f>IF((AC113&gt;0),(MAX(AG$47:AG112)+1),0)</f>
        <v>0</v>
      </c>
      <c s="388" r="AH113"/>
      <c s="406" r="AI113"/>
      <c s="886" r="AJ113"/>
      <c s="886" r="AK113"/>
      <c s="886" r="AL113"/>
      <c s="886" r="AM113"/>
      <c s="418" r="AN113"/>
      <c s="550" r="AO113"/>
      <c s="550" r="AP113"/>
      <c t="str" s="620" r="AQ113">
        <f>IF((COUNT(AP113:AP$146,AR113:AR$146)=0),NA(),IF(ISBLANK(AP113),AQ112,(AQ112+(AP113-AR112))))</f>
        <v>#N/A:explicit</v>
      </c>
      <c s="550" r="AR113"/>
      <c t="str" s="620" r="AS113">
        <f>IF(OR(ISBLANK(AR113),ISNUMBER(AP114)),NA(),(AQ113-AR113))</f>
        <v>#N/A:explicit</v>
      </c>
      <c t="b" s="895" r="AT113">
        <v>0</v>
      </c>
      <c s="631" r="AU113"/>
      <c t="str" s="309" r="AV113">
        <f>IF((COUNT(AO113:AO$146)=0),NA(),IF(ISBLANK(AO113),IF(ISBLANK(AO112),MAX(AO$46:AO113),AO112),AO113))</f>
        <v>#N/A:explicit</v>
      </c>
      <c t="str" s="861" r="AW113">
        <f>IF(ISNA(AS113),IF(ISNUMBER(AV113),AW112,NA()),AS113)</f>
        <v>#N/A:explicit</v>
      </c>
      <c s="861" r="AX113">
        <f>IF(ISNUMBER(AW113),AW113,(AQ$46+1000))</f>
        <v>1000</v>
      </c>
      <c t="str" s="588" r="AY113">
        <f>IF((AT113=TRUE),NA(),IF((AY$44=(AQ$46-MAX(AR$46:AR$146))),NA(),AY$44))</f>
        <v>#N/A:explicit</v>
      </c>
      <c s="588" r="AZ113">
        <f>IF((ISNA(((AW113*AV113)*AW112))),0,(IF((AV113&lt;AV112),-1,1)*(IF((AT112=FALSE),IF((AT113=FALSE),IF(ISNA(AW113),0,IF((AW112&lt;AY$44),IF((AW113&lt;AY$44),(((AV113-AV112)^2)^0.5),(((((AY$44-AW112)*(AV113-AV112))/(AW113-AW112))^2)^0.5)),IF((AW113&lt;AY$44),(((((AY$44-AW113)*(AV113-AV112))/(AW112-AW113))^2)^0.5),0))),0),0))))</f>
        <v>0</v>
      </c>
      <c s="588" r="BA113">
        <f>IF(ISNA((AW113*AW112)),0,IF((AT112=FALSE),IF((AT113=FALSE),IF(ISNA(AS113),0,IF((AW112&lt;AY$44),IF((AW113&lt;AY$44),((AY$44-((AW112+AW113)*0.5))*AZ113),(((AY$44-AW112)*0.5)*AZ113)),IF((AW113&lt;AY$44),(((AY$44-AW113)*0.5)*AZ113),0))),0),0))</f>
        <v>0</v>
      </c>
      <c s="588" r="BB113">
        <f>IF(ISNA((AW113*AW112)),0,IF((AT112=FALSE),IF((AT113=FALSE),IF(ISNA(AW113),0,IF((AW112&lt;AY$44),IF((AW113&lt;AY$44),(((AZ113^2)+((AW113-AW112)^2))^0.5),(((AZ113^2)+((AY$44-AW112)^2))^0.5)),IF((AW113&lt;AY$44),(((AZ113^2)+((AY$44-AW113)^2))^0.5),0))),0),0))</f>
        <v>0</v>
      </c>
      <c s="588" r="BC113">
        <f>IF(ISNUMBER((AW113*AW112)),IF((AW112&gt;=AI$148),IF((AW113&lt;AI$148),1,0),IF((AW113&gt;=AI$148),IF((AW112&lt;AI$148),1,0),0)),0)</f>
        <v>0</v>
      </c>
      <c s="588" r="BD113">
        <f>IF(ISNA((AW113*AW112)),0,(IF((AV113&lt;AV112),-1,1)*(IF(ISNA(AW113),0,IF((AW112&lt;AI$148),IF((AW113&lt;AI$148),(((AV113-AV112)^2)^0.5),(((((AI$148-AW112)*(AV113-AV112))/(AW113-AW112))^2)^0.5)),IF((AW113&lt;AI$148),(((((AI$148-AW113)*(AV113-AV112))/(AW112-AW113))^2)^0.5),0))))))</f>
        <v>0</v>
      </c>
      <c s="441" r="BE113">
        <f>IF((BA113&gt;0),(MAX(BE$47:BE112)+1),0)</f>
        <v>0</v>
      </c>
      <c s="388" r="BF113"/>
      <c s="406" r="BG113"/>
      <c s="886" r="BH113"/>
      <c s="886" r="BI113"/>
      <c s="886" r="BJ113"/>
      <c s="886" r="BK113"/>
      <c s="418" r="BL113"/>
      <c s="550" r="BM113"/>
      <c s="550" r="BN113"/>
      <c t="str" s="620" r="BO113">
        <f>IF((COUNT(BN113:BN$146,BP113:BP$146)=0),NA(),IF(ISBLANK(BN113),BO112,(BO112+(BN113-BP112))))</f>
        <v>#N/A:explicit</v>
      </c>
      <c s="550" r="BP113"/>
      <c t="str" s="620" r="BQ113">
        <f>IF(OR(ISBLANK(BP113),ISNUMBER(BN114)),NA(),(BO113-BP113))</f>
        <v>#N/A:explicit</v>
      </c>
      <c t="b" s="895" r="BR113">
        <v>0</v>
      </c>
      <c s="631" r="BS113"/>
      <c t="str" s="309" r="BT113">
        <f>IF((COUNT(BM113:BM$146)=0),NA(),IF(ISBLANK(BM113),IF(ISBLANK(BM112),MAX(BM$46:BM113),BM112),BM113))</f>
        <v>#N/A:explicit</v>
      </c>
      <c t="str" s="861" r="BU113">
        <f>IF(ISNA(BQ113),IF(ISNUMBER(BT113),BU112,NA()),BQ113)</f>
        <v>#N/A:explicit</v>
      </c>
      <c s="861" r="BV113">
        <f>IF(ISNUMBER(BU113),BU113,(BO$46+1000))</f>
        <v>1000</v>
      </c>
      <c t="str" s="588" r="BW113">
        <f>IF((BR113=TRUE),NA(),IF((BW$44=(BO$46-MAX(BP$46:BP$146))),NA(),BW$44))</f>
        <v>#N/A:explicit</v>
      </c>
      <c s="588" r="BX113">
        <f>IF((ISNA(((BU113*BT113)*BU112))),0,(IF((BT113&lt;BT112),-1,1)*(IF((BR112=FALSE),IF((BR113=FALSE),IF(ISNA(BU113),0,IF((BU112&lt;BW$44),IF((BU113&lt;BW$44),(((BT113-BT112)^2)^0.5),(((((BW$44-BU112)*(BT113-BT112))/(BU113-BU112))^2)^0.5)),IF((BU113&lt;BW$44),(((((BW$44-BU113)*(BT113-BT112))/(BU112-BU113))^2)^0.5),0))),0),0))))</f>
        <v>0</v>
      </c>
      <c s="588" r="BY113">
        <f>IF(ISNA((BU113*BU112)),0,IF((BR112=FALSE),IF((BR113=FALSE),IF(ISNA(BQ113),0,IF((BU112&lt;BW$44),IF((BU113&lt;BW$44),((BW$44-((BU112+BU113)*0.5))*BX113),(((BW$44-BU112)*0.5)*BX113)),IF((BU113&lt;BW$44),(((BW$44-BU113)*0.5)*BX113),0))),0),0))</f>
        <v>0</v>
      </c>
      <c s="588" r="BZ113">
        <f>IF(ISNA((BU113*BU112)),0,IF((BR112=FALSE),IF((BR113=FALSE),IF(ISNA(BU113),0,IF((BU112&lt;BW$44),IF((BU113&lt;BW$44),(((BX113^2)+((BU113-BU112)^2))^0.5),(((BX113^2)+((BW$44-BU112)^2))^0.5)),IF((BU113&lt;BW$44),(((BX113^2)+((BW$44-BU113)^2))^0.5),0))),0),0))</f>
        <v>0</v>
      </c>
      <c s="588" r="CA113">
        <f>IF(ISNUMBER((BU113*BU112)),IF((BU112&gt;=BG$148),IF((BU113&lt;BG$148),1,0),IF((BU113&gt;=BG$148),IF((BU112&lt;BG$148),1,0),0)),0)</f>
        <v>0</v>
      </c>
      <c s="588" r="CB113">
        <f>IF(ISNA((BU113*BU112)),0,(IF((BT113&lt;BT112),-1,1)*(IF(ISNA(BU113),0,IF((BU112&lt;BG$148),IF((BU113&lt;BG$148),(((BT113-BT112)^2)^0.5),(((((BG$148-BU112)*(BT113-BT112))/(BU113-BU112))^2)^0.5)),IF((BU113&lt;BG$148),(((((BG$148-BU113)*(BT113-BT112))/(BU112-BU113))^2)^0.5),0))))))</f>
        <v>0</v>
      </c>
      <c s="441" r="CC113">
        <f>IF((BY113&gt;0),(MAX(CC$47:CC112)+1),0)</f>
        <v>0</v>
      </c>
      <c s="388" r="CD113"/>
      <c s="406" r="CE113"/>
      <c s="886" r="CF113"/>
      <c s="886" r="CG113"/>
      <c s="886" r="CH113"/>
      <c s="886" r="CI113"/>
      <c s="418" r="CJ113"/>
      <c s="550" r="CK113"/>
      <c s="550" r="CL113"/>
      <c t="str" s="620" r="CM113">
        <f>IF((COUNT(CL113:CL$146,CN113:CN$146)=0),NA(),IF(ISBLANK(CL113),CM112,(CM112+(CL113-CN112))))</f>
        <v>#N/A:explicit</v>
      </c>
      <c s="550" r="CN113"/>
      <c t="str" s="620" r="CO113">
        <f>IF(OR(ISBLANK(CN113),ISNUMBER(CL114)),NA(),(CM113-CN113))</f>
        <v>#N/A:explicit</v>
      </c>
      <c t="b" s="895" r="CP113">
        <v>0</v>
      </c>
      <c s="631" r="CQ113"/>
      <c t="str" s="309" r="CR113">
        <f>IF((COUNT(CK113:CK$146)=0),NA(),IF(ISBLANK(CK113),IF(ISBLANK(CK112),MAX(CK$46:CK113),CK112),CK113))</f>
        <v>#N/A:explicit</v>
      </c>
      <c t="str" s="861" r="CS113">
        <f>IF(ISNA(CO113),IF(ISNUMBER(CR113),CS112,NA()),CO113)</f>
        <v>#N/A:explicit</v>
      </c>
      <c s="861" r="CT113">
        <f>IF(ISNUMBER(CS113),CS113,(CM$46+1000))</f>
        <v>1000</v>
      </c>
      <c t="str" s="588" r="CU113">
        <f>IF((CP113=TRUE),NA(),IF((CU$44=(CM$46-MAX(CN$46:CN$146))),NA(),CU$44))</f>
        <v>#N/A:explicit</v>
      </c>
      <c s="588" r="CV113">
        <f>IF((ISNA(((CS113*CR113)*CS112))),0,(IF((CR113&lt;CR112),-1,1)*(IF((CP112=FALSE),IF((CP113=FALSE),IF(ISNA(CS113),0,IF((CS112&lt;CU$44),IF((CS113&lt;CU$44),(((CR113-CR112)^2)^0.5),(((((CU$44-CS112)*(CR113-CR112))/(CS113-CS112))^2)^0.5)),IF((CS113&lt;CU$44),(((((CU$44-CS113)*(CR113-CR112))/(CS112-CS113))^2)^0.5),0))),0),0))))</f>
        <v>0</v>
      </c>
      <c s="588" r="CW113">
        <f>IF(ISNA((CS113*CS112)),0,IF((CP112=FALSE),IF((CP113=FALSE),IF(ISNA(CO113),0,IF((CS112&lt;CU$44),IF((CS113&lt;CU$44),((CU$44-((CS112+CS113)*0.5))*CV113),(((CU$44-CS112)*0.5)*CV113)),IF((CS113&lt;CU$44),(((CU$44-CS113)*0.5)*CV113),0))),0),0))</f>
        <v>0</v>
      </c>
      <c s="588" r="CX113">
        <f>IF(ISNA((CS113*CS112)),0,IF((CP112=FALSE),IF((CP113=FALSE),IF(ISNA(CS113),0,IF((CS112&lt;CU$44),IF((CS113&lt;CU$44),(((CV113^2)+((CS113-CS112)^2))^0.5),(((CV113^2)+((CU$44-CS112)^2))^0.5)),IF((CS113&lt;CU$44),(((CV113^2)+((CU$44-CS113)^2))^0.5),0))),0),0))</f>
        <v>0</v>
      </c>
      <c s="588" r="CY113">
        <f>IF(ISNUMBER((CS113*CS112)),IF((CS112&gt;=CE$148),IF((CS113&lt;CE$148),1,0),IF((CS113&gt;=CE$148),IF((CS112&lt;CE$148),1,0),0)),0)</f>
        <v>0</v>
      </c>
      <c s="588" r="CZ113">
        <f>IF(ISNA((CS113*CS112)),0,(IF((CR113&lt;CR112),-1,1)*(IF(ISNA(CS113),0,IF((CS112&lt;CE$148),IF((CS113&lt;CE$148),(((CR113-CR112)^2)^0.5),(((((CE$148-CS112)*(CR113-CR112))/(CS113-CS112))^2)^0.5)),IF((CS113&lt;CE$148),(((((CE$148-CS113)*(CR113-CR112))/(CS112-CS113))^2)^0.5),0))))))</f>
        <v>0</v>
      </c>
      <c s="441" r="DA113">
        <f>IF((CW113&gt;0),(MAX(DA$47:DA112)+1),0)</f>
        <v>0</v>
      </c>
      <c s="388" r="DB113"/>
      <c s="406" r="DC113"/>
      <c s="886" r="DD113"/>
      <c s="886" r="DE113"/>
      <c s="886" r="DF113"/>
      <c s="886" r="DG113"/>
      <c s="418" r="DH113"/>
      <c s="550" r="DI113"/>
      <c s="550" r="DJ113"/>
      <c t="str" s="620" r="DK113">
        <f>IF((COUNT(DJ113:DJ$146,DL113:DL$146)=0),NA(),IF(ISBLANK(DJ113),DK112,(DK112+(DJ113-DL112))))</f>
        <v>#N/A:explicit</v>
      </c>
      <c s="550" r="DL113"/>
      <c t="str" s="620" r="DM113">
        <f>IF(OR(ISBLANK(DL113),ISNUMBER(DJ114)),NA(),(DK113-DL113))</f>
        <v>#N/A:explicit</v>
      </c>
      <c t="b" s="895" r="DN113">
        <v>0</v>
      </c>
      <c s="631" r="DO113"/>
      <c t="str" s="309" r="DP113">
        <f>IF((COUNT(DI113:DI$146)=0),NA(),IF(ISBLANK(DI113),IF(ISBLANK(DI112),MAX(DI$46:DI113),DI112),DI113))</f>
        <v>#N/A:explicit</v>
      </c>
      <c t="str" s="861" r="DQ113">
        <f>IF(ISNA(DM113),IF(ISNUMBER(DP113),DQ112,NA()),DM113)</f>
        <v>#N/A:explicit</v>
      </c>
      <c s="861" r="DR113">
        <f>IF(ISNUMBER(DQ113),DQ113,(DK$46+1000))</f>
        <v>1000</v>
      </c>
      <c t="str" s="588" r="DS113">
        <f>IF((DN113=TRUE),NA(),IF((DS$44=(DK$46-MAX(DL$46:DL$146))),NA(),DS$44))</f>
        <v>#N/A:explicit</v>
      </c>
      <c s="588" r="DT113">
        <f>IF((ISNA(((DQ113*DP113)*DQ112))),0,(IF((DP113&lt;DP112),-1,1)*(IF((DN112=FALSE),IF((DN113=FALSE),IF(ISNA(DQ113),0,IF((DQ112&lt;DS$44),IF((DQ113&lt;DS$44),(((DP113-DP112)^2)^0.5),(((((DS$44-DQ112)*(DP113-DP112))/(DQ113-DQ112))^2)^0.5)),IF((DQ113&lt;DS$44),(((((DS$44-DQ113)*(DP113-DP112))/(DQ112-DQ113))^2)^0.5),0))),0),0))))</f>
        <v>0</v>
      </c>
      <c s="588" r="DU113">
        <f>IF(ISNA((DQ113*DQ112)),0,IF((DN112=FALSE),IF((DN113=FALSE),IF(ISNA(DM113),0,IF((DQ112&lt;DS$44),IF((DQ113&lt;DS$44),((DS$44-((DQ112+DQ113)*0.5))*DT113),(((DS$44-DQ112)*0.5)*DT113)),IF((DQ113&lt;DS$44),(((DS$44-DQ113)*0.5)*DT113),0))),0),0))</f>
        <v>0</v>
      </c>
      <c s="588" r="DV113">
        <f>IF(ISNA((DQ113*DQ112)),0,IF((DN112=FALSE),IF((DN113=FALSE),IF(ISNA(DQ113),0,IF((DQ112&lt;DS$44),IF((DQ113&lt;DS$44),(((DT113^2)+((DQ113-DQ112)^2))^0.5),(((DT113^2)+((DS$44-DQ112)^2))^0.5)),IF((DQ113&lt;DS$44),(((DT113^2)+((DS$44-DQ113)^2))^0.5),0))),0),0))</f>
        <v>0</v>
      </c>
      <c s="588" r="DW113">
        <f>IF(ISNUMBER((DQ113*DQ112)),IF((DQ112&gt;=DC$148),IF((DQ113&lt;DC$148),1,0),IF((DQ113&gt;=DC$148),IF((DQ112&lt;DC$148),1,0),0)),0)</f>
        <v>0</v>
      </c>
      <c s="588" r="DX113">
        <f>IF(ISNA((DQ113*DQ112)),0,(IF((DP113&lt;DP112),-1,1)*(IF(ISNA(DQ113),0,IF((DQ112&lt;DC$148),IF((DQ113&lt;DC$148),(((DP113-DP112)^2)^0.5),(((((DC$148-DQ112)*(DP113-DP112))/(DQ113-DQ112))^2)^0.5)),IF((DQ113&lt;DC$148),(((((DC$148-DQ113)*(DP113-DP112))/(DQ112-DQ113))^2)^0.5),0))))))</f>
        <v>0</v>
      </c>
      <c s="441" r="DY113">
        <f>IF((DU113&gt;0),(MAX(DY$47:DY112)+1),0)</f>
        <v>0</v>
      </c>
      <c s="388" r="DZ113"/>
      <c s="406" r="EA113"/>
      <c s="886" r="EB113"/>
      <c s="886" r="EC113"/>
      <c s="886" r="ED113"/>
      <c s="886" r="EE113"/>
      <c s="418" r="EF113"/>
      <c s="550" r="EG113"/>
      <c s="550" r="EH113"/>
      <c t="str" s="620" r="EI113">
        <f>IF((COUNT(EH113:EH$146,EJ113:EJ$146)=0),NA(),IF(ISBLANK(EH113),EI112,(EI112+(EH113-EJ112))))</f>
        <v>#N/A:explicit</v>
      </c>
      <c s="550" r="EJ113"/>
      <c t="str" s="620" r="EK113">
        <f>IF(OR(ISBLANK(EJ113),ISNUMBER(EH114)),NA(),(EI113-EJ113))</f>
        <v>#N/A:explicit</v>
      </c>
      <c t="b" s="895" r="EL113">
        <v>0</v>
      </c>
      <c s="631" r="EM113"/>
      <c t="str" s="309" r="EN113">
        <f>IF((COUNT(EG113:EG$146)=0),NA(),IF(ISBLANK(EG113),IF(ISBLANK(EG112),MAX(EG$46:EG113),EG112),EG113))</f>
        <v>#N/A:explicit</v>
      </c>
      <c t="str" s="861" r="EO113">
        <f>IF(ISNA(EK113),IF(ISNUMBER(EN113),EO112,NA()),EK113)</f>
        <v>#N/A:explicit</v>
      </c>
      <c s="861" r="EP113">
        <f>IF(ISNUMBER(EO113),EO113,(EI$46+1000))</f>
        <v>1000</v>
      </c>
      <c t="str" s="588" r="EQ113">
        <f>IF((EL113=TRUE),NA(),IF((EQ$44=(EI$46-MAX(EJ$46:EJ$146))),NA(),EQ$44))</f>
        <v>#N/A:explicit</v>
      </c>
      <c s="588" r="ER113">
        <f>IF((ISNA(((EO113*EN113)*EO112))),0,(IF((EN113&lt;EN112),-1,1)*(IF((EL112=FALSE),IF((EL113=FALSE),IF(ISNA(EO113),0,IF((EO112&lt;EQ$44),IF((EO113&lt;EQ$44),(((EN113-EN112)^2)^0.5),(((((EQ$44-EO112)*(EN113-EN112))/(EO113-EO112))^2)^0.5)),IF((EO113&lt;EQ$44),(((((EQ$44-EO113)*(EN113-EN112))/(EO112-EO113))^2)^0.5),0))),0),0))))</f>
        <v>0</v>
      </c>
      <c s="588" r="ES113">
        <f>IF(ISNA((EO113*EO112)),0,IF((EL112=FALSE),IF((EL113=FALSE),IF(ISNA(EK113),0,IF((EO112&lt;EQ$44),IF((EO113&lt;EQ$44),((EQ$44-((EO112+EO113)*0.5))*ER113),(((EQ$44-EO112)*0.5)*ER113)),IF((EO113&lt;EQ$44),(((EQ$44-EO113)*0.5)*ER113),0))),0),0))</f>
        <v>0</v>
      </c>
      <c s="588" r="ET113">
        <f>IF(ISNA((EO113*EO112)),0,IF((EL112=FALSE),IF((EL113=FALSE),IF(ISNA(EO113),0,IF((EO112&lt;EQ$44),IF((EO113&lt;EQ$44),(((ER113^2)+((EO113-EO112)^2))^0.5),(((ER113^2)+((EQ$44-EO112)^2))^0.5)),IF((EO113&lt;EQ$44),(((ER113^2)+((EQ$44-EO113)^2))^0.5),0))),0),0))</f>
        <v>0</v>
      </c>
      <c s="588" r="EU113">
        <f>IF(ISNUMBER((EO113*EO112)),IF((EO112&gt;=EA$148),IF((EO113&lt;EA$148),1,0),IF((EO113&gt;=EA$148),IF((EO112&lt;EA$148),1,0),0)),0)</f>
        <v>0</v>
      </c>
      <c s="588" r="EV113">
        <f>IF(ISNA((EO113*EO112)),0,(IF((EN113&lt;EN112),-1,1)*(IF(ISNA(EO113),0,IF((EO112&lt;EA$148),IF((EO113&lt;EA$148),(((EN113-EN112)^2)^0.5),(((((EA$148-EO112)*(EN113-EN112))/(EO113-EO112))^2)^0.5)),IF((EO113&lt;EA$148),(((((EA$148-EO113)*(EN113-EN112))/(EO112-EO113))^2)^0.5),0))))))</f>
        <v>0</v>
      </c>
      <c s="441" r="EW113">
        <f>IF((ES113&gt;0),(MAX(EW$47:EW112)+1),0)</f>
        <v>0</v>
      </c>
      <c s="388" r="EX113"/>
      <c s="406" r="EY113"/>
      <c s="886" r="EZ113"/>
      <c s="886" r="FA113"/>
      <c s="886" r="FB113"/>
      <c s="886" r="FC113"/>
      <c s="418" r="FD113"/>
      <c s="550" r="FE113"/>
      <c s="550" r="FF113"/>
      <c t="str" s="620" r="FG113">
        <f>IF((COUNT(FF113:FF$146,FH113:FH$146)=0),NA(),IF(ISBLANK(FF113),FG112,(FG112+(FF113-FH112))))</f>
        <v>#N/A:explicit</v>
      </c>
      <c s="550" r="FH113"/>
      <c t="str" s="620" r="FI113">
        <f>IF(OR(ISBLANK(FH113),ISNUMBER(FF114)),NA(),(FG113-FH113))</f>
        <v>#N/A:explicit</v>
      </c>
      <c t="b" s="895" r="FJ113">
        <v>0</v>
      </c>
      <c s="631" r="FK113"/>
      <c t="str" s="309" r="FL113">
        <f>IF((COUNT(FE113:FE$146)=0),NA(),IF(ISBLANK(FE113),IF(ISBLANK(FE112),MAX(FE$46:FE113),FE112),FE113))</f>
        <v>#N/A:explicit</v>
      </c>
      <c t="str" s="861" r="FM113">
        <f>IF(ISNA(FI113),IF(ISNUMBER(FL113),FM112,NA()),FI113)</f>
        <v>#N/A:explicit</v>
      </c>
      <c s="861" r="FN113">
        <f>IF(ISNUMBER(FM113),FM113,(FG$46+1000))</f>
        <v>1000</v>
      </c>
      <c t="str" s="588" r="FO113">
        <f>IF((FJ113=TRUE),NA(),IF((FO$44=(FG$46-MAX(FH$46:FH$146))),NA(),FO$44))</f>
        <v>#N/A:explicit</v>
      </c>
      <c s="588" r="FP113">
        <f>IF((ISNA(((FM113*FL113)*FM112))),0,(IF((FL113&lt;FL112),-1,1)*(IF((FJ112=FALSE),IF((FJ113=FALSE),IF(ISNA(FM113),0,IF((FM112&lt;FO$44),IF((FM113&lt;FO$44),(((FL113-FL112)^2)^0.5),(((((FO$44-FM112)*(FL113-FL112))/(FM113-FM112))^2)^0.5)),IF((FM113&lt;FO$44),(((((FO$44-FM113)*(FL113-FL112))/(FM112-FM113))^2)^0.5),0))),0),0))))</f>
        <v>0</v>
      </c>
      <c s="588" r="FQ113">
        <f>IF(ISNA((FM113*FM112)),0,IF((FJ112=FALSE),IF((FJ113=FALSE),IF(ISNA(FI113),0,IF((FM112&lt;FO$44),IF((FM113&lt;FO$44),((FO$44-((FM112+FM113)*0.5))*FP113),(((FO$44-FM112)*0.5)*FP113)),IF((FM113&lt;FO$44),(((FO$44-FM113)*0.5)*FP113),0))),0),0))</f>
        <v>0</v>
      </c>
      <c s="588" r="FR113">
        <f>IF(ISNA((FM113*FM112)),0,IF((FJ112=FALSE),IF((FJ113=FALSE),IF(ISNA(FM113),0,IF((FM112&lt;FO$44),IF((FM113&lt;FO$44),(((FP113^2)+((FM113-FM112)^2))^0.5),(((FP113^2)+((FO$44-FM112)^2))^0.5)),IF((FM113&lt;FO$44),(((FP113^2)+((FO$44-FM113)^2))^0.5),0))),0),0))</f>
        <v>0</v>
      </c>
      <c s="588" r="FS113">
        <f>IF(ISNUMBER((FM113*FM112)),IF((FM112&gt;=EY$148),IF((FM113&lt;EY$148),1,0),IF((FM113&gt;=EY$148),IF((FM112&lt;EY$148),1,0),0)),0)</f>
        <v>0</v>
      </c>
      <c s="588" r="FT113">
        <f>IF(ISNA((FM113*FM112)),0,(IF((FL113&lt;FL112),-1,1)*(IF(ISNA(FM113),0,IF((FM112&lt;EY$148),IF((FM113&lt;EY$148),(((FL113-FL112)^2)^0.5),(((((EY$148-FM112)*(FL113-FL112))/(FM113-FM112))^2)^0.5)),IF((FM113&lt;EY$148),(((((EY$148-FM113)*(FL113-FL112))/(FM112-FM113))^2)^0.5),0))))))</f>
        <v>0</v>
      </c>
      <c s="441" r="FU113">
        <f>IF((FQ113&gt;0),(MAX(FU$47:FU112)+1),0)</f>
        <v>0</v>
      </c>
      <c s="222" r="FV113"/>
      <c s="125" r="FW113"/>
      <c s="125" r="FX113"/>
      <c s="125" r="FY113"/>
      <c s="125" r="FZ113"/>
      <c s="125" r="GA113"/>
      <c s="125" r="GB113"/>
      <c s="125" r="GC113"/>
      <c s="125" r="GD113"/>
      <c s="125" r="GE113"/>
      <c s="125" r="GF113"/>
      <c s="125" r="GG113"/>
      <c s="125" r="GH113"/>
      <c s="125" r="GI113"/>
      <c s="125" r="GJ113"/>
      <c s="125" r="GK113"/>
      <c s="125" r="GL113"/>
      <c s="125" r="GM113"/>
      <c s="125" r="GN113"/>
      <c s="125" r="GO113"/>
      <c s="125" r="GP113"/>
      <c s="125" r="GQ113"/>
      <c s="125" r="GR113"/>
      <c s="125" r="GS113"/>
      <c s="125" r="GT113"/>
      <c s="125" r="GU113"/>
      <c s="125" r="GV113"/>
      <c s="125" r="GW113"/>
      <c s="125" r="GX113"/>
      <c s="125" r="GY113"/>
      <c s="125" r="GZ113"/>
      <c s="125" r="HA113"/>
      <c s="125" r="HB113"/>
    </row>
    <row r="114">
      <c s="822" r="A114"/>
      <c s="908" r="B114"/>
      <c s="551" r="C114"/>
      <c s="551" r="D114"/>
      <c t="str" s="812" r="E114">
        <f>"shear velocity "&amp;IF((H4=2),"(m/s)","(ft/s)")</f>
        <v>shear velocity (ft/s)</v>
      </c>
      <c t="str" s="76" r="F114">
        <f>IF(ISNUMBER((F94*F109)),(((IF((H4=2),9.81,32.2)*F94)*(F109/100))^0.5),"---")</f>
        <v>---</v>
      </c>
      <c t="str" s="677" r="G114">
        <f>IF(AND(ISTEXT('Dimension Estimated Values'!U6),ISTEXT('Dimension Estimated Values'!U7)),"---",(((("("&amp;ROUND('Dimension Estimated Values'!U6,2))&amp;"-")&amp;ROUND('Dimension Estimated Values'!U7,2))&amp;")"))</f>
        <v>---</v>
      </c>
      <c t="str" s="215" r="H114">
        <f>IF(ISNUMBER((F98*F109)),(((32.2*F98)*(F109/100))^0.5),"---")</f>
        <v>---</v>
      </c>
      <c s="51" r="I114"/>
      <c s="822" r="J114"/>
      <c s="406" r="K114"/>
      <c s="886" r="L114"/>
      <c s="886" r="M114"/>
      <c s="886" r="N114"/>
      <c s="886" r="O114"/>
      <c s="418" r="P114"/>
      <c s="550" r="Q114"/>
      <c s="550" r="R114"/>
      <c t="str" s="620" r="S114">
        <f>IF((COUNT(R114:R$146,T114:T$146)=0),NA(),IF(ISBLANK(R114),S113,(S113+(R114-T113))))</f>
        <v>#N/A:explicit</v>
      </c>
      <c s="550" r="T114"/>
      <c t="str" s="620" r="U114">
        <f>IF(OR(ISBLANK(T114),ISNUMBER(R115)),NA(),(S114-T114))</f>
        <v>#N/A:explicit</v>
      </c>
      <c t="b" s="895" r="V114">
        <v>0</v>
      </c>
      <c s="631" r="W114"/>
      <c t="str" s="309" r="X114">
        <f>IF((COUNT(Q114:Q$146)=0),NA(),IF(ISBLANK(Q114),IF(ISBLANK(Q113),MAX(Q$46:Q114),Q113),Q114))</f>
        <v>#N/A:explicit</v>
      </c>
      <c t="str" s="861" r="Y114">
        <f>IF(ISNA(U114),IF(ISNUMBER(X114),Y113,NA()),U114)</f>
        <v>#N/A:explicit</v>
      </c>
      <c s="861" r="Z114">
        <f>IF(ISNUMBER(Y114),Y114,(S$46+1000))</f>
        <v>1000</v>
      </c>
      <c t="str" s="588" r="AA114">
        <f>IF((V114=TRUE),NA(),IF((AA$44=(S$46-MAX(T$46:T$146))),NA(),AA$44))</f>
        <v>#N/A:explicit</v>
      </c>
      <c s="588" r="AB114">
        <f>IF((ISNA(((Y114*X114)*Y113))),0,(IF((X114&lt;X113),-1,1)*(IF((V113=FALSE),IF((V114=FALSE),IF(ISNA(Y114),0,IF((Y113&lt;AA$44),IF((Y114&lt;AA$44),(((X114-X113)^2)^0.5),(((((AA$44-Y113)*(X114-X113))/(Y114-Y113))^2)^0.5)),IF((Y114&lt;AA$44),(((((AA$44-Y114)*(X114-X113))/(Y113-Y114))^2)^0.5),0))),0),0))))</f>
        <v>0</v>
      </c>
      <c s="588" r="AC114">
        <f>IF(ISNA((Y114*Y113)),0,IF((V113=FALSE),IF((V114=FALSE),IF(ISNA(U114),0,IF((Y113&lt;AA$44),IF((Y114&lt;AA$44),((AA$44-((Y113+Y114)*0.5))*AB114),(((AA$44-Y113)*0.5)*AB114)),IF((Y114&lt;AA$44),(((AA$44-Y114)*0.5)*AB114),0))),0),0))</f>
        <v>0</v>
      </c>
      <c s="588" r="AD114">
        <f>IF(ISNA((Y114*Y113)),0,IF((V113=FALSE),IF((V114=FALSE),IF(ISNA(Y114),0,IF((Y113&lt;AA$44),IF((Y114&lt;AA$44),(((AB114^2)+((Y114-Y113)^2))^0.5),(((AB114^2)+((AA$44-Y113)^2))^0.5)),IF((Y114&lt;AA$44),(((AB114^2)+((AA$44-Y114)^2))^0.5),0))),0),0))</f>
        <v>0</v>
      </c>
      <c s="588" r="AE114">
        <f>IF(ISNUMBER((Y114*Y113)),IF((Y113&gt;=K$148),IF((Y114&lt;K$148),1,0),IF((Y114&gt;=K$148),IF((Y113&lt;K$148),1,0),0)),0)</f>
        <v>0</v>
      </c>
      <c s="588" r="AF114">
        <f>IF(ISNA((Y114*Y113)),0,(IF((X114&lt;X113),-1,1)*(IF(ISNA(Y114),0,IF((Y113&lt;K$148),IF((Y114&lt;K$148),(((X114-X113)^2)^0.5),(((((K$148-Y113)*(X114-X113))/(Y114-Y113))^2)^0.5)),IF((Y114&lt;K$148),(((((K$148-Y114)*(X114-X113))/(Y113-Y114))^2)^0.5),0))))))</f>
        <v>0</v>
      </c>
      <c s="441" r="AG114">
        <f>IF((AC114&gt;0),(MAX(AG$47:AG113)+1),0)</f>
        <v>0</v>
      </c>
      <c s="388" r="AH114"/>
      <c s="406" r="AI114"/>
      <c s="886" r="AJ114"/>
      <c s="886" r="AK114"/>
      <c s="886" r="AL114"/>
      <c s="886" r="AM114"/>
      <c s="418" r="AN114"/>
      <c s="550" r="AO114"/>
      <c s="550" r="AP114"/>
      <c t="str" s="620" r="AQ114">
        <f>IF((COUNT(AP114:AP$146,AR114:AR$146)=0),NA(),IF(ISBLANK(AP114),AQ113,(AQ113+(AP114-AR113))))</f>
        <v>#N/A:explicit</v>
      </c>
      <c s="550" r="AR114"/>
      <c t="str" s="620" r="AS114">
        <f>IF(OR(ISBLANK(AR114),ISNUMBER(AP115)),NA(),(AQ114-AR114))</f>
        <v>#N/A:explicit</v>
      </c>
      <c t="b" s="895" r="AT114">
        <v>1</v>
      </c>
      <c s="631" r="AU114"/>
      <c t="str" s="309" r="AV114">
        <f>IF((COUNT(AO114:AO$146)=0),NA(),IF(ISBLANK(AO114),IF(ISBLANK(AO113),MAX(AO$46:AO114),AO113),AO114))</f>
        <v>#N/A:explicit</v>
      </c>
      <c t="str" s="861" r="AW114">
        <f>IF(ISNA(AS114),IF(ISNUMBER(AV114),AW113,NA()),AS114)</f>
        <v>#N/A:explicit</v>
      </c>
      <c s="861" r="AX114">
        <f>IF(ISNUMBER(AW114),AW114,(AQ$46+1000))</f>
        <v>1000</v>
      </c>
      <c t="str" s="588" r="AY114">
        <f>IF((AT114=TRUE),NA(),IF((AY$44=(AQ$46-MAX(AR$46:AR$146))),NA(),AY$44))</f>
        <v>#N/A:explicit</v>
      </c>
      <c s="588" r="AZ114">
        <f>IF((ISNA(((AW114*AV114)*AW113))),0,(IF((AV114&lt;AV113),-1,1)*(IF((AT113=FALSE),IF((AT114=FALSE),IF(ISNA(AW114),0,IF((AW113&lt;AY$44),IF((AW114&lt;AY$44),(((AV114-AV113)^2)^0.5),(((((AY$44-AW113)*(AV114-AV113))/(AW114-AW113))^2)^0.5)),IF((AW114&lt;AY$44),(((((AY$44-AW114)*(AV114-AV113))/(AW113-AW114))^2)^0.5),0))),0),0))))</f>
        <v>0</v>
      </c>
      <c s="588" r="BA114">
        <f>IF(ISNA((AW114*AW113)),0,IF((AT113=FALSE),IF((AT114=FALSE),IF(ISNA(AS114),0,IF((AW113&lt;AY$44),IF((AW114&lt;AY$44),((AY$44-((AW113+AW114)*0.5))*AZ114),(((AY$44-AW113)*0.5)*AZ114)),IF((AW114&lt;AY$44),(((AY$44-AW114)*0.5)*AZ114),0))),0),0))</f>
        <v>0</v>
      </c>
      <c s="588" r="BB114">
        <f>IF(ISNA((AW114*AW113)),0,IF((AT113=FALSE),IF((AT114=FALSE),IF(ISNA(AW114),0,IF((AW113&lt;AY$44),IF((AW114&lt;AY$44),(((AZ114^2)+((AW114-AW113)^2))^0.5),(((AZ114^2)+((AY$44-AW113)^2))^0.5)),IF((AW114&lt;AY$44),(((AZ114^2)+((AY$44-AW114)^2))^0.5),0))),0),0))</f>
        <v>0</v>
      </c>
      <c s="588" r="BC114">
        <f>IF(ISNUMBER((AW114*AW113)),IF((AW113&gt;=AI$148),IF((AW114&lt;AI$148),1,0),IF((AW114&gt;=AI$148),IF((AW113&lt;AI$148),1,0),0)),0)</f>
        <v>0</v>
      </c>
      <c s="588" r="BD114">
        <f>IF(ISNA((AW114*AW113)),0,(IF((AV114&lt;AV113),-1,1)*(IF(ISNA(AW114),0,IF((AW113&lt;AI$148),IF((AW114&lt;AI$148),(((AV114-AV113)^2)^0.5),(((((AI$148-AW113)*(AV114-AV113))/(AW114-AW113))^2)^0.5)),IF((AW114&lt;AI$148),(((((AI$148-AW114)*(AV114-AV113))/(AW113-AW114))^2)^0.5),0))))))</f>
        <v>0</v>
      </c>
      <c s="441" r="BE114">
        <f>IF((BA114&gt;0),(MAX(BE$47:BE113)+1),0)</f>
        <v>0</v>
      </c>
      <c s="388" r="BF114"/>
      <c s="406" r="BG114"/>
      <c s="886" r="BH114"/>
      <c s="886" r="BI114"/>
      <c s="886" r="BJ114"/>
      <c s="886" r="BK114"/>
      <c s="418" r="BL114"/>
      <c s="550" r="BM114"/>
      <c s="550" r="BN114"/>
      <c t="str" s="620" r="BO114">
        <f>IF((COUNT(BN114:BN$146,BP114:BP$146)=0),NA(),IF(ISBLANK(BN114),BO113,(BO113+(BN114-BP113))))</f>
        <v>#N/A:explicit</v>
      </c>
      <c s="550" r="BP114"/>
      <c t="str" s="620" r="BQ114">
        <f>IF(OR(ISBLANK(BP114),ISNUMBER(BN115)),NA(),(BO114-BP114))</f>
        <v>#N/A:explicit</v>
      </c>
      <c t="b" s="895" r="BR114">
        <v>0</v>
      </c>
      <c s="631" r="BS114"/>
      <c t="str" s="309" r="BT114">
        <f>IF((COUNT(BM114:BM$146)=0),NA(),IF(ISBLANK(BM114),IF(ISBLANK(BM113),MAX(BM$46:BM114),BM113),BM114))</f>
        <v>#N/A:explicit</v>
      </c>
      <c t="str" s="861" r="BU114">
        <f>IF(ISNA(BQ114),IF(ISNUMBER(BT114),BU113,NA()),BQ114)</f>
        <v>#N/A:explicit</v>
      </c>
      <c s="861" r="BV114">
        <f>IF(ISNUMBER(BU114),BU114,(BO$46+1000))</f>
        <v>1000</v>
      </c>
      <c t="str" s="588" r="BW114">
        <f>IF((BR114=TRUE),NA(),IF((BW$44=(BO$46-MAX(BP$46:BP$146))),NA(),BW$44))</f>
        <v>#N/A:explicit</v>
      </c>
      <c s="588" r="BX114">
        <f>IF((ISNA(((BU114*BT114)*BU113))),0,(IF((BT114&lt;BT113),-1,1)*(IF((BR113=FALSE),IF((BR114=FALSE),IF(ISNA(BU114),0,IF((BU113&lt;BW$44),IF((BU114&lt;BW$44),(((BT114-BT113)^2)^0.5),(((((BW$44-BU113)*(BT114-BT113))/(BU114-BU113))^2)^0.5)),IF((BU114&lt;BW$44),(((((BW$44-BU114)*(BT114-BT113))/(BU113-BU114))^2)^0.5),0))),0),0))))</f>
        <v>0</v>
      </c>
      <c s="588" r="BY114">
        <f>IF(ISNA((BU114*BU113)),0,IF((BR113=FALSE),IF((BR114=FALSE),IF(ISNA(BQ114),0,IF((BU113&lt;BW$44),IF((BU114&lt;BW$44),((BW$44-((BU113+BU114)*0.5))*BX114),(((BW$44-BU113)*0.5)*BX114)),IF((BU114&lt;BW$44),(((BW$44-BU114)*0.5)*BX114),0))),0),0))</f>
        <v>0</v>
      </c>
      <c s="588" r="BZ114">
        <f>IF(ISNA((BU114*BU113)),0,IF((BR113=FALSE),IF((BR114=FALSE),IF(ISNA(BU114),0,IF((BU113&lt;BW$44),IF((BU114&lt;BW$44),(((BX114^2)+((BU114-BU113)^2))^0.5),(((BX114^2)+((BW$44-BU113)^2))^0.5)),IF((BU114&lt;BW$44),(((BX114^2)+((BW$44-BU114)^2))^0.5),0))),0),0))</f>
        <v>0</v>
      </c>
      <c s="588" r="CA114">
        <f>IF(ISNUMBER((BU114*BU113)),IF((BU113&gt;=BG$148),IF((BU114&lt;BG$148),1,0),IF((BU114&gt;=BG$148),IF((BU113&lt;BG$148),1,0),0)),0)</f>
        <v>0</v>
      </c>
      <c s="588" r="CB114">
        <f>IF(ISNA((BU114*BU113)),0,(IF((BT114&lt;BT113),-1,1)*(IF(ISNA(BU114),0,IF((BU113&lt;BG$148),IF((BU114&lt;BG$148),(((BT114-BT113)^2)^0.5),(((((BG$148-BU113)*(BT114-BT113))/(BU114-BU113))^2)^0.5)),IF((BU114&lt;BG$148),(((((BG$148-BU114)*(BT114-BT113))/(BU113-BU114))^2)^0.5),0))))))</f>
        <v>0</v>
      </c>
      <c s="441" r="CC114">
        <f>IF((BY114&gt;0),(MAX(CC$47:CC113)+1),0)</f>
        <v>0</v>
      </c>
      <c s="388" r="CD114"/>
      <c s="406" r="CE114"/>
      <c s="886" r="CF114"/>
      <c s="886" r="CG114"/>
      <c s="886" r="CH114"/>
      <c s="886" r="CI114"/>
      <c s="418" r="CJ114"/>
      <c s="550" r="CK114"/>
      <c s="550" r="CL114"/>
      <c t="str" s="620" r="CM114">
        <f>IF((COUNT(CL114:CL$146,CN114:CN$146)=0),NA(),IF(ISBLANK(CL114),CM113,(CM113+(CL114-CN113))))</f>
        <v>#N/A:explicit</v>
      </c>
      <c s="550" r="CN114"/>
      <c t="str" s="620" r="CO114">
        <f>IF(OR(ISBLANK(CN114),ISNUMBER(CL115)),NA(),(CM114-CN114))</f>
        <v>#N/A:explicit</v>
      </c>
      <c t="b" s="895" r="CP114">
        <v>0</v>
      </c>
      <c s="631" r="CQ114"/>
      <c t="str" s="309" r="CR114">
        <f>IF((COUNT(CK114:CK$146)=0),NA(),IF(ISBLANK(CK114),IF(ISBLANK(CK113),MAX(CK$46:CK114),CK113),CK114))</f>
        <v>#N/A:explicit</v>
      </c>
      <c t="str" s="861" r="CS114">
        <f>IF(ISNA(CO114),IF(ISNUMBER(CR114),CS113,NA()),CO114)</f>
        <v>#N/A:explicit</v>
      </c>
      <c s="861" r="CT114">
        <f>IF(ISNUMBER(CS114),CS114,(CM$46+1000))</f>
        <v>1000</v>
      </c>
      <c t="str" s="588" r="CU114">
        <f>IF((CP114=TRUE),NA(),IF((CU$44=(CM$46-MAX(CN$46:CN$146))),NA(),CU$44))</f>
        <v>#N/A:explicit</v>
      </c>
      <c s="588" r="CV114">
        <f>IF((ISNA(((CS114*CR114)*CS113))),0,(IF((CR114&lt;CR113),-1,1)*(IF((CP113=FALSE),IF((CP114=FALSE),IF(ISNA(CS114),0,IF((CS113&lt;CU$44),IF((CS114&lt;CU$44),(((CR114-CR113)^2)^0.5),(((((CU$44-CS113)*(CR114-CR113))/(CS114-CS113))^2)^0.5)),IF((CS114&lt;CU$44),(((((CU$44-CS114)*(CR114-CR113))/(CS113-CS114))^2)^0.5),0))),0),0))))</f>
        <v>0</v>
      </c>
      <c s="588" r="CW114">
        <f>IF(ISNA((CS114*CS113)),0,IF((CP113=FALSE),IF((CP114=FALSE),IF(ISNA(CO114),0,IF((CS113&lt;CU$44),IF((CS114&lt;CU$44),((CU$44-((CS113+CS114)*0.5))*CV114),(((CU$44-CS113)*0.5)*CV114)),IF((CS114&lt;CU$44),(((CU$44-CS114)*0.5)*CV114),0))),0),0))</f>
        <v>0</v>
      </c>
      <c s="588" r="CX114">
        <f>IF(ISNA((CS114*CS113)),0,IF((CP113=FALSE),IF((CP114=FALSE),IF(ISNA(CS114),0,IF((CS113&lt;CU$44),IF((CS114&lt;CU$44),(((CV114^2)+((CS114-CS113)^2))^0.5),(((CV114^2)+((CU$44-CS113)^2))^0.5)),IF((CS114&lt;CU$44),(((CV114^2)+((CU$44-CS114)^2))^0.5),0))),0),0))</f>
        <v>0</v>
      </c>
      <c s="588" r="CY114">
        <f>IF(ISNUMBER((CS114*CS113)),IF((CS113&gt;=CE$148),IF((CS114&lt;CE$148),1,0),IF((CS114&gt;=CE$148),IF((CS113&lt;CE$148),1,0),0)),0)</f>
        <v>0</v>
      </c>
      <c s="588" r="CZ114">
        <f>IF(ISNA((CS114*CS113)),0,(IF((CR114&lt;CR113),-1,1)*(IF(ISNA(CS114),0,IF((CS113&lt;CE$148),IF((CS114&lt;CE$148),(((CR114-CR113)^2)^0.5),(((((CE$148-CS113)*(CR114-CR113))/(CS114-CS113))^2)^0.5)),IF((CS114&lt;CE$148),(((((CE$148-CS114)*(CR114-CR113))/(CS113-CS114))^2)^0.5),0))))))</f>
        <v>0</v>
      </c>
      <c s="441" r="DA114">
        <f>IF((CW114&gt;0),(MAX(DA$47:DA113)+1),0)</f>
        <v>0</v>
      </c>
      <c s="388" r="DB114"/>
      <c s="406" r="DC114"/>
      <c s="886" r="DD114"/>
      <c s="886" r="DE114"/>
      <c s="886" r="DF114"/>
      <c s="886" r="DG114"/>
      <c s="418" r="DH114"/>
      <c s="550" r="DI114"/>
      <c s="550" r="DJ114"/>
      <c t="str" s="620" r="DK114">
        <f>IF((COUNT(DJ114:DJ$146,DL114:DL$146)=0),NA(),IF(ISBLANK(DJ114),DK113,(DK113+(DJ114-DL113))))</f>
        <v>#N/A:explicit</v>
      </c>
      <c s="550" r="DL114"/>
      <c t="str" s="620" r="DM114">
        <f>IF(OR(ISBLANK(DL114),ISNUMBER(DJ115)),NA(),(DK114-DL114))</f>
        <v>#N/A:explicit</v>
      </c>
      <c t="b" s="895" r="DN114">
        <v>0</v>
      </c>
      <c s="631" r="DO114"/>
      <c t="str" s="309" r="DP114">
        <f>IF((COUNT(DI114:DI$146)=0),NA(),IF(ISBLANK(DI114),IF(ISBLANK(DI113),MAX(DI$46:DI114),DI113),DI114))</f>
        <v>#N/A:explicit</v>
      </c>
      <c t="str" s="861" r="DQ114">
        <f>IF(ISNA(DM114),IF(ISNUMBER(DP114),DQ113,NA()),DM114)</f>
        <v>#N/A:explicit</v>
      </c>
      <c s="861" r="DR114">
        <f>IF(ISNUMBER(DQ114),DQ114,(DK$46+1000))</f>
        <v>1000</v>
      </c>
      <c t="str" s="588" r="DS114">
        <f>IF((DN114=TRUE),NA(),IF((DS$44=(DK$46-MAX(DL$46:DL$146))),NA(),DS$44))</f>
        <v>#N/A:explicit</v>
      </c>
      <c s="588" r="DT114">
        <f>IF((ISNA(((DQ114*DP114)*DQ113))),0,(IF((DP114&lt;DP113),-1,1)*(IF((DN113=FALSE),IF((DN114=FALSE),IF(ISNA(DQ114),0,IF((DQ113&lt;DS$44),IF((DQ114&lt;DS$44),(((DP114-DP113)^2)^0.5),(((((DS$44-DQ113)*(DP114-DP113))/(DQ114-DQ113))^2)^0.5)),IF((DQ114&lt;DS$44),(((((DS$44-DQ114)*(DP114-DP113))/(DQ113-DQ114))^2)^0.5),0))),0),0))))</f>
        <v>0</v>
      </c>
      <c s="588" r="DU114">
        <f>IF(ISNA((DQ114*DQ113)),0,IF((DN113=FALSE),IF((DN114=FALSE),IF(ISNA(DM114),0,IF((DQ113&lt;DS$44),IF((DQ114&lt;DS$44),((DS$44-((DQ113+DQ114)*0.5))*DT114),(((DS$44-DQ113)*0.5)*DT114)),IF((DQ114&lt;DS$44),(((DS$44-DQ114)*0.5)*DT114),0))),0),0))</f>
        <v>0</v>
      </c>
      <c s="588" r="DV114">
        <f>IF(ISNA((DQ114*DQ113)),0,IF((DN113=FALSE),IF((DN114=FALSE),IF(ISNA(DQ114),0,IF((DQ113&lt;DS$44),IF((DQ114&lt;DS$44),(((DT114^2)+((DQ114-DQ113)^2))^0.5),(((DT114^2)+((DS$44-DQ113)^2))^0.5)),IF((DQ114&lt;DS$44),(((DT114^2)+((DS$44-DQ114)^2))^0.5),0))),0),0))</f>
        <v>0</v>
      </c>
      <c s="588" r="DW114">
        <f>IF(ISNUMBER((DQ114*DQ113)),IF((DQ113&gt;=DC$148),IF((DQ114&lt;DC$148),1,0),IF((DQ114&gt;=DC$148),IF((DQ113&lt;DC$148),1,0),0)),0)</f>
        <v>0</v>
      </c>
      <c s="588" r="DX114">
        <f>IF(ISNA((DQ114*DQ113)),0,(IF((DP114&lt;DP113),-1,1)*(IF(ISNA(DQ114),0,IF((DQ113&lt;DC$148),IF((DQ114&lt;DC$148),(((DP114-DP113)^2)^0.5),(((((DC$148-DQ113)*(DP114-DP113))/(DQ114-DQ113))^2)^0.5)),IF((DQ114&lt;DC$148),(((((DC$148-DQ114)*(DP114-DP113))/(DQ113-DQ114))^2)^0.5),0))))))</f>
        <v>0</v>
      </c>
      <c s="441" r="DY114">
        <f>IF((DU114&gt;0),(MAX(DY$47:DY113)+1),0)</f>
        <v>0</v>
      </c>
      <c s="388" r="DZ114"/>
      <c s="406" r="EA114"/>
      <c s="886" r="EB114"/>
      <c s="886" r="EC114"/>
      <c s="886" r="ED114"/>
      <c s="886" r="EE114"/>
      <c s="418" r="EF114"/>
      <c s="550" r="EG114"/>
      <c s="550" r="EH114"/>
      <c t="str" s="620" r="EI114">
        <f>IF((COUNT(EH114:EH$146,EJ114:EJ$146)=0),NA(),IF(ISBLANK(EH114),EI113,(EI113+(EH114-EJ113))))</f>
        <v>#N/A:explicit</v>
      </c>
      <c s="550" r="EJ114"/>
      <c t="str" s="620" r="EK114">
        <f>IF(OR(ISBLANK(EJ114),ISNUMBER(EH115)),NA(),(EI114-EJ114))</f>
        <v>#N/A:explicit</v>
      </c>
      <c t="b" s="895" r="EL114">
        <v>0</v>
      </c>
      <c s="631" r="EM114"/>
      <c t="str" s="309" r="EN114">
        <f>IF((COUNT(EG114:EG$146)=0),NA(),IF(ISBLANK(EG114),IF(ISBLANK(EG113),MAX(EG$46:EG114),EG113),EG114))</f>
        <v>#N/A:explicit</v>
      </c>
      <c t="str" s="861" r="EO114">
        <f>IF(ISNA(EK114),IF(ISNUMBER(EN114),EO113,NA()),EK114)</f>
        <v>#N/A:explicit</v>
      </c>
      <c s="861" r="EP114">
        <f>IF(ISNUMBER(EO114),EO114,(EI$46+1000))</f>
        <v>1000</v>
      </c>
      <c t="str" s="588" r="EQ114">
        <f>IF((EL114=TRUE),NA(),IF((EQ$44=(EI$46-MAX(EJ$46:EJ$146))),NA(),EQ$44))</f>
        <v>#N/A:explicit</v>
      </c>
      <c s="588" r="ER114">
        <f>IF((ISNA(((EO114*EN114)*EO113))),0,(IF((EN114&lt;EN113),-1,1)*(IF((EL113=FALSE),IF((EL114=FALSE),IF(ISNA(EO114),0,IF((EO113&lt;EQ$44),IF((EO114&lt;EQ$44),(((EN114-EN113)^2)^0.5),(((((EQ$44-EO113)*(EN114-EN113))/(EO114-EO113))^2)^0.5)),IF((EO114&lt;EQ$44),(((((EQ$44-EO114)*(EN114-EN113))/(EO113-EO114))^2)^0.5),0))),0),0))))</f>
        <v>0</v>
      </c>
      <c s="588" r="ES114">
        <f>IF(ISNA((EO114*EO113)),0,IF((EL113=FALSE),IF((EL114=FALSE),IF(ISNA(EK114),0,IF((EO113&lt;EQ$44),IF((EO114&lt;EQ$44),((EQ$44-((EO113+EO114)*0.5))*ER114),(((EQ$44-EO113)*0.5)*ER114)),IF((EO114&lt;EQ$44),(((EQ$44-EO114)*0.5)*ER114),0))),0),0))</f>
        <v>0</v>
      </c>
      <c s="588" r="ET114">
        <f>IF(ISNA((EO114*EO113)),0,IF((EL113=FALSE),IF((EL114=FALSE),IF(ISNA(EO114),0,IF((EO113&lt;EQ$44),IF((EO114&lt;EQ$44),(((ER114^2)+((EO114-EO113)^2))^0.5),(((ER114^2)+((EQ$44-EO113)^2))^0.5)),IF((EO114&lt;EQ$44),(((ER114^2)+((EQ$44-EO114)^2))^0.5),0))),0),0))</f>
        <v>0</v>
      </c>
      <c s="588" r="EU114">
        <f>IF(ISNUMBER((EO114*EO113)),IF((EO113&gt;=EA$148),IF((EO114&lt;EA$148),1,0),IF((EO114&gt;=EA$148),IF((EO113&lt;EA$148),1,0),0)),0)</f>
        <v>0</v>
      </c>
      <c s="588" r="EV114">
        <f>IF(ISNA((EO114*EO113)),0,(IF((EN114&lt;EN113),-1,1)*(IF(ISNA(EO114),0,IF((EO113&lt;EA$148),IF((EO114&lt;EA$148),(((EN114-EN113)^2)^0.5),(((((EA$148-EO113)*(EN114-EN113))/(EO114-EO113))^2)^0.5)),IF((EO114&lt;EA$148),(((((EA$148-EO114)*(EN114-EN113))/(EO113-EO114))^2)^0.5),0))))))</f>
        <v>0</v>
      </c>
      <c s="441" r="EW114">
        <f>IF((ES114&gt;0),(MAX(EW$47:EW113)+1),0)</f>
        <v>0</v>
      </c>
      <c s="388" r="EX114"/>
      <c s="406" r="EY114"/>
      <c s="886" r="EZ114"/>
      <c s="886" r="FA114"/>
      <c s="886" r="FB114"/>
      <c s="886" r="FC114"/>
      <c s="418" r="FD114"/>
      <c s="550" r="FE114"/>
      <c s="550" r="FF114"/>
      <c t="str" s="620" r="FG114">
        <f>IF((COUNT(FF114:FF$146,FH114:FH$146)=0),NA(),IF(ISBLANK(FF114),FG113,(FG113+(FF114-FH113))))</f>
        <v>#N/A:explicit</v>
      </c>
      <c s="550" r="FH114"/>
      <c t="str" s="620" r="FI114">
        <f>IF(OR(ISBLANK(FH114),ISNUMBER(FF115)),NA(),(FG114-FH114))</f>
        <v>#N/A:explicit</v>
      </c>
      <c t="b" s="895" r="FJ114">
        <v>0</v>
      </c>
      <c s="631" r="FK114"/>
      <c t="str" s="309" r="FL114">
        <f>IF((COUNT(FE114:FE$146)=0),NA(),IF(ISBLANK(FE114),IF(ISBLANK(FE113),MAX(FE$46:FE114),FE113),FE114))</f>
        <v>#N/A:explicit</v>
      </c>
      <c t="str" s="861" r="FM114">
        <f>IF(ISNA(FI114),IF(ISNUMBER(FL114),FM113,NA()),FI114)</f>
        <v>#N/A:explicit</v>
      </c>
      <c s="861" r="FN114">
        <f>IF(ISNUMBER(FM114),FM114,(FG$46+1000))</f>
        <v>1000</v>
      </c>
      <c t="str" s="588" r="FO114">
        <f>IF((FJ114=TRUE),NA(),IF((FO$44=(FG$46-MAX(FH$46:FH$146))),NA(),FO$44))</f>
        <v>#N/A:explicit</v>
      </c>
      <c s="588" r="FP114">
        <f>IF((ISNA(((FM114*FL114)*FM113))),0,(IF((FL114&lt;FL113),-1,1)*(IF((FJ113=FALSE),IF((FJ114=FALSE),IF(ISNA(FM114),0,IF((FM113&lt;FO$44),IF((FM114&lt;FO$44),(((FL114-FL113)^2)^0.5),(((((FO$44-FM113)*(FL114-FL113))/(FM114-FM113))^2)^0.5)),IF((FM114&lt;FO$44),(((((FO$44-FM114)*(FL114-FL113))/(FM113-FM114))^2)^0.5),0))),0),0))))</f>
        <v>0</v>
      </c>
      <c s="588" r="FQ114">
        <f>IF(ISNA((FM114*FM113)),0,IF((FJ113=FALSE),IF((FJ114=FALSE),IF(ISNA(FI114),0,IF((FM113&lt;FO$44),IF((FM114&lt;FO$44),((FO$44-((FM113+FM114)*0.5))*FP114),(((FO$44-FM113)*0.5)*FP114)),IF((FM114&lt;FO$44),(((FO$44-FM114)*0.5)*FP114),0))),0),0))</f>
        <v>0</v>
      </c>
      <c s="588" r="FR114">
        <f>IF(ISNA((FM114*FM113)),0,IF((FJ113=FALSE),IF((FJ114=FALSE),IF(ISNA(FM114),0,IF((FM113&lt;FO$44),IF((FM114&lt;FO$44),(((FP114^2)+((FM114-FM113)^2))^0.5),(((FP114^2)+((FO$44-FM113)^2))^0.5)),IF((FM114&lt;FO$44),(((FP114^2)+((FO$44-FM114)^2))^0.5),0))),0),0))</f>
        <v>0</v>
      </c>
      <c s="588" r="FS114">
        <f>IF(ISNUMBER((FM114*FM113)),IF((FM113&gt;=EY$148),IF((FM114&lt;EY$148),1,0),IF((FM114&gt;=EY$148),IF((FM113&lt;EY$148),1,0),0)),0)</f>
        <v>0</v>
      </c>
      <c s="588" r="FT114">
        <f>IF(ISNA((FM114*FM113)),0,(IF((FL114&lt;FL113),-1,1)*(IF(ISNA(FM114),0,IF((FM113&lt;EY$148),IF((FM114&lt;EY$148),(((FL114-FL113)^2)^0.5),(((((EY$148-FM113)*(FL114-FL113))/(FM114-FM113))^2)^0.5)),IF((FM114&lt;EY$148),(((((EY$148-FM114)*(FL114-FL113))/(FM113-FM114))^2)^0.5),0))))))</f>
        <v>0</v>
      </c>
      <c s="441" r="FU114">
        <f>IF((FQ114&gt;0),(MAX(FU$47:FU113)+1),0)</f>
        <v>0</v>
      </c>
      <c s="222" r="FV114"/>
      <c s="125" r="FW114"/>
      <c s="125" r="FX114"/>
      <c s="125" r="FY114"/>
      <c s="125" r="FZ114"/>
      <c s="125" r="GA114"/>
      <c s="125" r="GB114"/>
      <c s="125" r="GC114"/>
      <c s="125" r="GD114"/>
      <c s="125" r="GE114"/>
      <c s="125" r="GF114"/>
      <c s="125" r="GG114"/>
      <c s="125" r="GH114"/>
      <c s="125" r="GI114"/>
      <c s="125" r="GJ114"/>
      <c s="125" r="GK114"/>
      <c s="125" r="GL114"/>
      <c s="125" r="GM114"/>
      <c s="125" r="GN114"/>
      <c s="125" r="GO114"/>
      <c s="125" r="GP114"/>
      <c s="125" r="GQ114"/>
      <c s="125" r="GR114"/>
      <c s="125" r="GS114"/>
      <c s="125" r="GT114"/>
      <c s="125" r="GU114"/>
      <c s="125" r="GV114"/>
      <c s="125" r="GW114"/>
      <c s="125" r="GX114"/>
      <c s="125" r="GY114"/>
      <c s="125" r="GZ114"/>
      <c s="125" r="HA114"/>
      <c s="125" r="HB114"/>
    </row>
    <row r="115">
      <c s="822" r="A115"/>
      <c s="908" r="B115"/>
      <c s="551" r="C115"/>
      <c s="551" r="D115"/>
      <c t="str" s="812" r="E115">
        <f>"stream power "&amp;IF((H4=2),"(N/s)","(lb/s)")</f>
        <v>stream power (lb/s)</v>
      </c>
      <c t="str" s="719" r="F115">
        <f>IF(ISNUMBER((F109*F108)),((IF((H4=2),(1000*9.81),62.4)*F108)*(F109/100)),"---")</f>
        <v>---</v>
      </c>
      <c t="str" s="677" r="G115">
        <f>((("("&amp;IF(ISNUMBER((F109*'Dimension Estimated Values'!S6)),ROUND(((62.4*'Dimension Estimated Values'!S6)*(F109/100)),0),"---"))&amp;"-")&amp;IF(ISNUMBER((F109*'Dimension Estimated Values'!S7)),ROUND(((62.4*'Dimension Estimated Values'!S7)*(F109/100)),0),"---"))&amp;")"</f>
        <v>(-------)</v>
      </c>
      <c s="224" r="H115"/>
      <c s="51" r="I115"/>
      <c s="822" r="J115"/>
      <c s="406" r="K115"/>
      <c s="886" r="L115"/>
      <c s="886" r="M115"/>
      <c s="886" r="N115"/>
      <c s="886" r="O115"/>
      <c s="418" r="P115"/>
      <c s="550" r="Q115"/>
      <c s="550" r="R115"/>
      <c t="str" s="620" r="S115">
        <f>IF((COUNT(R115:R$146,T115:T$146)=0),NA(),IF(ISBLANK(R115),S114,(S114+(R115-T114))))</f>
        <v>#N/A:explicit</v>
      </c>
      <c s="550" r="T115"/>
      <c t="str" s="620" r="U115">
        <f>IF(OR(ISBLANK(T115),ISNUMBER(R116)),NA(),(S115-T115))</f>
        <v>#N/A:explicit</v>
      </c>
      <c t="b" s="895" r="V115">
        <v>0</v>
      </c>
      <c s="631" r="W115"/>
      <c t="str" s="309" r="X115">
        <f>IF((COUNT(Q115:Q$146)=0),NA(),IF(ISBLANK(Q115),IF(ISBLANK(Q114),MAX(Q$46:Q115),Q114),Q115))</f>
        <v>#N/A:explicit</v>
      </c>
      <c t="str" s="861" r="Y115">
        <f>IF(ISNA(U115),IF(ISNUMBER(X115),Y114,NA()),U115)</f>
        <v>#N/A:explicit</v>
      </c>
      <c s="861" r="Z115">
        <f>IF(ISNUMBER(Y115),Y115,(S$46+1000))</f>
        <v>1000</v>
      </c>
      <c t="str" s="588" r="AA115">
        <f>IF((V115=TRUE),NA(),IF((AA$44=(S$46-MAX(T$46:T$146))),NA(),AA$44))</f>
        <v>#N/A:explicit</v>
      </c>
      <c s="588" r="AB115">
        <f>IF((ISNA(((Y115*X115)*Y114))),0,(IF((X115&lt;X114),-1,1)*(IF((V114=FALSE),IF((V115=FALSE),IF(ISNA(Y115),0,IF((Y114&lt;AA$44),IF((Y115&lt;AA$44),(((X115-X114)^2)^0.5),(((((AA$44-Y114)*(X115-X114))/(Y115-Y114))^2)^0.5)),IF((Y115&lt;AA$44),(((((AA$44-Y115)*(X115-X114))/(Y114-Y115))^2)^0.5),0))),0),0))))</f>
        <v>0</v>
      </c>
      <c s="588" r="AC115">
        <f>IF(ISNA((Y115*Y114)),0,IF((V114=FALSE),IF((V115=FALSE),IF(ISNA(U115),0,IF((Y114&lt;AA$44),IF((Y115&lt;AA$44),((AA$44-((Y114+Y115)*0.5))*AB115),(((AA$44-Y114)*0.5)*AB115)),IF((Y115&lt;AA$44),(((AA$44-Y115)*0.5)*AB115),0))),0),0))</f>
        <v>0</v>
      </c>
      <c s="588" r="AD115">
        <f>IF(ISNA((Y115*Y114)),0,IF((V114=FALSE),IF((V115=FALSE),IF(ISNA(Y115),0,IF((Y114&lt;AA$44),IF((Y115&lt;AA$44),(((AB115^2)+((Y115-Y114)^2))^0.5),(((AB115^2)+((AA$44-Y114)^2))^0.5)),IF((Y115&lt;AA$44),(((AB115^2)+((AA$44-Y115)^2))^0.5),0))),0),0))</f>
        <v>0</v>
      </c>
      <c s="588" r="AE115">
        <f>IF(ISNUMBER((Y115*Y114)),IF((Y114&gt;=K$148),IF((Y115&lt;K$148),1,0),IF((Y115&gt;=K$148),IF((Y114&lt;K$148),1,0),0)),0)</f>
        <v>0</v>
      </c>
      <c s="588" r="AF115">
        <f>IF(ISNA((Y115*Y114)),0,(IF((X115&lt;X114),-1,1)*(IF(ISNA(Y115),0,IF((Y114&lt;K$148),IF((Y115&lt;K$148),(((X115-X114)^2)^0.5),(((((K$148-Y114)*(X115-X114))/(Y115-Y114))^2)^0.5)),IF((Y115&lt;K$148),(((((K$148-Y115)*(X115-X114))/(Y114-Y115))^2)^0.5),0))))))</f>
        <v>0</v>
      </c>
      <c s="441" r="AG115">
        <f>IF((AC115&gt;0),(MAX(AG$47:AG114)+1),0)</f>
        <v>0</v>
      </c>
      <c s="388" r="AH115"/>
      <c s="406" r="AI115"/>
      <c s="886" r="AJ115"/>
      <c s="886" r="AK115"/>
      <c s="886" r="AL115"/>
      <c s="886" r="AM115"/>
      <c s="418" r="AN115"/>
      <c s="550" r="AO115"/>
      <c s="550" r="AP115"/>
      <c t="str" s="620" r="AQ115">
        <f>IF((COUNT(AP115:AP$146,AR115:AR$146)=0),NA(),IF(ISBLANK(AP115),AQ114,(AQ114+(AP115-AR114))))</f>
        <v>#N/A:explicit</v>
      </c>
      <c s="550" r="AR115"/>
      <c t="str" s="620" r="AS115">
        <f>IF(OR(ISBLANK(AR115),ISNUMBER(AP116)),NA(),(AQ115-AR115))</f>
        <v>#N/A:explicit</v>
      </c>
      <c t="b" s="895" r="AT115">
        <v>0</v>
      </c>
      <c s="631" r="AU115"/>
      <c t="str" s="309" r="AV115">
        <f>IF((COUNT(AO115:AO$146)=0),NA(),IF(ISBLANK(AO115),IF(ISBLANK(AO114),MAX(AO$46:AO115),AO114),AO115))</f>
        <v>#N/A:explicit</v>
      </c>
      <c t="str" s="861" r="AW115">
        <f>IF(ISNA(AS115),IF(ISNUMBER(AV115),AW114,NA()),AS115)</f>
        <v>#N/A:explicit</v>
      </c>
      <c s="861" r="AX115">
        <f>IF(ISNUMBER(AW115),AW115,(AQ$46+1000))</f>
        <v>1000</v>
      </c>
      <c t="str" s="588" r="AY115">
        <f>IF((AT115=TRUE),NA(),IF((AY$44=(AQ$46-MAX(AR$46:AR$146))),NA(),AY$44))</f>
        <v>#N/A:explicit</v>
      </c>
      <c s="588" r="AZ115">
        <f>IF((ISNA(((AW115*AV115)*AW114))),0,(IF((AV115&lt;AV114),-1,1)*(IF((AT114=FALSE),IF((AT115=FALSE),IF(ISNA(AW115),0,IF((AW114&lt;AY$44),IF((AW115&lt;AY$44),(((AV115-AV114)^2)^0.5),(((((AY$44-AW114)*(AV115-AV114))/(AW115-AW114))^2)^0.5)),IF((AW115&lt;AY$44),(((((AY$44-AW115)*(AV115-AV114))/(AW114-AW115))^2)^0.5),0))),0),0))))</f>
        <v>0</v>
      </c>
      <c s="588" r="BA115">
        <f>IF(ISNA((AW115*AW114)),0,IF((AT114=FALSE),IF((AT115=FALSE),IF(ISNA(AS115),0,IF((AW114&lt;AY$44),IF((AW115&lt;AY$44),((AY$44-((AW114+AW115)*0.5))*AZ115),(((AY$44-AW114)*0.5)*AZ115)),IF((AW115&lt;AY$44),(((AY$44-AW115)*0.5)*AZ115),0))),0),0))</f>
        <v>0</v>
      </c>
      <c s="588" r="BB115">
        <f>IF(ISNA((AW115*AW114)),0,IF((AT114=FALSE),IF((AT115=FALSE),IF(ISNA(AW115),0,IF((AW114&lt;AY$44),IF((AW115&lt;AY$44),(((AZ115^2)+((AW115-AW114)^2))^0.5),(((AZ115^2)+((AY$44-AW114)^2))^0.5)),IF((AW115&lt;AY$44),(((AZ115^2)+((AY$44-AW115)^2))^0.5),0))),0),0))</f>
        <v>0</v>
      </c>
      <c s="588" r="BC115">
        <f>IF(ISNUMBER((AW115*AW114)),IF((AW114&gt;=AI$148),IF((AW115&lt;AI$148),1,0),IF((AW115&gt;=AI$148),IF((AW114&lt;AI$148),1,0),0)),0)</f>
        <v>0</v>
      </c>
      <c s="588" r="BD115">
        <f>IF(ISNA((AW115*AW114)),0,(IF((AV115&lt;AV114),-1,1)*(IF(ISNA(AW115),0,IF((AW114&lt;AI$148),IF((AW115&lt;AI$148),(((AV115-AV114)^2)^0.5),(((((AI$148-AW114)*(AV115-AV114))/(AW115-AW114))^2)^0.5)),IF((AW115&lt;AI$148),(((((AI$148-AW115)*(AV115-AV114))/(AW114-AW115))^2)^0.5),0))))))</f>
        <v>0</v>
      </c>
      <c s="441" r="BE115">
        <f>IF((BA115&gt;0),(MAX(BE$47:BE114)+1),0)</f>
        <v>0</v>
      </c>
      <c s="388" r="BF115"/>
      <c s="406" r="BG115"/>
      <c s="886" r="BH115"/>
      <c s="886" r="BI115"/>
      <c s="886" r="BJ115"/>
      <c s="886" r="BK115"/>
      <c s="418" r="BL115"/>
      <c s="550" r="BM115"/>
      <c s="550" r="BN115"/>
      <c t="str" s="620" r="BO115">
        <f>IF((COUNT(BN115:BN$146,BP115:BP$146)=0),NA(),IF(ISBLANK(BN115),BO114,(BO114+(BN115-BP114))))</f>
        <v>#N/A:explicit</v>
      </c>
      <c s="550" r="BP115"/>
      <c t="str" s="620" r="BQ115">
        <f>IF(OR(ISBLANK(BP115),ISNUMBER(BN116)),NA(),(BO115-BP115))</f>
        <v>#N/A:explicit</v>
      </c>
      <c t="b" s="895" r="BR115">
        <v>0</v>
      </c>
      <c s="631" r="BS115"/>
      <c t="str" s="309" r="BT115">
        <f>IF((COUNT(BM115:BM$146)=0),NA(),IF(ISBLANK(BM115),IF(ISBLANK(BM114),MAX(BM$46:BM115),BM114),BM115))</f>
        <v>#N/A:explicit</v>
      </c>
      <c t="str" s="861" r="BU115">
        <f>IF(ISNA(BQ115),IF(ISNUMBER(BT115),BU114,NA()),BQ115)</f>
        <v>#N/A:explicit</v>
      </c>
      <c s="861" r="BV115">
        <f>IF(ISNUMBER(BU115),BU115,(BO$46+1000))</f>
        <v>1000</v>
      </c>
      <c t="str" s="588" r="BW115">
        <f>IF((BR115=TRUE),NA(),IF((BW$44=(BO$46-MAX(BP$46:BP$146))),NA(),BW$44))</f>
        <v>#N/A:explicit</v>
      </c>
      <c s="588" r="BX115">
        <f>IF((ISNA(((BU115*BT115)*BU114))),0,(IF((BT115&lt;BT114),-1,1)*(IF((BR114=FALSE),IF((BR115=FALSE),IF(ISNA(BU115),0,IF((BU114&lt;BW$44),IF((BU115&lt;BW$44),(((BT115-BT114)^2)^0.5),(((((BW$44-BU114)*(BT115-BT114))/(BU115-BU114))^2)^0.5)),IF((BU115&lt;BW$44),(((((BW$44-BU115)*(BT115-BT114))/(BU114-BU115))^2)^0.5),0))),0),0))))</f>
        <v>0</v>
      </c>
      <c s="588" r="BY115">
        <f>IF(ISNA((BU115*BU114)),0,IF((BR114=FALSE),IF((BR115=FALSE),IF(ISNA(BQ115),0,IF((BU114&lt;BW$44),IF((BU115&lt;BW$44),((BW$44-((BU114+BU115)*0.5))*BX115),(((BW$44-BU114)*0.5)*BX115)),IF((BU115&lt;BW$44),(((BW$44-BU115)*0.5)*BX115),0))),0),0))</f>
        <v>0</v>
      </c>
      <c s="588" r="BZ115">
        <f>IF(ISNA((BU115*BU114)),0,IF((BR114=FALSE),IF((BR115=FALSE),IF(ISNA(BU115),0,IF((BU114&lt;BW$44),IF((BU115&lt;BW$44),(((BX115^2)+((BU115-BU114)^2))^0.5),(((BX115^2)+((BW$44-BU114)^2))^0.5)),IF((BU115&lt;BW$44),(((BX115^2)+((BW$44-BU115)^2))^0.5),0))),0),0))</f>
        <v>0</v>
      </c>
      <c s="588" r="CA115">
        <f>IF(ISNUMBER((BU115*BU114)),IF((BU114&gt;=BG$148),IF((BU115&lt;BG$148),1,0),IF((BU115&gt;=BG$148),IF((BU114&lt;BG$148),1,0),0)),0)</f>
        <v>0</v>
      </c>
      <c s="588" r="CB115">
        <f>IF(ISNA((BU115*BU114)),0,(IF((BT115&lt;BT114),-1,1)*(IF(ISNA(BU115),0,IF((BU114&lt;BG$148),IF((BU115&lt;BG$148),(((BT115-BT114)^2)^0.5),(((((BG$148-BU114)*(BT115-BT114))/(BU115-BU114))^2)^0.5)),IF((BU115&lt;BG$148),(((((BG$148-BU115)*(BT115-BT114))/(BU114-BU115))^2)^0.5),0))))))</f>
        <v>0</v>
      </c>
      <c s="441" r="CC115">
        <f>IF((BY115&gt;0),(MAX(CC$47:CC114)+1),0)</f>
        <v>0</v>
      </c>
      <c s="388" r="CD115"/>
      <c s="406" r="CE115"/>
      <c s="886" r="CF115"/>
      <c s="886" r="CG115"/>
      <c s="886" r="CH115"/>
      <c s="886" r="CI115"/>
      <c s="418" r="CJ115"/>
      <c s="550" r="CK115"/>
      <c s="550" r="CL115"/>
      <c t="str" s="620" r="CM115">
        <f>IF((COUNT(CL115:CL$146,CN115:CN$146)=0),NA(),IF(ISBLANK(CL115),CM114,(CM114+(CL115-CN114))))</f>
        <v>#N/A:explicit</v>
      </c>
      <c s="550" r="CN115"/>
      <c t="str" s="620" r="CO115">
        <f>IF(OR(ISBLANK(CN115),ISNUMBER(CL116)),NA(),(CM115-CN115))</f>
        <v>#N/A:explicit</v>
      </c>
      <c t="b" s="895" r="CP115">
        <v>0</v>
      </c>
      <c s="631" r="CQ115"/>
      <c t="str" s="309" r="CR115">
        <f>IF((COUNT(CK115:CK$146)=0),NA(),IF(ISBLANK(CK115),IF(ISBLANK(CK114),MAX(CK$46:CK115),CK114),CK115))</f>
        <v>#N/A:explicit</v>
      </c>
      <c t="str" s="861" r="CS115">
        <f>IF(ISNA(CO115),IF(ISNUMBER(CR115),CS114,NA()),CO115)</f>
        <v>#N/A:explicit</v>
      </c>
      <c s="861" r="CT115">
        <f>IF(ISNUMBER(CS115),CS115,(CM$46+1000))</f>
        <v>1000</v>
      </c>
      <c t="str" s="588" r="CU115">
        <f>IF((CP115=TRUE),NA(),IF((CU$44=(CM$46-MAX(CN$46:CN$146))),NA(),CU$44))</f>
        <v>#N/A:explicit</v>
      </c>
      <c s="588" r="CV115">
        <f>IF((ISNA(((CS115*CR115)*CS114))),0,(IF((CR115&lt;CR114),-1,1)*(IF((CP114=FALSE),IF((CP115=FALSE),IF(ISNA(CS115),0,IF((CS114&lt;CU$44),IF((CS115&lt;CU$44),(((CR115-CR114)^2)^0.5),(((((CU$44-CS114)*(CR115-CR114))/(CS115-CS114))^2)^0.5)),IF((CS115&lt;CU$44),(((((CU$44-CS115)*(CR115-CR114))/(CS114-CS115))^2)^0.5),0))),0),0))))</f>
        <v>0</v>
      </c>
      <c s="588" r="CW115">
        <f>IF(ISNA((CS115*CS114)),0,IF((CP114=FALSE),IF((CP115=FALSE),IF(ISNA(CO115),0,IF((CS114&lt;CU$44),IF((CS115&lt;CU$44),((CU$44-((CS114+CS115)*0.5))*CV115),(((CU$44-CS114)*0.5)*CV115)),IF((CS115&lt;CU$44),(((CU$44-CS115)*0.5)*CV115),0))),0),0))</f>
        <v>0</v>
      </c>
      <c s="588" r="CX115">
        <f>IF(ISNA((CS115*CS114)),0,IF((CP114=FALSE),IF((CP115=FALSE),IF(ISNA(CS115),0,IF((CS114&lt;CU$44),IF((CS115&lt;CU$44),(((CV115^2)+((CS115-CS114)^2))^0.5),(((CV115^2)+((CU$44-CS114)^2))^0.5)),IF((CS115&lt;CU$44),(((CV115^2)+((CU$44-CS115)^2))^0.5),0))),0),0))</f>
        <v>0</v>
      </c>
      <c s="588" r="CY115">
        <f>IF(ISNUMBER((CS115*CS114)),IF((CS114&gt;=CE$148),IF((CS115&lt;CE$148),1,0),IF((CS115&gt;=CE$148),IF((CS114&lt;CE$148),1,0),0)),0)</f>
        <v>0</v>
      </c>
      <c s="588" r="CZ115">
        <f>IF(ISNA((CS115*CS114)),0,(IF((CR115&lt;CR114),-1,1)*(IF(ISNA(CS115),0,IF((CS114&lt;CE$148),IF((CS115&lt;CE$148),(((CR115-CR114)^2)^0.5),(((((CE$148-CS114)*(CR115-CR114))/(CS115-CS114))^2)^0.5)),IF((CS115&lt;CE$148),(((((CE$148-CS115)*(CR115-CR114))/(CS114-CS115))^2)^0.5),0))))))</f>
        <v>0</v>
      </c>
      <c s="441" r="DA115">
        <f>IF((CW115&gt;0),(MAX(DA$47:DA114)+1),0)</f>
        <v>0</v>
      </c>
      <c s="388" r="DB115"/>
      <c s="406" r="DC115"/>
      <c s="886" r="DD115"/>
      <c s="886" r="DE115"/>
      <c s="886" r="DF115"/>
      <c s="886" r="DG115"/>
      <c s="418" r="DH115"/>
      <c s="550" r="DI115"/>
      <c s="550" r="DJ115"/>
      <c t="str" s="620" r="DK115">
        <f>IF((COUNT(DJ115:DJ$146,DL115:DL$146)=0),NA(),IF(ISBLANK(DJ115),DK114,(DK114+(DJ115-DL114))))</f>
        <v>#N/A:explicit</v>
      </c>
      <c s="550" r="DL115"/>
      <c t="str" s="620" r="DM115">
        <f>IF(OR(ISBLANK(DL115),ISNUMBER(DJ116)),NA(),(DK115-DL115))</f>
        <v>#N/A:explicit</v>
      </c>
      <c t="b" s="895" r="DN115">
        <v>0</v>
      </c>
      <c s="631" r="DO115"/>
      <c t="str" s="309" r="DP115">
        <f>IF((COUNT(DI115:DI$146)=0),NA(),IF(ISBLANK(DI115),IF(ISBLANK(DI114),MAX(DI$46:DI115),DI114),DI115))</f>
        <v>#N/A:explicit</v>
      </c>
      <c t="str" s="861" r="DQ115">
        <f>IF(ISNA(DM115),IF(ISNUMBER(DP115),DQ114,NA()),DM115)</f>
        <v>#N/A:explicit</v>
      </c>
      <c s="861" r="DR115">
        <f>IF(ISNUMBER(DQ115),DQ115,(DK$46+1000))</f>
        <v>1000</v>
      </c>
      <c t="str" s="588" r="DS115">
        <f>IF((DN115=TRUE),NA(),IF((DS$44=(DK$46-MAX(DL$46:DL$146))),NA(),DS$44))</f>
        <v>#N/A:explicit</v>
      </c>
      <c s="588" r="DT115">
        <f>IF((ISNA(((DQ115*DP115)*DQ114))),0,(IF((DP115&lt;DP114),-1,1)*(IF((DN114=FALSE),IF((DN115=FALSE),IF(ISNA(DQ115),0,IF((DQ114&lt;DS$44),IF((DQ115&lt;DS$44),(((DP115-DP114)^2)^0.5),(((((DS$44-DQ114)*(DP115-DP114))/(DQ115-DQ114))^2)^0.5)),IF((DQ115&lt;DS$44),(((((DS$44-DQ115)*(DP115-DP114))/(DQ114-DQ115))^2)^0.5),0))),0),0))))</f>
        <v>0</v>
      </c>
      <c s="588" r="DU115">
        <f>IF(ISNA((DQ115*DQ114)),0,IF((DN114=FALSE),IF((DN115=FALSE),IF(ISNA(DM115),0,IF((DQ114&lt;DS$44),IF((DQ115&lt;DS$44),((DS$44-((DQ114+DQ115)*0.5))*DT115),(((DS$44-DQ114)*0.5)*DT115)),IF((DQ115&lt;DS$44),(((DS$44-DQ115)*0.5)*DT115),0))),0),0))</f>
        <v>0</v>
      </c>
      <c s="588" r="DV115">
        <f>IF(ISNA((DQ115*DQ114)),0,IF((DN114=FALSE),IF((DN115=FALSE),IF(ISNA(DQ115),0,IF((DQ114&lt;DS$44),IF((DQ115&lt;DS$44),(((DT115^2)+((DQ115-DQ114)^2))^0.5),(((DT115^2)+((DS$44-DQ114)^2))^0.5)),IF((DQ115&lt;DS$44),(((DT115^2)+((DS$44-DQ115)^2))^0.5),0))),0),0))</f>
        <v>0</v>
      </c>
      <c s="588" r="DW115">
        <f>IF(ISNUMBER((DQ115*DQ114)),IF((DQ114&gt;=DC$148),IF((DQ115&lt;DC$148),1,0),IF((DQ115&gt;=DC$148),IF((DQ114&lt;DC$148),1,0),0)),0)</f>
        <v>0</v>
      </c>
      <c s="588" r="DX115">
        <f>IF(ISNA((DQ115*DQ114)),0,(IF((DP115&lt;DP114),-1,1)*(IF(ISNA(DQ115),0,IF((DQ114&lt;DC$148),IF((DQ115&lt;DC$148),(((DP115-DP114)^2)^0.5),(((((DC$148-DQ114)*(DP115-DP114))/(DQ115-DQ114))^2)^0.5)),IF((DQ115&lt;DC$148),(((((DC$148-DQ115)*(DP115-DP114))/(DQ114-DQ115))^2)^0.5),0))))))</f>
        <v>0</v>
      </c>
      <c s="441" r="DY115">
        <f>IF((DU115&gt;0),(MAX(DY$47:DY114)+1),0)</f>
        <v>0</v>
      </c>
      <c s="388" r="DZ115"/>
      <c s="406" r="EA115"/>
      <c s="886" r="EB115"/>
      <c s="886" r="EC115"/>
      <c s="886" r="ED115"/>
      <c s="886" r="EE115"/>
      <c s="418" r="EF115"/>
      <c s="550" r="EG115"/>
      <c s="550" r="EH115"/>
      <c t="str" s="620" r="EI115">
        <f>IF((COUNT(EH115:EH$146,EJ115:EJ$146)=0),NA(),IF(ISBLANK(EH115),EI114,(EI114+(EH115-EJ114))))</f>
        <v>#N/A:explicit</v>
      </c>
      <c s="550" r="EJ115"/>
      <c t="str" s="620" r="EK115">
        <f>IF(OR(ISBLANK(EJ115),ISNUMBER(EH116)),NA(),(EI115-EJ115))</f>
        <v>#N/A:explicit</v>
      </c>
      <c t="b" s="895" r="EL115">
        <v>0</v>
      </c>
      <c s="631" r="EM115"/>
      <c t="str" s="309" r="EN115">
        <f>IF((COUNT(EG115:EG$146)=0),NA(),IF(ISBLANK(EG115),IF(ISBLANK(EG114),MAX(EG$46:EG115),EG114),EG115))</f>
        <v>#N/A:explicit</v>
      </c>
      <c t="str" s="861" r="EO115">
        <f>IF(ISNA(EK115),IF(ISNUMBER(EN115),EO114,NA()),EK115)</f>
        <v>#N/A:explicit</v>
      </c>
      <c s="861" r="EP115">
        <f>IF(ISNUMBER(EO115),EO115,(EI$46+1000))</f>
        <v>1000</v>
      </c>
      <c t="str" s="588" r="EQ115">
        <f>IF((EL115=TRUE),NA(),IF((EQ$44=(EI$46-MAX(EJ$46:EJ$146))),NA(),EQ$44))</f>
        <v>#N/A:explicit</v>
      </c>
      <c s="588" r="ER115">
        <f>IF((ISNA(((EO115*EN115)*EO114))),0,(IF((EN115&lt;EN114),-1,1)*(IF((EL114=FALSE),IF((EL115=FALSE),IF(ISNA(EO115),0,IF((EO114&lt;EQ$44),IF((EO115&lt;EQ$44),(((EN115-EN114)^2)^0.5),(((((EQ$44-EO114)*(EN115-EN114))/(EO115-EO114))^2)^0.5)),IF((EO115&lt;EQ$44),(((((EQ$44-EO115)*(EN115-EN114))/(EO114-EO115))^2)^0.5),0))),0),0))))</f>
        <v>0</v>
      </c>
      <c s="588" r="ES115">
        <f>IF(ISNA((EO115*EO114)),0,IF((EL114=FALSE),IF((EL115=FALSE),IF(ISNA(EK115),0,IF((EO114&lt;EQ$44),IF((EO115&lt;EQ$44),((EQ$44-((EO114+EO115)*0.5))*ER115),(((EQ$44-EO114)*0.5)*ER115)),IF((EO115&lt;EQ$44),(((EQ$44-EO115)*0.5)*ER115),0))),0),0))</f>
        <v>0</v>
      </c>
      <c s="588" r="ET115">
        <f>IF(ISNA((EO115*EO114)),0,IF((EL114=FALSE),IF((EL115=FALSE),IF(ISNA(EO115),0,IF((EO114&lt;EQ$44),IF((EO115&lt;EQ$44),(((ER115^2)+((EO115-EO114)^2))^0.5),(((ER115^2)+((EQ$44-EO114)^2))^0.5)),IF((EO115&lt;EQ$44),(((ER115^2)+((EQ$44-EO115)^2))^0.5),0))),0),0))</f>
        <v>0</v>
      </c>
      <c s="588" r="EU115">
        <f>IF(ISNUMBER((EO115*EO114)),IF((EO114&gt;=EA$148),IF((EO115&lt;EA$148),1,0),IF((EO115&gt;=EA$148),IF((EO114&lt;EA$148),1,0),0)),0)</f>
        <v>0</v>
      </c>
      <c s="588" r="EV115">
        <f>IF(ISNA((EO115*EO114)),0,(IF((EN115&lt;EN114),-1,1)*(IF(ISNA(EO115),0,IF((EO114&lt;EA$148),IF((EO115&lt;EA$148),(((EN115-EN114)^2)^0.5),(((((EA$148-EO114)*(EN115-EN114))/(EO115-EO114))^2)^0.5)),IF((EO115&lt;EA$148),(((((EA$148-EO115)*(EN115-EN114))/(EO114-EO115))^2)^0.5),0))))))</f>
        <v>0</v>
      </c>
      <c s="441" r="EW115">
        <f>IF((ES115&gt;0),(MAX(EW$47:EW114)+1),0)</f>
        <v>0</v>
      </c>
      <c s="388" r="EX115"/>
      <c s="406" r="EY115"/>
      <c s="886" r="EZ115"/>
      <c s="886" r="FA115"/>
      <c s="886" r="FB115"/>
      <c s="886" r="FC115"/>
      <c s="418" r="FD115"/>
      <c s="550" r="FE115"/>
      <c s="550" r="FF115"/>
      <c t="str" s="620" r="FG115">
        <f>IF((COUNT(FF115:FF$146,FH115:FH$146)=0),NA(),IF(ISBLANK(FF115),FG114,(FG114+(FF115-FH114))))</f>
        <v>#N/A:explicit</v>
      </c>
      <c s="550" r="FH115"/>
      <c t="str" s="620" r="FI115">
        <f>IF(OR(ISBLANK(FH115),ISNUMBER(FF116)),NA(),(FG115-FH115))</f>
        <v>#N/A:explicit</v>
      </c>
      <c t="b" s="895" r="FJ115">
        <v>0</v>
      </c>
      <c s="631" r="FK115"/>
      <c t="str" s="309" r="FL115">
        <f>IF((COUNT(FE115:FE$146)=0),NA(),IF(ISBLANK(FE115),IF(ISBLANK(FE114),MAX(FE$46:FE115),FE114),FE115))</f>
        <v>#N/A:explicit</v>
      </c>
      <c t="str" s="861" r="FM115">
        <f>IF(ISNA(FI115),IF(ISNUMBER(FL115),FM114,NA()),FI115)</f>
        <v>#N/A:explicit</v>
      </c>
      <c s="861" r="FN115">
        <f>IF(ISNUMBER(FM115),FM115,(FG$46+1000))</f>
        <v>1000</v>
      </c>
      <c t="str" s="588" r="FO115">
        <f>IF((FJ115=TRUE),NA(),IF((FO$44=(FG$46-MAX(FH$46:FH$146))),NA(),FO$44))</f>
        <v>#N/A:explicit</v>
      </c>
      <c s="588" r="FP115">
        <f>IF((ISNA(((FM115*FL115)*FM114))),0,(IF((FL115&lt;FL114),-1,1)*(IF((FJ114=FALSE),IF((FJ115=FALSE),IF(ISNA(FM115),0,IF((FM114&lt;FO$44),IF((FM115&lt;FO$44),(((FL115-FL114)^2)^0.5),(((((FO$44-FM114)*(FL115-FL114))/(FM115-FM114))^2)^0.5)),IF((FM115&lt;FO$44),(((((FO$44-FM115)*(FL115-FL114))/(FM114-FM115))^2)^0.5),0))),0),0))))</f>
        <v>0</v>
      </c>
      <c s="588" r="FQ115">
        <f>IF(ISNA((FM115*FM114)),0,IF((FJ114=FALSE),IF((FJ115=FALSE),IF(ISNA(FI115),0,IF((FM114&lt;FO$44),IF((FM115&lt;FO$44),((FO$44-((FM114+FM115)*0.5))*FP115),(((FO$44-FM114)*0.5)*FP115)),IF((FM115&lt;FO$44),(((FO$44-FM115)*0.5)*FP115),0))),0),0))</f>
        <v>0</v>
      </c>
      <c s="588" r="FR115">
        <f>IF(ISNA((FM115*FM114)),0,IF((FJ114=FALSE),IF((FJ115=FALSE),IF(ISNA(FM115),0,IF((FM114&lt;FO$44),IF((FM115&lt;FO$44),(((FP115^2)+((FM115-FM114)^2))^0.5),(((FP115^2)+((FO$44-FM114)^2))^0.5)),IF((FM115&lt;FO$44),(((FP115^2)+((FO$44-FM115)^2))^0.5),0))),0),0))</f>
        <v>0</v>
      </c>
      <c s="588" r="FS115">
        <f>IF(ISNUMBER((FM115*FM114)),IF((FM114&gt;=EY$148),IF((FM115&lt;EY$148),1,0),IF((FM115&gt;=EY$148),IF((FM114&lt;EY$148),1,0),0)),0)</f>
        <v>0</v>
      </c>
      <c s="588" r="FT115">
        <f>IF(ISNA((FM115*FM114)),0,(IF((FL115&lt;FL114),-1,1)*(IF(ISNA(FM115),0,IF((FM114&lt;EY$148),IF((FM115&lt;EY$148),(((FL115-FL114)^2)^0.5),(((((EY$148-FM114)*(FL115-FL114))/(FM115-FM114))^2)^0.5)),IF((FM115&lt;EY$148),(((((EY$148-FM115)*(FL115-FL114))/(FM114-FM115))^2)^0.5),0))))))</f>
        <v>0</v>
      </c>
      <c s="441" r="FU115">
        <f>IF((FQ115&gt;0),(MAX(FU$47:FU114)+1),0)</f>
        <v>0</v>
      </c>
      <c s="222" r="FV115"/>
      <c s="125" r="FW115"/>
      <c s="125" r="FX115"/>
      <c s="125" r="FY115"/>
      <c s="125" r="FZ115"/>
      <c s="125" r="GA115"/>
      <c s="125" r="GB115"/>
      <c s="125" r="GC115"/>
      <c s="125" r="GD115"/>
      <c s="125" r="GE115"/>
      <c s="125" r="GF115"/>
      <c s="125" r="GG115"/>
      <c s="125" r="GH115"/>
      <c s="125" r="GI115"/>
      <c s="125" r="GJ115"/>
      <c s="125" r="GK115"/>
      <c s="125" r="GL115"/>
      <c s="125" r="GM115"/>
      <c s="125" r="GN115"/>
      <c s="125" r="GO115"/>
      <c s="125" r="GP115"/>
      <c s="125" r="GQ115"/>
      <c s="125" r="GR115"/>
      <c s="125" r="GS115"/>
      <c s="125" r="GT115"/>
      <c s="125" r="GU115"/>
      <c s="125" r="GV115"/>
      <c s="125" r="GW115"/>
      <c s="125" r="GX115"/>
      <c s="125" r="GY115"/>
      <c s="125" r="GZ115"/>
      <c s="125" r="HA115"/>
      <c s="125" r="HB115"/>
    </row>
    <row r="116">
      <c s="822" r="A116"/>
      <c t="str" s="528" r="B116">
        <f>IF(OR(ISTEXT(F116),(H4=2)),"",(ROUND((F116*14.6),0)&amp;" watts/sq.m"))</f>
        <v/>
      </c>
      <c s="551" r="C116"/>
      <c s="551" r="D116"/>
      <c t="str" s="812" r="E116">
        <f>"unit stream power  "&amp;IF((H4=2),"(W/sq.m)","(lb/s/ft)")</f>
        <v>unit stream power  (lb/s/ft)</v>
      </c>
      <c t="str" s="76" r="F116">
        <f>IF(ISNUMBER(((F109*F108)/F91)),(((IF((H4=2),(1000*9.81),62.4)*F108)*(F109/100))/F91),"---")</f>
        <v>---</v>
      </c>
      <c t="str" s="677" r="G116">
        <f>IF(AND(ISTEXT('Dimension Estimated Values'!V6),ISTEXT('Dimension Estimated Values'!V7)),"---",(((("("&amp;ROUND('Dimension Estimated Values'!V6,2))&amp;"-")&amp;ROUND('Dimension Estimated Values'!V7,2))&amp;")"))</f>
        <v>---</v>
      </c>
      <c s="224" r="H116"/>
      <c s="51" r="I116"/>
      <c s="822" r="J116"/>
      <c s="406" r="K116"/>
      <c s="886" r="L116"/>
      <c s="886" r="M116"/>
      <c s="886" r="N116"/>
      <c s="886" r="O116"/>
      <c s="418" r="P116"/>
      <c s="550" r="Q116"/>
      <c s="550" r="R116"/>
      <c t="str" s="620" r="S116">
        <f>IF((COUNT(R116:R$146,T116:T$146)=0),NA(),IF(ISBLANK(R116),S115,(S115+(R116-T115))))</f>
        <v>#N/A:explicit</v>
      </c>
      <c s="550" r="T116"/>
      <c t="str" s="620" r="U116">
        <f>IF(OR(ISBLANK(T116),ISNUMBER(R117)),NA(),(S116-T116))</f>
        <v>#N/A:explicit</v>
      </c>
      <c t="b" s="895" r="V116">
        <v>0</v>
      </c>
      <c s="631" r="W116"/>
      <c t="str" s="309" r="X116">
        <f>IF((COUNT(Q116:Q$146)=0),NA(),IF(ISBLANK(Q116),IF(ISBLANK(Q115),MAX(Q$46:Q116),Q115),Q116))</f>
        <v>#N/A:explicit</v>
      </c>
      <c t="str" s="861" r="Y116">
        <f>IF(ISNA(U116),IF(ISNUMBER(X116),Y115,NA()),U116)</f>
        <v>#N/A:explicit</v>
      </c>
      <c s="861" r="Z116">
        <f>IF(ISNUMBER(Y116),Y116,(S$46+1000))</f>
        <v>1000</v>
      </c>
      <c t="str" s="588" r="AA116">
        <f>IF((V116=TRUE),NA(),IF((AA$44=(S$46-MAX(T$46:T$146))),NA(),AA$44))</f>
        <v>#N/A:explicit</v>
      </c>
      <c s="588" r="AB116">
        <f>IF((ISNA(((Y116*X116)*Y115))),0,(IF((X116&lt;X115),-1,1)*(IF((V115=FALSE),IF((V116=FALSE),IF(ISNA(Y116),0,IF((Y115&lt;AA$44),IF((Y116&lt;AA$44),(((X116-X115)^2)^0.5),(((((AA$44-Y115)*(X116-X115))/(Y116-Y115))^2)^0.5)),IF((Y116&lt;AA$44),(((((AA$44-Y116)*(X116-X115))/(Y115-Y116))^2)^0.5),0))),0),0))))</f>
        <v>0</v>
      </c>
      <c s="588" r="AC116">
        <f>IF(ISNA((Y116*Y115)),0,IF((V115=FALSE),IF((V116=FALSE),IF(ISNA(U116),0,IF((Y115&lt;AA$44),IF((Y116&lt;AA$44),((AA$44-((Y115+Y116)*0.5))*AB116),(((AA$44-Y115)*0.5)*AB116)),IF((Y116&lt;AA$44),(((AA$44-Y116)*0.5)*AB116),0))),0),0))</f>
        <v>0</v>
      </c>
      <c s="588" r="AD116">
        <f>IF(ISNA((Y116*Y115)),0,IF((V115=FALSE),IF((V116=FALSE),IF(ISNA(Y116),0,IF((Y115&lt;AA$44),IF((Y116&lt;AA$44),(((AB116^2)+((Y116-Y115)^2))^0.5),(((AB116^2)+((AA$44-Y115)^2))^0.5)),IF((Y116&lt;AA$44),(((AB116^2)+((AA$44-Y116)^2))^0.5),0))),0),0))</f>
        <v>0</v>
      </c>
      <c s="588" r="AE116">
        <f>IF(ISNUMBER((Y116*Y115)),IF((Y115&gt;=K$148),IF((Y116&lt;K$148),1,0),IF((Y116&gt;=K$148),IF((Y115&lt;K$148),1,0),0)),0)</f>
        <v>0</v>
      </c>
      <c s="588" r="AF116">
        <f>IF(ISNA((Y116*Y115)),0,(IF((X116&lt;X115),-1,1)*(IF(ISNA(Y116),0,IF((Y115&lt;K$148),IF((Y116&lt;K$148),(((X116-X115)^2)^0.5),(((((K$148-Y115)*(X116-X115))/(Y116-Y115))^2)^0.5)),IF((Y116&lt;K$148),(((((K$148-Y116)*(X116-X115))/(Y115-Y116))^2)^0.5),0))))))</f>
        <v>0</v>
      </c>
      <c s="441" r="AG116">
        <f>IF((AC116&gt;0),(MAX(AG$47:AG115)+1),0)</f>
        <v>0</v>
      </c>
      <c s="388" r="AH116"/>
      <c s="406" r="AI116"/>
      <c s="886" r="AJ116"/>
      <c s="886" r="AK116"/>
      <c s="886" r="AL116"/>
      <c s="886" r="AM116"/>
      <c s="418" r="AN116"/>
      <c s="550" r="AO116"/>
      <c s="550" r="AP116"/>
      <c t="str" s="620" r="AQ116">
        <f>IF((COUNT(AP116:AP$146,AR116:AR$146)=0),NA(),IF(ISBLANK(AP116),AQ115,(AQ115+(AP116-AR115))))</f>
        <v>#N/A:explicit</v>
      </c>
      <c s="550" r="AR116"/>
      <c t="str" s="620" r="AS116">
        <f>IF(OR(ISBLANK(AR116),ISNUMBER(AP117)),NA(),(AQ116-AR116))</f>
        <v>#N/A:explicit</v>
      </c>
      <c t="b" s="895" r="AT116">
        <v>0</v>
      </c>
      <c s="631" r="AU116"/>
      <c t="str" s="309" r="AV116">
        <f>IF((COUNT(AO116:AO$146)=0),NA(),IF(ISBLANK(AO116),IF(ISBLANK(AO115),MAX(AO$46:AO116),AO115),AO116))</f>
        <v>#N/A:explicit</v>
      </c>
      <c t="str" s="861" r="AW116">
        <f>IF(ISNA(AS116),IF(ISNUMBER(AV116),AW115,NA()),AS116)</f>
        <v>#N/A:explicit</v>
      </c>
      <c s="861" r="AX116">
        <f>IF(ISNUMBER(AW116),AW116,(AQ$46+1000))</f>
        <v>1000</v>
      </c>
      <c t="str" s="588" r="AY116">
        <f>IF((AT116=TRUE),NA(),IF((AY$44=(AQ$46-MAX(AR$46:AR$146))),NA(),AY$44))</f>
        <v>#N/A:explicit</v>
      </c>
      <c s="588" r="AZ116">
        <f>IF((ISNA(((AW116*AV116)*AW115))),0,(IF((AV116&lt;AV115),-1,1)*(IF((AT115=FALSE),IF((AT116=FALSE),IF(ISNA(AW116),0,IF((AW115&lt;AY$44),IF((AW116&lt;AY$44),(((AV116-AV115)^2)^0.5),(((((AY$44-AW115)*(AV116-AV115))/(AW116-AW115))^2)^0.5)),IF((AW116&lt;AY$44),(((((AY$44-AW116)*(AV116-AV115))/(AW115-AW116))^2)^0.5),0))),0),0))))</f>
        <v>0</v>
      </c>
      <c s="588" r="BA116">
        <f>IF(ISNA((AW116*AW115)),0,IF((AT115=FALSE),IF((AT116=FALSE),IF(ISNA(AS116),0,IF((AW115&lt;AY$44),IF((AW116&lt;AY$44),((AY$44-((AW115+AW116)*0.5))*AZ116),(((AY$44-AW115)*0.5)*AZ116)),IF((AW116&lt;AY$44),(((AY$44-AW116)*0.5)*AZ116),0))),0),0))</f>
        <v>0</v>
      </c>
      <c s="588" r="BB116">
        <f>IF(ISNA((AW116*AW115)),0,IF((AT115=FALSE),IF((AT116=FALSE),IF(ISNA(AW116),0,IF((AW115&lt;AY$44),IF((AW116&lt;AY$44),(((AZ116^2)+((AW116-AW115)^2))^0.5),(((AZ116^2)+((AY$44-AW115)^2))^0.5)),IF((AW116&lt;AY$44),(((AZ116^2)+((AY$44-AW116)^2))^0.5),0))),0),0))</f>
        <v>0</v>
      </c>
      <c s="588" r="BC116">
        <f>IF(ISNUMBER((AW116*AW115)),IF((AW115&gt;=AI$148),IF((AW116&lt;AI$148),1,0),IF((AW116&gt;=AI$148),IF((AW115&lt;AI$148),1,0),0)),0)</f>
        <v>0</v>
      </c>
      <c s="588" r="BD116">
        <f>IF(ISNA((AW116*AW115)),0,(IF((AV116&lt;AV115),-1,1)*(IF(ISNA(AW116),0,IF((AW115&lt;AI$148),IF((AW116&lt;AI$148),(((AV116-AV115)^2)^0.5),(((((AI$148-AW115)*(AV116-AV115))/(AW116-AW115))^2)^0.5)),IF((AW116&lt;AI$148),(((((AI$148-AW116)*(AV116-AV115))/(AW115-AW116))^2)^0.5),0))))))</f>
        <v>0</v>
      </c>
      <c s="441" r="BE116">
        <f>IF((BA116&gt;0),(MAX(BE$47:BE115)+1),0)</f>
        <v>0</v>
      </c>
      <c s="388" r="BF116"/>
      <c s="406" r="BG116"/>
      <c s="886" r="BH116"/>
      <c s="886" r="BI116"/>
      <c s="886" r="BJ116"/>
      <c s="886" r="BK116"/>
      <c s="418" r="BL116"/>
      <c s="550" r="BM116"/>
      <c s="550" r="BN116"/>
      <c t="str" s="620" r="BO116">
        <f>IF((COUNT(BN116:BN$146,BP116:BP$146)=0),NA(),IF(ISBLANK(BN116),BO115,(BO115+(BN116-BP115))))</f>
        <v>#N/A:explicit</v>
      </c>
      <c s="550" r="BP116"/>
      <c t="str" s="620" r="BQ116">
        <f>IF(OR(ISBLANK(BP116),ISNUMBER(BN117)),NA(),(BO116-BP116))</f>
        <v>#N/A:explicit</v>
      </c>
      <c t="b" s="895" r="BR116">
        <v>0</v>
      </c>
      <c s="631" r="BS116"/>
      <c t="str" s="309" r="BT116">
        <f>IF((COUNT(BM116:BM$146)=0),NA(),IF(ISBLANK(BM116),IF(ISBLANK(BM115),MAX(BM$46:BM116),BM115),BM116))</f>
        <v>#N/A:explicit</v>
      </c>
      <c t="str" s="861" r="BU116">
        <f>IF(ISNA(BQ116),IF(ISNUMBER(BT116),BU115,NA()),BQ116)</f>
        <v>#N/A:explicit</v>
      </c>
      <c s="861" r="BV116">
        <f>IF(ISNUMBER(BU116),BU116,(BO$46+1000))</f>
        <v>1000</v>
      </c>
      <c t="str" s="588" r="BW116">
        <f>IF((BR116=TRUE),NA(),IF((BW$44=(BO$46-MAX(BP$46:BP$146))),NA(),BW$44))</f>
        <v>#N/A:explicit</v>
      </c>
      <c s="588" r="BX116">
        <f>IF((ISNA(((BU116*BT116)*BU115))),0,(IF((BT116&lt;BT115),-1,1)*(IF((BR115=FALSE),IF((BR116=FALSE),IF(ISNA(BU116),0,IF((BU115&lt;BW$44),IF((BU116&lt;BW$44),(((BT116-BT115)^2)^0.5),(((((BW$44-BU115)*(BT116-BT115))/(BU116-BU115))^2)^0.5)),IF((BU116&lt;BW$44),(((((BW$44-BU116)*(BT116-BT115))/(BU115-BU116))^2)^0.5),0))),0),0))))</f>
        <v>0</v>
      </c>
      <c s="588" r="BY116">
        <f>IF(ISNA((BU116*BU115)),0,IF((BR115=FALSE),IF((BR116=FALSE),IF(ISNA(BQ116),0,IF((BU115&lt;BW$44),IF((BU116&lt;BW$44),((BW$44-((BU115+BU116)*0.5))*BX116),(((BW$44-BU115)*0.5)*BX116)),IF((BU116&lt;BW$44),(((BW$44-BU116)*0.5)*BX116),0))),0),0))</f>
        <v>0</v>
      </c>
      <c s="588" r="BZ116">
        <f>IF(ISNA((BU116*BU115)),0,IF((BR115=FALSE),IF((BR116=FALSE),IF(ISNA(BU116),0,IF((BU115&lt;BW$44),IF((BU116&lt;BW$44),(((BX116^2)+((BU116-BU115)^2))^0.5),(((BX116^2)+((BW$44-BU115)^2))^0.5)),IF((BU116&lt;BW$44),(((BX116^2)+((BW$44-BU116)^2))^0.5),0))),0),0))</f>
        <v>0</v>
      </c>
      <c s="588" r="CA116">
        <f>IF(ISNUMBER((BU116*BU115)),IF((BU115&gt;=BG$148),IF((BU116&lt;BG$148),1,0),IF((BU116&gt;=BG$148),IF((BU115&lt;BG$148),1,0),0)),0)</f>
        <v>0</v>
      </c>
      <c s="588" r="CB116">
        <f>IF(ISNA((BU116*BU115)),0,(IF((BT116&lt;BT115),-1,1)*(IF(ISNA(BU116),0,IF((BU115&lt;BG$148),IF((BU116&lt;BG$148),(((BT116-BT115)^2)^0.5),(((((BG$148-BU115)*(BT116-BT115))/(BU116-BU115))^2)^0.5)),IF((BU116&lt;BG$148),(((((BG$148-BU116)*(BT116-BT115))/(BU115-BU116))^2)^0.5),0))))))</f>
        <v>0</v>
      </c>
      <c s="441" r="CC116">
        <f>IF((BY116&gt;0),(MAX(CC$47:CC115)+1),0)</f>
        <v>0</v>
      </c>
      <c s="388" r="CD116"/>
      <c s="406" r="CE116"/>
      <c s="886" r="CF116"/>
      <c s="886" r="CG116"/>
      <c s="886" r="CH116"/>
      <c s="886" r="CI116"/>
      <c s="418" r="CJ116"/>
      <c s="550" r="CK116"/>
      <c s="550" r="CL116"/>
      <c t="str" s="620" r="CM116">
        <f>IF((COUNT(CL116:CL$146,CN116:CN$146)=0),NA(),IF(ISBLANK(CL116),CM115,(CM115+(CL116-CN115))))</f>
        <v>#N/A:explicit</v>
      </c>
      <c s="550" r="CN116"/>
      <c t="str" s="620" r="CO116">
        <f>IF(OR(ISBLANK(CN116),ISNUMBER(CL117)),NA(),(CM116-CN116))</f>
        <v>#N/A:explicit</v>
      </c>
      <c t="b" s="895" r="CP116">
        <v>0</v>
      </c>
      <c s="631" r="CQ116"/>
      <c t="str" s="309" r="CR116">
        <f>IF((COUNT(CK116:CK$146)=0),NA(),IF(ISBLANK(CK116),IF(ISBLANK(CK115),MAX(CK$46:CK116),CK115),CK116))</f>
        <v>#N/A:explicit</v>
      </c>
      <c t="str" s="861" r="CS116">
        <f>IF(ISNA(CO116),IF(ISNUMBER(CR116),CS115,NA()),CO116)</f>
        <v>#N/A:explicit</v>
      </c>
      <c s="861" r="CT116">
        <f>IF(ISNUMBER(CS116),CS116,(CM$46+1000))</f>
        <v>1000</v>
      </c>
      <c t="str" s="588" r="CU116">
        <f>IF((CP116=TRUE),NA(),IF((CU$44=(CM$46-MAX(CN$46:CN$146))),NA(),CU$44))</f>
        <v>#N/A:explicit</v>
      </c>
      <c s="588" r="CV116">
        <f>IF((ISNA(((CS116*CR116)*CS115))),0,(IF((CR116&lt;CR115),-1,1)*(IF((CP115=FALSE),IF((CP116=FALSE),IF(ISNA(CS116),0,IF((CS115&lt;CU$44),IF((CS116&lt;CU$44),(((CR116-CR115)^2)^0.5),(((((CU$44-CS115)*(CR116-CR115))/(CS116-CS115))^2)^0.5)),IF((CS116&lt;CU$44),(((((CU$44-CS116)*(CR116-CR115))/(CS115-CS116))^2)^0.5),0))),0),0))))</f>
        <v>0</v>
      </c>
      <c s="588" r="CW116">
        <f>IF(ISNA((CS116*CS115)),0,IF((CP115=FALSE),IF((CP116=FALSE),IF(ISNA(CO116),0,IF((CS115&lt;CU$44),IF((CS116&lt;CU$44),((CU$44-((CS115+CS116)*0.5))*CV116),(((CU$44-CS115)*0.5)*CV116)),IF((CS116&lt;CU$44),(((CU$44-CS116)*0.5)*CV116),0))),0),0))</f>
        <v>0</v>
      </c>
      <c s="588" r="CX116">
        <f>IF(ISNA((CS116*CS115)),0,IF((CP115=FALSE),IF((CP116=FALSE),IF(ISNA(CS116),0,IF((CS115&lt;CU$44),IF((CS116&lt;CU$44),(((CV116^2)+((CS116-CS115)^2))^0.5),(((CV116^2)+((CU$44-CS115)^2))^0.5)),IF((CS116&lt;CU$44),(((CV116^2)+((CU$44-CS116)^2))^0.5),0))),0),0))</f>
        <v>0</v>
      </c>
      <c s="588" r="CY116">
        <f>IF(ISNUMBER((CS116*CS115)),IF((CS115&gt;=CE$148),IF((CS116&lt;CE$148),1,0),IF((CS116&gt;=CE$148),IF((CS115&lt;CE$148),1,0),0)),0)</f>
        <v>0</v>
      </c>
      <c s="588" r="CZ116">
        <f>IF(ISNA((CS116*CS115)),0,(IF((CR116&lt;CR115),-1,1)*(IF(ISNA(CS116),0,IF((CS115&lt;CE$148),IF((CS116&lt;CE$148),(((CR116-CR115)^2)^0.5),(((((CE$148-CS115)*(CR116-CR115))/(CS116-CS115))^2)^0.5)),IF((CS116&lt;CE$148),(((((CE$148-CS116)*(CR116-CR115))/(CS115-CS116))^2)^0.5),0))))))</f>
        <v>0</v>
      </c>
      <c s="441" r="DA116">
        <f>IF((CW116&gt;0),(MAX(DA$47:DA115)+1),0)</f>
        <v>0</v>
      </c>
      <c s="388" r="DB116"/>
      <c s="406" r="DC116"/>
      <c s="886" r="DD116"/>
      <c s="886" r="DE116"/>
      <c s="886" r="DF116"/>
      <c s="886" r="DG116"/>
      <c s="418" r="DH116"/>
      <c s="550" r="DI116"/>
      <c s="550" r="DJ116"/>
      <c t="str" s="620" r="DK116">
        <f>IF((COUNT(DJ116:DJ$146,DL116:DL$146)=0),NA(),IF(ISBLANK(DJ116),DK115,(DK115+(DJ116-DL115))))</f>
        <v>#N/A:explicit</v>
      </c>
      <c s="550" r="DL116"/>
      <c t="str" s="620" r="DM116">
        <f>IF(OR(ISBLANK(DL116),ISNUMBER(DJ117)),NA(),(DK116-DL116))</f>
        <v>#N/A:explicit</v>
      </c>
      <c t="b" s="895" r="DN116">
        <v>0</v>
      </c>
      <c s="631" r="DO116"/>
      <c t="str" s="309" r="DP116">
        <f>IF((COUNT(DI116:DI$146)=0),NA(),IF(ISBLANK(DI116),IF(ISBLANK(DI115),MAX(DI$46:DI116),DI115),DI116))</f>
        <v>#N/A:explicit</v>
      </c>
      <c t="str" s="861" r="DQ116">
        <f>IF(ISNA(DM116),IF(ISNUMBER(DP116),DQ115,NA()),DM116)</f>
        <v>#N/A:explicit</v>
      </c>
      <c s="861" r="DR116">
        <f>IF(ISNUMBER(DQ116),DQ116,(DK$46+1000))</f>
        <v>1000</v>
      </c>
      <c t="str" s="588" r="DS116">
        <f>IF((DN116=TRUE),NA(),IF((DS$44=(DK$46-MAX(DL$46:DL$146))),NA(),DS$44))</f>
        <v>#N/A:explicit</v>
      </c>
      <c s="588" r="DT116">
        <f>IF((ISNA(((DQ116*DP116)*DQ115))),0,(IF((DP116&lt;DP115),-1,1)*(IF((DN115=FALSE),IF((DN116=FALSE),IF(ISNA(DQ116),0,IF((DQ115&lt;DS$44),IF((DQ116&lt;DS$44),(((DP116-DP115)^2)^0.5),(((((DS$44-DQ115)*(DP116-DP115))/(DQ116-DQ115))^2)^0.5)),IF((DQ116&lt;DS$44),(((((DS$44-DQ116)*(DP116-DP115))/(DQ115-DQ116))^2)^0.5),0))),0),0))))</f>
        <v>0</v>
      </c>
      <c s="588" r="DU116">
        <f>IF(ISNA((DQ116*DQ115)),0,IF((DN115=FALSE),IF((DN116=FALSE),IF(ISNA(DM116),0,IF((DQ115&lt;DS$44),IF((DQ116&lt;DS$44),((DS$44-((DQ115+DQ116)*0.5))*DT116),(((DS$44-DQ115)*0.5)*DT116)),IF((DQ116&lt;DS$44),(((DS$44-DQ116)*0.5)*DT116),0))),0),0))</f>
        <v>0</v>
      </c>
      <c s="588" r="DV116">
        <f>IF(ISNA((DQ116*DQ115)),0,IF((DN115=FALSE),IF((DN116=FALSE),IF(ISNA(DQ116),0,IF((DQ115&lt;DS$44),IF((DQ116&lt;DS$44),(((DT116^2)+((DQ116-DQ115)^2))^0.5),(((DT116^2)+((DS$44-DQ115)^2))^0.5)),IF((DQ116&lt;DS$44),(((DT116^2)+((DS$44-DQ116)^2))^0.5),0))),0),0))</f>
        <v>0</v>
      </c>
      <c s="588" r="DW116">
        <f>IF(ISNUMBER((DQ116*DQ115)),IF((DQ115&gt;=DC$148),IF((DQ116&lt;DC$148),1,0),IF((DQ116&gt;=DC$148),IF((DQ115&lt;DC$148),1,0),0)),0)</f>
        <v>0</v>
      </c>
      <c s="588" r="DX116">
        <f>IF(ISNA((DQ116*DQ115)),0,(IF((DP116&lt;DP115),-1,1)*(IF(ISNA(DQ116),0,IF((DQ115&lt;DC$148),IF((DQ116&lt;DC$148),(((DP116-DP115)^2)^0.5),(((((DC$148-DQ115)*(DP116-DP115))/(DQ116-DQ115))^2)^0.5)),IF((DQ116&lt;DC$148),(((((DC$148-DQ116)*(DP116-DP115))/(DQ115-DQ116))^2)^0.5),0))))))</f>
        <v>0</v>
      </c>
      <c s="441" r="DY116">
        <f>IF((DU116&gt;0),(MAX(DY$47:DY115)+1),0)</f>
        <v>0</v>
      </c>
      <c s="388" r="DZ116"/>
      <c s="406" r="EA116"/>
      <c s="886" r="EB116"/>
      <c s="886" r="EC116"/>
      <c s="886" r="ED116"/>
      <c s="886" r="EE116"/>
      <c s="418" r="EF116"/>
      <c s="550" r="EG116"/>
      <c s="550" r="EH116"/>
      <c t="str" s="620" r="EI116">
        <f>IF((COUNT(EH116:EH$146,EJ116:EJ$146)=0),NA(),IF(ISBLANK(EH116),EI115,(EI115+(EH116-EJ115))))</f>
        <v>#N/A:explicit</v>
      </c>
      <c s="550" r="EJ116"/>
      <c t="str" s="620" r="EK116">
        <f>IF(OR(ISBLANK(EJ116),ISNUMBER(EH117)),NA(),(EI116-EJ116))</f>
        <v>#N/A:explicit</v>
      </c>
      <c t="b" s="895" r="EL116">
        <v>0</v>
      </c>
      <c s="631" r="EM116"/>
      <c t="str" s="309" r="EN116">
        <f>IF((COUNT(EG116:EG$146)=0),NA(),IF(ISBLANK(EG116),IF(ISBLANK(EG115),MAX(EG$46:EG116),EG115),EG116))</f>
        <v>#N/A:explicit</v>
      </c>
      <c t="str" s="861" r="EO116">
        <f>IF(ISNA(EK116),IF(ISNUMBER(EN116),EO115,NA()),EK116)</f>
        <v>#N/A:explicit</v>
      </c>
      <c s="861" r="EP116">
        <f>IF(ISNUMBER(EO116),EO116,(EI$46+1000))</f>
        <v>1000</v>
      </c>
      <c t="str" s="588" r="EQ116">
        <f>IF((EL116=TRUE),NA(),IF((EQ$44=(EI$46-MAX(EJ$46:EJ$146))),NA(),EQ$44))</f>
        <v>#N/A:explicit</v>
      </c>
      <c s="588" r="ER116">
        <f>IF((ISNA(((EO116*EN116)*EO115))),0,(IF((EN116&lt;EN115),-1,1)*(IF((EL115=FALSE),IF((EL116=FALSE),IF(ISNA(EO116),0,IF((EO115&lt;EQ$44),IF((EO116&lt;EQ$44),(((EN116-EN115)^2)^0.5),(((((EQ$44-EO115)*(EN116-EN115))/(EO116-EO115))^2)^0.5)),IF((EO116&lt;EQ$44),(((((EQ$44-EO116)*(EN116-EN115))/(EO115-EO116))^2)^0.5),0))),0),0))))</f>
        <v>0</v>
      </c>
      <c s="588" r="ES116">
        <f>IF(ISNA((EO116*EO115)),0,IF((EL115=FALSE),IF((EL116=FALSE),IF(ISNA(EK116),0,IF((EO115&lt;EQ$44),IF((EO116&lt;EQ$44),((EQ$44-((EO115+EO116)*0.5))*ER116),(((EQ$44-EO115)*0.5)*ER116)),IF((EO116&lt;EQ$44),(((EQ$44-EO116)*0.5)*ER116),0))),0),0))</f>
        <v>0</v>
      </c>
      <c s="588" r="ET116">
        <f>IF(ISNA((EO116*EO115)),0,IF((EL115=FALSE),IF((EL116=FALSE),IF(ISNA(EO116),0,IF((EO115&lt;EQ$44),IF((EO116&lt;EQ$44),(((ER116^2)+((EO116-EO115)^2))^0.5),(((ER116^2)+((EQ$44-EO115)^2))^0.5)),IF((EO116&lt;EQ$44),(((ER116^2)+((EQ$44-EO116)^2))^0.5),0))),0),0))</f>
        <v>0</v>
      </c>
      <c s="588" r="EU116">
        <f>IF(ISNUMBER((EO116*EO115)),IF((EO115&gt;=EA$148),IF((EO116&lt;EA$148),1,0),IF((EO116&gt;=EA$148),IF((EO115&lt;EA$148),1,0),0)),0)</f>
        <v>0</v>
      </c>
      <c s="588" r="EV116">
        <f>IF(ISNA((EO116*EO115)),0,(IF((EN116&lt;EN115),-1,1)*(IF(ISNA(EO116),0,IF((EO115&lt;EA$148),IF((EO116&lt;EA$148),(((EN116-EN115)^2)^0.5),(((((EA$148-EO115)*(EN116-EN115))/(EO116-EO115))^2)^0.5)),IF((EO116&lt;EA$148),(((((EA$148-EO116)*(EN116-EN115))/(EO115-EO116))^2)^0.5),0))))))</f>
        <v>0</v>
      </c>
      <c s="441" r="EW116">
        <f>IF((ES116&gt;0),(MAX(EW$47:EW115)+1),0)</f>
        <v>0</v>
      </c>
      <c s="388" r="EX116"/>
      <c s="406" r="EY116"/>
      <c s="886" r="EZ116"/>
      <c s="886" r="FA116"/>
      <c s="886" r="FB116"/>
      <c s="886" r="FC116"/>
      <c s="418" r="FD116"/>
      <c s="550" r="FE116"/>
      <c s="550" r="FF116"/>
      <c t="str" s="620" r="FG116">
        <f>IF((COUNT(FF116:FF$146,FH116:FH$146)=0),NA(),IF(ISBLANK(FF116),FG115,(FG115+(FF116-FH115))))</f>
        <v>#N/A:explicit</v>
      </c>
      <c s="550" r="FH116"/>
      <c t="str" s="620" r="FI116">
        <f>IF(OR(ISBLANK(FH116),ISNUMBER(FF117)),NA(),(FG116-FH116))</f>
        <v>#N/A:explicit</v>
      </c>
      <c t="b" s="895" r="FJ116">
        <v>0</v>
      </c>
      <c s="631" r="FK116"/>
      <c t="str" s="309" r="FL116">
        <f>IF((COUNT(FE116:FE$146)=0),NA(),IF(ISBLANK(FE116),IF(ISBLANK(FE115),MAX(FE$46:FE116),FE115),FE116))</f>
        <v>#N/A:explicit</v>
      </c>
      <c t="str" s="861" r="FM116">
        <f>IF(ISNA(FI116),IF(ISNUMBER(FL116),FM115,NA()),FI116)</f>
        <v>#N/A:explicit</v>
      </c>
      <c s="861" r="FN116">
        <f>IF(ISNUMBER(FM116),FM116,(FG$46+1000))</f>
        <v>1000</v>
      </c>
      <c t="str" s="588" r="FO116">
        <f>IF((FJ116=TRUE),NA(),IF((FO$44=(FG$46-MAX(FH$46:FH$146))),NA(),FO$44))</f>
        <v>#N/A:explicit</v>
      </c>
      <c s="588" r="FP116">
        <f>IF((ISNA(((FM116*FL116)*FM115))),0,(IF((FL116&lt;FL115),-1,1)*(IF((FJ115=FALSE),IF((FJ116=FALSE),IF(ISNA(FM116),0,IF((FM115&lt;FO$44),IF((FM116&lt;FO$44),(((FL116-FL115)^2)^0.5),(((((FO$44-FM115)*(FL116-FL115))/(FM116-FM115))^2)^0.5)),IF((FM116&lt;FO$44),(((((FO$44-FM116)*(FL116-FL115))/(FM115-FM116))^2)^0.5),0))),0),0))))</f>
        <v>0</v>
      </c>
      <c s="588" r="FQ116">
        <f>IF(ISNA((FM116*FM115)),0,IF((FJ115=FALSE),IF((FJ116=FALSE),IF(ISNA(FI116),0,IF((FM115&lt;FO$44),IF((FM116&lt;FO$44),((FO$44-((FM115+FM116)*0.5))*FP116),(((FO$44-FM115)*0.5)*FP116)),IF((FM116&lt;FO$44),(((FO$44-FM116)*0.5)*FP116),0))),0),0))</f>
        <v>0</v>
      </c>
      <c s="588" r="FR116">
        <f>IF(ISNA((FM116*FM115)),0,IF((FJ115=FALSE),IF((FJ116=FALSE),IF(ISNA(FM116),0,IF((FM115&lt;FO$44),IF((FM116&lt;FO$44),(((FP116^2)+((FM116-FM115)^2))^0.5),(((FP116^2)+((FO$44-FM115)^2))^0.5)),IF((FM116&lt;FO$44),(((FP116^2)+((FO$44-FM116)^2))^0.5),0))),0),0))</f>
        <v>0</v>
      </c>
      <c s="588" r="FS116">
        <f>IF(ISNUMBER((FM116*FM115)),IF((FM115&gt;=EY$148),IF((FM116&lt;EY$148),1,0),IF((FM116&gt;=EY$148),IF((FM115&lt;EY$148),1,0),0)),0)</f>
        <v>0</v>
      </c>
      <c s="588" r="FT116">
        <f>IF(ISNA((FM116*FM115)),0,(IF((FL116&lt;FL115),-1,1)*(IF(ISNA(FM116),0,IF((FM115&lt;EY$148),IF((FM116&lt;EY$148),(((FL116-FL115)^2)^0.5),(((((EY$148-FM115)*(FL116-FL115))/(FM116-FM115))^2)^0.5)),IF((FM116&lt;EY$148),(((((EY$148-FM116)*(FL116-FL115))/(FM115-FM116))^2)^0.5),0))))))</f>
        <v>0</v>
      </c>
      <c s="441" r="FU116">
        <f>IF((FQ116&gt;0),(MAX(FU$47:FU115)+1),0)</f>
        <v>0</v>
      </c>
      <c s="222" r="FV116"/>
      <c s="125" r="FW116"/>
      <c s="125" r="FX116"/>
      <c s="125" r="FY116"/>
      <c s="125" r="FZ116"/>
      <c s="125" r="GA116"/>
      <c s="125" r="GB116"/>
      <c s="125" r="GC116"/>
      <c s="125" r="GD116"/>
      <c s="125" r="GE116"/>
      <c s="125" r="GF116"/>
      <c s="125" r="GG116"/>
      <c s="125" r="GH116"/>
      <c s="125" r="GI116"/>
      <c s="125" r="GJ116"/>
      <c s="125" r="GK116"/>
      <c s="125" r="GL116"/>
      <c s="125" r="GM116"/>
      <c s="125" r="GN116"/>
      <c s="125" r="GO116"/>
      <c s="125" r="GP116"/>
      <c s="125" r="GQ116"/>
      <c s="125" r="GR116"/>
      <c s="125" r="GS116"/>
      <c s="125" r="GT116"/>
      <c s="125" r="GU116"/>
      <c s="125" r="GV116"/>
      <c s="125" r="GW116"/>
      <c s="125" r="GX116"/>
      <c s="125" r="GY116"/>
      <c s="125" r="GZ116"/>
      <c s="125" r="HA116"/>
      <c s="125" r="HB116"/>
    </row>
    <row r="117">
      <c s="822" r="A117"/>
      <c s="908" r="B117"/>
      <c s="551" r="C117"/>
      <c s="551" r="D117"/>
      <c t="s" s="812" r="E117">
        <v>107</v>
      </c>
      <c t="str" s="719" r="F117">
        <f>IF(ISNUMBER((F92/Materials!E52)),(F92/(Materials!E52*IF((H4=2),0.001,0.003281))),"---")</f>
        <v>---</v>
      </c>
      <c t="str" s="677" r="G117">
        <f>((("("&amp;IF(ISNUMBER((G92/Materials!E52)),ROUND((G92/(Materials!E52*0.003281)),1),"---"))&amp;"-")&amp;IF(ISNUMBER((H92/Materials!E52)),ROUND((H92/(Materials!E52*0.003281)),1),"---"))&amp;")"</f>
        <v>(-------)</v>
      </c>
      <c s="224" r="H117"/>
      <c s="51" r="I117"/>
      <c s="822" r="J117"/>
      <c s="406" r="K117"/>
      <c s="886" r="L117"/>
      <c s="886" r="M117"/>
      <c s="886" r="N117"/>
      <c s="886" r="O117"/>
      <c s="418" r="P117"/>
      <c s="550" r="Q117"/>
      <c s="550" r="R117"/>
      <c t="str" s="620" r="S117">
        <f>IF((COUNT(R117:R$146,T117:T$146)=0),NA(),IF(ISBLANK(R117),S116,(S116+(R117-T116))))</f>
        <v>#N/A:explicit</v>
      </c>
      <c s="550" r="T117"/>
      <c t="str" s="620" r="U117">
        <f>IF(OR(ISBLANK(T117),ISNUMBER(R118)),NA(),(S117-T117))</f>
        <v>#N/A:explicit</v>
      </c>
      <c t="b" s="895" r="V117">
        <v>0</v>
      </c>
      <c s="631" r="W117"/>
      <c t="str" s="309" r="X117">
        <f>IF((COUNT(Q117:Q$146)=0),NA(),IF(ISBLANK(Q117),IF(ISBLANK(Q116),MAX(Q$46:Q117),Q116),Q117))</f>
        <v>#N/A:explicit</v>
      </c>
      <c t="str" s="861" r="Y117">
        <f>IF(ISNA(U117),IF(ISNUMBER(X117),Y116,NA()),U117)</f>
        <v>#N/A:explicit</v>
      </c>
      <c s="861" r="Z117">
        <f>IF(ISNUMBER(Y117),Y117,(S$46+1000))</f>
        <v>1000</v>
      </c>
      <c t="str" s="588" r="AA117">
        <f>IF((V117=TRUE),NA(),IF((AA$44=(S$46-MAX(T$46:T$146))),NA(),AA$44))</f>
        <v>#N/A:explicit</v>
      </c>
      <c s="588" r="AB117">
        <f>IF((ISNA(((Y117*X117)*Y116))),0,(IF((X117&lt;X116),-1,1)*(IF((V116=FALSE),IF((V117=FALSE),IF(ISNA(Y117),0,IF((Y116&lt;AA$44),IF((Y117&lt;AA$44),(((X117-X116)^2)^0.5),(((((AA$44-Y116)*(X117-X116))/(Y117-Y116))^2)^0.5)),IF((Y117&lt;AA$44),(((((AA$44-Y117)*(X117-X116))/(Y116-Y117))^2)^0.5),0))),0),0))))</f>
        <v>0</v>
      </c>
      <c s="588" r="AC117">
        <f>IF(ISNA((Y117*Y116)),0,IF((V116=FALSE),IF((V117=FALSE),IF(ISNA(U117),0,IF((Y116&lt;AA$44),IF((Y117&lt;AA$44),((AA$44-((Y116+Y117)*0.5))*AB117),(((AA$44-Y116)*0.5)*AB117)),IF((Y117&lt;AA$44),(((AA$44-Y117)*0.5)*AB117),0))),0),0))</f>
        <v>0</v>
      </c>
      <c s="588" r="AD117">
        <f>IF(ISNA((Y117*Y116)),0,IF((V116=FALSE),IF((V117=FALSE),IF(ISNA(Y117),0,IF((Y116&lt;AA$44),IF((Y117&lt;AA$44),(((AB117^2)+((Y117-Y116)^2))^0.5),(((AB117^2)+((AA$44-Y116)^2))^0.5)),IF((Y117&lt;AA$44),(((AB117^2)+((AA$44-Y117)^2))^0.5),0))),0),0))</f>
        <v>0</v>
      </c>
      <c s="588" r="AE117">
        <f>IF(ISNUMBER((Y117*Y116)),IF((Y116&gt;=K$148),IF((Y117&lt;K$148),1,0),IF((Y117&gt;=K$148),IF((Y116&lt;K$148),1,0),0)),0)</f>
        <v>0</v>
      </c>
      <c s="588" r="AF117">
        <f>IF(ISNA((Y117*Y116)),0,(IF((X117&lt;X116),-1,1)*(IF(ISNA(Y117),0,IF((Y116&lt;K$148),IF((Y117&lt;K$148),(((X117-X116)^2)^0.5),(((((K$148-Y116)*(X117-X116))/(Y117-Y116))^2)^0.5)),IF((Y117&lt;K$148),(((((K$148-Y117)*(X117-X116))/(Y116-Y117))^2)^0.5),0))))))</f>
        <v>0</v>
      </c>
      <c s="441" r="AG117">
        <f>IF((AC117&gt;0),(MAX(AG$47:AG116)+1),0)</f>
        <v>0</v>
      </c>
      <c s="388" r="AH117"/>
      <c s="406" r="AI117"/>
      <c s="886" r="AJ117"/>
      <c s="886" r="AK117"/>
      <c s="886" r="AL117"/>
      <c s="886" r="AM117"/>
      <c s="418" r="AN117"/>
      <c s="550" r="AO117"/>
      <c s="550" r="AP117"/>
      <c t="str" s="620" r="AQ117">
        <f>IF((COUNT(AP117:AP$146,AR117:AR$146)=0),NA(),IF(ISBLANK(AP117),AQ116,(AQ116+(AP117-AR116))))</f>
        <v>#N/A:explicit</v>
      </c>
      <c s="550" r="AR117"/>
      <c t="str" s="620" r="AS117">
        <f>IF(OR(ISBLANK(AR117),ISNUMBER(AP118)),NA(),(AQ117-AR117))</f>
        <v>#N/A:explicit</v>
      </c>
      <c t="b" s="895" r="AT117">
        <v>0</v>
      </c>
      <c s="631" r="AU117"/>
      <c t="str" s="309" r="AV117">
        <f>IF((COUNT(AO117:AO$146)=0),NA(),IF(ISBLANK(AO117),IF(ISBLANK(AO116),MAX(AO$46:AO117),AO116),AO117))</f>
        <v>#N/A:explicit</v>
      </c>
      <c t="str" s="861" r="AW117">
        <f>IF(ISNA(AS117),IF(ISNUMBER(AV117),AW116,NA()),AS117)</f>
        <v>#N/A:explicit</v>
      </c>
      <c s="861" r="AX117">
        <f>IF(ISNUMBER(AW117),AW117,(AQ$46+1000))</f>
        <v>1000</v>
      </c>
      <c t="str" s="588" r="AY117">
        <f>IF((AT117=TRUE),NA(),IF((AY$44=(AQ$46-MAX(AR$46:AR$146))),NA(),AY$44))</f>
        <v>#N/A:explicit</v>
      </c>
      <c s="588" r="AZ117">
        <f>IF((ISNA(((AW117*AV117)*AW116))),0,(IF((AV117&lt;AV116),-1,1)*(IF((AT116=FALSE),IF((AT117=FALSE),IF(ISNA(AW117),0,IF((AW116&lt;AY$44),IF((AW117&lt;AY$44),(((AV117-AV116)^2)^0.5),(((((AY$44-AW116)*(AV117-AV116))/(AW117-AW116))^2)^0.5)),IF((AW117&lt;AY$44),(((((AY$44-AW117)*(AV117-AV116))/(AW116-AW117))^2)^0.5),0))),0),0))))</f>
        <v>0</v>
      </c>
      <c s="588" r="BA117">
        <f>IF(ISNA((AW117*AW116)),0,IF((AT116=FALSE),IF((AT117=FALSE),IF(ISNA(AS117),0,IF((AW116&lt;AY$44),IF((AW117&lt;AY$44),((AY$44-((AW116+AW117)*0.5))*AZ117),(((AY$44-AW116)*0.5)*AZ117)),IF((AW117&lt;AY$44),(((AY$44-AW117)*0.5)*AZ117),0))),0),0))</f>
        <v>0</v>
      </c>
      <c s="588" r="BB117">
        <f>IF(ISNA((AW117*AW116)),0,IF((AT116=FALSE),IF((AT117=FALSE),IF(ISNA(AW117),0,IF((AW116&lt;AY$44),IF((AW117&lt;AY$44),(((AZ117^2)+((AW117-AW116)^2))^0.5),(((AZ117^2)+((AY$44-AW116)^2))^0.5)),IF((AW117&lt;AY$44),(((AZ117^2)+((AY$44-AW117)^2))^0.5),0))),0),0))</f>
        <v>0</v>
      </c>
      <c s="588" r="BC117">
        <f>IF(ISNUMBER((AW117*AW116)),IF((AW116&gt;=AI$148),IF((AW117&lt;AI$148),1,0),IF((AW117&gt;=AI$148),IF((AW116&lt;AI$148),1,0),0)),0)</f>
        <v>0</v>
      </c>
      <c s="588" r="BD117">
        <f>IF(ISNA((AW117*AW116)),0,(IF((AV117&lt;AV116),-1,1)*(IF(ISNA(AW117),0,IF((AW116&lt;AI$148),IF((AW117&lt;AI$148),(((AV117-AV116)^2)^0.5),(((((AI$148-AW116)*(AV117-AV116))/(AW117-AW116))^2)^0.5)),IF((AW117&lt;AI$148),(((((AI$148-AW117)*(AV117-AV116))/(AW116-AW117))^2)^0.5),0))))))</f>
        <v>0</v>
      </c>
      <c s="441" r="BE117">
        <f>IF((BA117&gt;0),(MAX(BE$47:BE116)+1),0)</f>
        <v>0</v>
      </c>
      <c s="388" r="BF117"/>
      <c s="406" r="BG117"/>
      <c s="886" r="BH117"/>
      <c s="886" r="BI117"/>
      <c s="886" r="BJ117"/>
      <c s="886" r="BK117"/>
      <c s="418" r="BL117"/>
      <c s="550" r="BM117"/>
      <c s="550" r="BN117"/>
      <c t="str" s="620" r="BO117">
        <f>IF((COUNT(BN117:BN$146,BP117:BP$146)=0),NA(),IF(ISBLANK(BN117),BO116,(BO116+(BN117-BP116))))</f>
        <v>#N/A:explicit</v>
      </c>
      <c s="550" r="BP117"/>
      <c t="str" s="620" r="BQ117">
        <f>IF(OR(ISBLANK(BP117),ISNUMBER(BN118)),NA(),(BO117-BP117))</f>
        <v>#N/A:explicit</v>
      </c>
      <c t="b" s="895" r="BR117">
        <v>0</v>
      </c>
      <c s="631" r="BS117"/>
      <c t="str" s="309" r="BT117">
        <f>IF((COUNT(BM117:BM$146)=0),NA(),IF(ISBLANK(BM117),IF(ISBLANK(BM116),MAX(BM$46:BM117),BM116),BM117))</f>
        <v>#N/A:explicit</v>
      </c>
      <c t="str" s="861" r="BU117">
        <f>IF(ISNA(BQ117),IF(ISNUMBER(BT117),BU116,NA()),BQ117)</f>
        <v>#N/A:explicit</v>
      </c>
      <c s="861" r="BV117">
        <f>IF(ISNUMBER(BU117),BU117,(BO$46+1000))</f>
        <v>1000</v>
      </c>
      <c t="str" s="588" r="BW117">
        <f>IF((BR117=TRUE),NA(),IF((BW$44=(BO$46-MAX(BP$46:BP$146))),NA(),BW$44))</f>
        <v>#N/A:explicit</v>
      </c>
      <c s="588" r="BX117">
        <f>IF((ISNA(((BU117*BT117)*BU116))),0,(IF((BT117&lt;BT116),-1,1)*(IF((BR116=FALSE),IF((BR117=FALSE),IF(ISNA(BU117),0,IF((BU116&lt;BW$44),IF((BU117&lt;BW$44),(((BT117-BT116)^2)^0.5),(((((BW$44-BU116)*(BT117-BT116))/(BU117-BU116))^2)^0.5)),IF((BU117&lt;BW$44),(((((BW$44-BU117)*(BT117-BT116))/(BU116-BU117))^2)^0.5),0))),0),0))))</f>
        <v>0</v>
      </c>
      <c s="588" r="BY117">
        <f>IF(ISNA((BU117*BU116)),0,IF((BR116=FALSE),IF((BR117=FALSE),IF(ISNA(BQ117),0,IF((BU116&lt;BW$44),IF((BU117&lt;BW$44),((BW$44-((BU116+BU117)*0.5))*BX117),(((BW$44-BU116)*0.5)*BX117)),IF((BU117&lt;BW$44),(((BW$44-BU117)*0.5)*BX117),0))),0),0))</f>
        <v>0</v>
      </c>
      <c s="588" r="BZ117">
        <f>IF(ISNA((BU117*BU116)),0,IF((BR116=FALSE),IF((BR117=FALSE),IF(ISNA(BU117),0,IF((BU116&lt;BW$44),IF((BU117&lt;BW$44),(((BX117^2)+((BU117-BU116)^2))^0.5),(((BX117^2)+((BW$44-BU116)^2))^0.5)),IF((BU117&lt;BW$44),(((BX117^2)+((BW$44-BU117)^2))^0.5),0))),0),0))</f>
        <v>0</v>
      </c>
      <c s="588" r="CA117">
        <f>IF(ISNUMBER((BU117*BU116)),IF((BU116&gt;=BG$148),IF((BU117&lt;BG$148),1,0),IF((BU117&gt;=BG$148),IF((BU116&lt;BG$148),1,0),0)),0)</f>
        <v>0</v>
      </c>
      <c s="588" r="CB117">
        <f>IF(ISNA((BU117*BU116)),0,(IF((BT117&lt;BT116),-1,1)*(IF(ISNA(BU117),0,IF((BU116&lt;BG$148),IF((BU117&lt;BG$148),(((BT117-BT116)^2)^0.5),(((((BG$148-BU116)*(BT117-BT116))/(BU117-BU116))^2)^0.5)),IF((BU117&lt;BG$148),(((((BG$148-BU117)*(BT117-BT116))/(BU116-BU117))^2)^0.5),0))))))</f>
        <v>0</v>
      </c>
      <c s="441" r="CC117">
        <f>IF((BY117&gt;0),(MAX(CC$47:CC116)+1),0)</f>
        <v>0</v>
      </c>
      <c s="388" r="CD117"/>
      <c s="406" r="CE117"/>
      <c s="886" r="CF117"/>
      <c s="886" r="CG117"/>
      <c s="886" r="CH117"/>
      <c s="886" r="CI117"/>
      <c s="418" r="CJ117"/>
      <c s="550" r="CK117"/>
      <c s="550" r="CL117"/>
      <c t="str" s="620" r="CM117">
        <f>IF((COUNT(CL117:CL$146,CN117:CN$146)=0),NA(),IF(ISBLANK(CL117),CM116,(CM116+(CL117-CN116))))</f>
        <v>#N/A:explicit</v>
      </c>
      <c s="550" r="CN117"/>
      <c t="str" s="620" r="CO117">
        <f>IF(OR(ISBLANK(CN117),ISNUMBER(CL118)),NA(),(CM117-CN117))</f>
        <v>#N/A:explicit</v>
      </c>
      <c t="b" s="895" r="CP117">
        <v>0</v>
      </c>
      <c s="631" r="CQ117"/>
      <c t="str" s="309" r="CR117">
        <f>IF((COUNT(CK117:CK$146)=0),NA(),IF(ISBLANK(CK117),IF(ISBLANK(CK116),MAX(CK$46:CK117),CK116),CK117))</f>
        <v>#N/A:explicit</v>
      </c>
      <c t="str" s="861" r="CS117">
        <f>IF(ISNA(CO117),IF(ISNUMBER(CR117),CS116,NA()),CO117)</f>
        <v>#N/A:explicit</v>
      </c>
      <c s="861" r="CT117">
        <f>IF(ISNUMBER(CS117),CS117,(CM$46+1000))</f>
        <v>1000</v>
      </c>
      <c t="str" s="588" r="CU117">
        <f>IF((CP117=TRUE),NA(),IF((CU$44=(CM$46-MAX(CN$46:CN$146))),NA(),CU$44))</f>
        <v>#N/A:explicit</v>
      </c>
      <c s="588" r="CV117">
        <f>IF((ISNA(((CS117*CR117)*CS116))),0,(IF((CR117&lt;CR116),-1,1)*(IF((CP116=FALSE),IF((CP117=FALSE),IF(ISNA(CS117),0,IF((CS116&lt;CU$44),IF((CS117&lt;CU$44),(((CR117-CR116)^2)^0.5),(((((CU$44-CS116)*(CR117-CR116))/(CS117-CS116))^2)^0.5)),IF((CS117&lt;CU$44),(((((CU$44-CS117)*(CR117-CR116))/(CS116-CS117))^2)^0.5),0))),0),0))))</f>
        <v>0</v>
      </c>
      <c s="588" r="CW117">
        <f>IF(ISNA((CS117*CS116)),0,IF((CP116=FALSE),IF((CP117=FALSE),IF(ISNA(CO117),0,IF((CS116&lt;CU$44),IF((CS117&lt;CU$44),((CU$44-((CS116+CS117)*0.5))*CV117),(((CU$44-CS116)*0.5)*CV117)),IF((CS117&lt;CU$44),(((CU$44-CS117)*0.5)*CV117),0))),0),0))</f>
        <v>0</v>
      </c>
      <c s="588" r="CX117">
        <f>IF(ISNA((CS117*CS116)),0,IF((CP116=FALSE),IF((CP117=FALSE),IF(ISNA(CS117),0,IF((CS116&lt;CU$44),IF((CS117&lt;CU$44),(((CV117^2)+((CS117-CS116)^2))^0.5),(((CV117^2)+((CU$44-CS116)^2))^0.5)),IF((CS117&lt;CU$44),(((CV117^2)+((CU$44-CS117)^2))^0.5),0))),0),0))</f>
        <v>0</v>
      </c>
      <c s="588" r="CY117">
        <f>IF(ISNUMBER((CS117*CS116)),IF((CS116&gt;=CE$148),IF((CS117&lt;CE$148),1,0),IF((CS117&gt;=CE$148),IF((CS116&lt;CE$148),1,0),0)),0)</f>
        <v>0</v>
      </c>
      <c s="588" r="CZ117">
        <f>IF(ISNA((CS117*CS116)),0,(IF((CR117&lt;CR116),-1,1)*(IF(ISNA(CS117),0,IF((CS116&lt;CE$148),IF((CS117&lt;CE$148),(((CR117-CR116)^2)^0.5),(((((CE$148-CS116)*(CR117-CR116))/(CS117-CS116))^2)^0.5)),IF((CS117&lt;CE$148),(((((CE$148-CS117)*(CR117-CR116))/(CS116-CS117))^2)^0.5),0))))))</f>
        <v>0</v>
      </c>
      <c s="441" r="DA117">
        <f>IF((CW117&gt;0),(MAX(DA$47:DA116)+1),0)</f>
        <v>0</v>
      </c>
      <c s="388" r="DB117"/>
      <c s="406" r="DC117"/>
      <c s="886" r="DD117"/>
      <c s="886" r="DE117"/>
      <c s="886" r="DF117"/>
      <c s="886" r="DG117"/>
      <c s="418" r="DH117"/>
      <c s="550" r="DI117"/>
      <c s="550" r="DJ117"/>
      <c t="str" s="620" r="DK117">
        <f>IF((COUNT(DJ117:DJ$146,DL117:DL$146)=0),NA(),IF(ISBLANK(DJ117),DK116,(DK116+(DJ117-DL116))))</f>
        <v>#N/A:explicit</v>
      </c>
      <c s="550" r="DL117"/>
      <c t="str" s="620" r="DM117">
        <f>IF(OR(ISBLANK(DL117),ISNUMBER(DJ118)),NA(),(DK117-DL117))</f>
        <v>#N/A:explicit</v>
      </c>
      <c t="b" s="895" r="DN117">
        <v>0</v>
      </c>
      <c s="631" r="DO117"/>
      <c t="str" s="309" r="DP117">
        <f>IF((COUNT(DI117:DI$146)=0),NA(),IF(ISBLANK(DI117),IF(ISBLANK(DI116),MAX(DI$46:DI117),DI116),DI117))</f>
        <v>#N/A:explicit</v>
      </c>
      <c t="str" s="861" r="DQ117">
        <f>IF(ISNA(DM117),IF(ISNUMBER(DP117),DQ116,NA()),DM117)</f>
        <v>#N/A:explicit</v>
      </c>
      <c s="861" r="DR117">
        <f>IF(ISNUMBER(DQ117),DQ117,(DK$46+1000))</f>
        <v>1000</v>
      </c>
      <c t="str" s="588" r="DS117">
        <f>IF((DN117=TRUE),NA(),IF((DS$44=(DK$46-MAX(DL$46:DL$146))),NA(),DS$44))</f>
        <v>#N/A:explicit</v>
      </c>
      <c s="588" r="DT117">
        <f>IF((ISNA(((DQ117*DP117)*DQ116))),0,(IF((DP117&lt;DP116),-1,1)*(IF((DN116=FALSE),IF((DN117=FALSE),IF(ISNA(DQ117),0,IF((DQ116&lt;DS$44),IF((DQ117&lt;DS$44),(((DP117-DP116)^2)^0.5),(((((DS$44-DQ116)*(DP117-DP116))/(DQ117-DQ116))^2)^0.5)),IF((DQ117&lt;DS$44),(((((DS$44-DQ117)*(DP117-DP116))/(DQ116-DQ117))^2)^0.5),0))),0),0))))</f>
        <v>0</v>
      </c>
      <c s="588" r="DU117">
        <f>IF(ISNA((DQ117*DQ116)),0,IF((DN116=FALSE),IF((DN117=FALSE),IF(ISNA(DM117),0,IF((DQ116&lt;DS$44),IF((DQ117&lt;DS$44),((DS$44-((DQ116+DQ117)*0.5))*DT117),(((DS$44-DQ116)*0.5)*DT117)),IF((DQ117&lt;DS$44),(((DS$44-DQ117)*0.5)*DT117),0))),0),0))</f>
        <v>0</v>
      </c>
      <c s="588" r="DV117">
        <f>IF(ISNA((DQ117*DQ116)),0,IF((DN116=FALSE),IF((DN117=FALSE),IF(ISNA(DQ117),0,IF((DQ116&lt;DS$44),IF((DQ117&lt;DS$44),(((DT117^2)+((DQ117-DQ116)^2))^0.5),(((DT117^2)+((DS$44-DQ116)^2))^0.5)),IF((DQ117&lt;DS$44),(((DT117^2)+((DS$44-DQ117)^2))^0.5),0))),0),0))</f>
        <v>0</v>
      </c>
      <c s="588" r="DW117">
        <f>IF(ISNUMBER((DQ117*DQ116)),IF((DQ116&gt;=DC$148),IF((DQ117&lt;DC$148),1,0),IF((DQ117&gt;=DC$148),IF((DQ116&lt;DC$148),1,0),0)),0)</f>
        <v>0</v>
      </c>
      <c s="588" r="DX117">
        <f>IF(ISNA((DQ117*DQ116)),0,(IF((DP117&lt;DP116),-1,1)*(IF(ISNA(DQ117),0,IF((DQ116&lt;DC$148),IF((DQ117&lt;DC$148),(((DP117-DP116)^2)^0.5),(((((DC$148-DQ116)*(DP117-DP116))/(DQ117-DQ116))^2)^0.5)),IF((DQ117&lt;DC$148),(((((DC$148-DQ117)*(DP117-DP116))/(DQ116-DQ117))^2)^0.5),0))))))</f>
        <v>0</v>
      </c>
      <c s="441" r="DY117">
        <f>IF((DU117&gt;0),(MAX(DY$47:DY116)+1),0)</f>
        <v>0</v>
      </c>
      <c s="388" r="DZ117"/>
      <c s="406" r="EA117"/>
      <c s="886" r="EB117"/>
      <c s="886" r="EC117"/>
      <c s="886" r="ED117"/>
      <c s="886" r="EE117"/>
      <c s="418" r="EF117"/>
      <c s="550" r="EG117"/>
      <c s="550" r="EH117"/>
      <c t="str" s="620" r="EI117">
        <f>IF((COUNT(EH117:EH$146,EJ117:EJ$146)=0),NA(),IF(ISBLANK(EH117),EI116,(EI116+(EH117-EJ116))))</f>
        <v>#N/A:explicit</v>
      </c>
      <c s="550" r="EJ117"/>
      <c t="str" s="620" r="EK117">
        <f>IF(OR(ISBLANK(EJ117),ISNUMBER(EH118)),NA(),(EI117-EJ117))</f>
        <v>#N/A:explicit</v>
      </c>
      <c t="b" s="895" r="EL117">
        <v>0</v>
      </c>
      <c s="631" r="EM117"/>
      <c t="str" s="309" r="EN117">
        <f>IF((COUNT(EG117:EG$146)=0),NA(),IF(ISBLANK(EG117),IF(ISBLANK(EG116),MAX(EG$46:EG117),EG116),EG117))</f>
        <v>#N/A:explicit</v>
      </c>
      <c t="str" s="861" r="EO117">
        <f>IF(ISNA(EK117),IF(ISNUMBER(EN117),EO116,NA()),EK117)</f>
        <v>#N/A:explicit</v>
      </c>
      <c s="861" r="EP117">
        <f>IF(ISNUMBER(EO117),EO117,(EI$46+1000))</f>
        <v>1000</v>
      </c>
      <c t="str" s="588" r="EQ117">
        <f>IF((EL117=TRUE),NA(),IF((EQ$44=(EI$46-MAX(EJ$46:EJ$146))),NA(),EQ$44))</f>
        <v>#N/A:explicit</v>
      </c>
      <c s="588" r="ER117">
        <f>IF((ISNA(((EO117*EN117)*EO116))),0,(IF((EN117&lt;EN116),-1,1)*(IF((EL116=FALSE),IF((EL117=FALSE),IF(ISNA(EO117),0,IF((EO116&lt;EQ$44),IF((EO117&lt;EQ$44),(((EN117-EN116)^2)^0.5),(((((EQ$44-EO116)*(EN117-EN116))/(EO117-EO116))^2)^0.5)),IF((EO117&lt;EQ$44),(((((EQ$44-EO117)*(EN117-EN116))/(EO116-EO117))^2)^0.5),0))),0),0))))</f>
        <v>0</v>
      </c>
      <c s="588" r="ES117">
        <f>IF(ISNA((EO117*EO116)),0,IF((EL116=FALSE),IF((EL117=FALSE),IF(ISNA(EK117),0,IF((EO116&lt;EQ$44),IF((EO117&lt;EQ$44),((EQ$44-((EO116+EO117)*0.5))*ER117),(((EQ$44-EO116)*0.5)*ER117)),IF((EO117&lt;EQ$44),(((EQ$44-EO117)*0.5)*ER117),0))),0),0))</f>
        <v>0</v>
      </c>
      <c s="588" r="ET117">
        <f>IF(ISNA((EO117*EO116)),0,IF((EL116=FALSE),IF((EL117=FALSE),IF(ISNA(EO117),0,IF((EO116&lt;EQ$44),IF((EO117&lt;EQ$44),(((ER117^2)+((EO117-EO116)^2))^0.5),(((ER117^2)+((EQ$44-EO116)^2))^0.5)),IF((EO117&lt;EQ$44),(((ER117^2)+((EQ$44-EO117)^2))^0.5),0))),0),0))</f>
        <v>0</v>
      </c>
      <c s="588" r="EU117">
        <f>IF(ISNUMBER((EO117*EO116)),IF((EO116&gt;=EA$148),IF((EO117&lt;EA$148),1,0),IF((EO117&gt;=EA$148),IF((EO116&lt;EA$148),1,0),0)),0)</f>
        <v>0</v>
      </c>
      <c s="588" r="EV117">
        <f>IF(ISNA((EO117*EO116)),0,(IF((EN117&lt;EN116),-1,1)*(IF(ISNA(EO117),0,IF((EO116&lt;EA$148),IF((EO117&lt;EA$148),(((EN117-EN116)^2)^0.5),(((((EA$148-EO116)*(EN117-EN116))/(EO117-EO116))^2)^0.5)),IF((EO117&lt;EA$148),(((((EA$148-EO117)*(EN117-EN116))/(EO116-EO117))^2)^0.5),0))))))</f>
        <v>0</v>
      </c>
      <c s="441" r="EW117">
        <f>IF((ES117&gt;0),(MAX(EW$47:EW116)+1),0)</f>
        <v>0</v>
      </c>
      <c s="388" r="EX117"/>
      <c s="406" r="EY117"/>
      <c s="886" r="EZ117"/>
      <c s="886" r="FA117"/>
      <c s="886" r="FB117"/>
      <c s="886" r="FC117"/>
      <c s="418" r="FD117"/>
      <c s="550" r="FE117"/>
      <c s="550" r="FF117"/>
      <c t="str" s="620" r="FG117">
        <f>IF((COUNT(FF117:FF$146,FH117:FH$146)=0),NA(),IF(ISBLANK(FF117),FG116,(FG116+(FF117-FH116))))</f>
        <v>#N/A:explicit</v>
      </c>
      <c s="550" r="FH117"/>
      <c t="str" s="620" r="FI117">
        <f>IF(OR(ISBLANK(FH117),ISNUMBER(FF118)),NA(),(FG117-FH117))</f>
        <v>#N/A:explicit</v>
      </c>
      <c t="b" s="895" r="FJ117">
        <v>0</v>
      </c>
      <c s="631" r="FK117"/>
      <c t="str" s="309" r="FL117">
        <f>IF((COUNT(FE117:FE$146)=0),NA(),IF(ISBLANK(FE117),IF(ISBLANK(FE116),MAX(FE$46:FE117),FE116),FE117))</f>
        <v>#N/A:explicit</v>
      </c>
      <c t="str" s="861" r="FM117">
        <f>IF(ISNA(FI117),IF(ISNUMBER(FL117),FM116,NA()),FI117)</f>
        <v>#N/A:explicit</v>
      </c>
      <c s="861" r="FN117">
        <f>IF(ISNUMBER(FM117),FM117,(FG$46+1000))</f>
        <v>1000</v>
      </c>
      <c t="str" s="588" r="FO117">
        <f>IF((FJ117=TRUE),NA(),IF((FO$44=(FG$46-MAX(FH$46:FH$146))),NA(),FO$44))</f>
        <v>#N/A:explicit</v>
      </c>
      <c s="588" r="FP117">
        <f>IF((ISNA(((FM117*FL117)*FM116))),0,(IF((FL117&lt;FL116),-1,1)*(IF((FJ116=FALSE),IF((FJ117=FALSE),IF(ISNA(FM117),0,IF((FM116&lt;FO$44),IF((FM117&lt;FO$44),(((FL117-FL116)^2)^0.5),(((((FO$44-FM116)*(FL117-FL116))/(FM117-FM116))^2)^0.5)),IF((FM117&lt;FO$44),(((((FO$44-FM117)*(FL117-FL116))/(FM116-FM117))^2)^0.5),0))),0),0))))</f>
        <v>0</v>
      </c>
      <c s="588" r="FQ117">
        <f>IF(ISNA((FM117*FM116)),0,IF((FJ116=FALSE),IF((FJ117=FALSE),IF(ISNA(FI117),0,IF((FM116&lt;FO$44),IF((FM117&lt;FO$44),((FO$44-((FM116+FM117)*0.5))*FP117),(((FO$44-FM116)*0.5)*FP117)),IF((FM117&lt;FO$44),(((FO$44-FM117)*0.5)*FP117),0))),0),0))</f>
        <v>0</v>
      </c>
      <c s="588" r="FR117">
        <f>IF(ISNA((FM117*FM116)),0,IF((FJ116=FALSE),IF((FJ117=FALSE),IF(ISNA(FM117),0,IF((FM116&lt;FO$44),IF((FM117&lt;FO$44),(((FP117^2)+((FM117-FM116)^2))^0.5),(((FP117^2)+((FO$44-FM116)^2))^0.5)),IF((FM117&lt;FO$44),(((FP117^2)+((FO$44-FM117)^2))^0.5),0))),0),0))</f>
        <v>0</v>
      </c>
      <c s="588" r="FS117">
        <f>IF(ISNUMBER((FM117*FM116)),IF((FM116&gt;=EY$148),IF((FM117&lt;EY$148),1,0),IF((FM117&gt;=EY$148),IF((FM116&lt;EY$148),1,0),0)),0)</f>
        <v>0</v>
      </c>
      <c s="588" r="FT117">
        <f>IF(ISNA((FM117*FM116)),0,(IF((FL117&lt;FL116),-1,1)*(IF(ISNA(FM117),0,IF((FM116&lt;EY$148),IF((FM117&lt;EY$148),(((FL117-FL116)^2)^0.5),(((((EY$148-FM116)*(FL117-FL116))/(FM117-FM116))^2)^0.5)),IF((FM117&lt;EY$148),(((((EY$148-FM117)*(FL117-FL116))/(FM116-FM117))^2)^0.5),0))))))</f>
        <v>0</v>
      </c>
      <c s="441" r="FU117">
        <f>IF((FQ117&gt;0),(MAX(FU$47:FU116)+1),0)</f>
        <v>0</v>
      </c>
      <c s="222" r="FV117"/>
      <c s="125" r="FW117"/>
      <c s="125" r="FX117"/>
      <c s="125" r="FY117"/>
      <c s="125" r="FZ117"/>
      <c s="125" r="GA117"/>
      <c s="125" r="GB117"/>
      <c s="125" r="GC117"/>
      <c s="125" r="GD117"/>
      <c s="125" r="GE117"/>
      <c s="125" r="GF117"/>
      <c s="125" r="GG117"/>
      <c s="125" r="GH117"/>
      <c s="125" r="GI117"/>
      <c s="125" r="GJ117"/>
      <c s="125" r="GK117"/>
      <c s="125" r="GL117"/>
      <c s="125" r="GM117"/>
      <c s="125" r="GN117"/>
      <c s="125" r="GO117"/>
      <c s="125" r="GP117"/>
      <c s="125" r="GQ117"/>
      <c s="125" r="GR117"/>
      <c s="125" r="GS117"/>
      <c s="125" r="GT117"/>
      <c s="125" r="GU117"/>
      <c s="125" r="GV117"/>
      <c s="125" r="GW117"/>
      <c s="125" r="GX117"/>
      <c s="125" r="GY117"/>
      <c s="125" r="GZ117"/>
      <c s="125" r="HA117"/>
      <c s="125" r="HB117"/>
    </row>
    <row r="118">
      <c s="822" r="A118"/>
      <c s="908" r="B118"/>
      <c s="551" r="C118"/>
      <c s="551" r="D118"/>
      <c t="s" s="812" r="E118">
        <v>109</v>
      </c>
      <c t="str" s="719" r="F118">
        <f>IF(ISNUMBER((F111/F114)),(F111/F114),"---")</f>
        <v>---</v>
      </c>
      <c t="str" s="677" r="G118">
        <f>IF(AND(ISTEXT('Dimension Estimated Values'!X6),ISTEXT('Dimension Estimated Values'!X7)),"---",(((("("&amp;ROUND('Dimension Estimated Values'!X6,1))&amp;"-")&amp;ROUND('Dimension Estimated Values'!X7,1))&amp;")"))</f>
        <v>---</v>
      </c>
      <c s="224" r="H118"/>
      <c s="51" r="I118"/>
      <c s="822" r="J118"/>
      <c s="406" r="K118"/>
      <c s="886" r="L118"/>
      <c s="886" r="M118"/>
      <c s="886" r="N118"/>
      <c s="886" r="O118"/>
      <c s="418" r="P118"/>
      <c s="550" r="Q118"/>
      <c s="550" r="R118"/>
      <c t="str" s="620" r="S118">
        <f>IF((COUNT(R118:R$146,T118:T$146)=0),NA(),IF(ISBLANK(R118),S117,(S117+(R118-T117))))</f>
        <v>#N/A:explicit</v>
      </c>
      <c s="550" r="T118"/>
      <c t="str" s="620" r="U118">
        <f>IF(OR(ISBLANK(T118),ISNUMBER(R119)),NA(),(S118-T118))</f>
        <v>#N/A:explicit</v>
      </c>
      <c t="b" s="895" r="V118">
        <v>0</v>
      </c>
      <c s="631" r="W118"/>
      <c t="str" s="309" r="X118">
        <f>IF((COUNT(Q118:Q$146)=0),NA(),IF(ISBLANK(Q118),IF(ISBLANK(Q117),MAX(Q$46:Q118),Q117),Q118))</f>
        <v>#N/A:explicit</v>
      </c>
      <c t="str" s="861" r="Y118">
        <f>IF(ISNA(U118),IF(ISNUMBER(X118),Y117,NA()),U118)</f>
        <v>#N/A:explicit</v>
      </c>
      <c s="861" r="Z118">
        <f>IF(ISNUMBER(Y118),Y118,(S$46+1000))</f>
        <v>1000</v>
      </c>
      <c t="str" s="588" r="AA118">
        <f>IF((V118=TRUE),NA(),IF((AA$44=(S$46-MAX(T$46:T$146))),NA(),AA$44))</f>
        <v>#N/A:explicit</v>
      </c>
      <c s="588" r="AB118">
        <f>IF((ISNA(((Y118*X118)*Y117))),0,(IF((X118&lt;X117),-1,1)*(IF((V117=FALSE),IF((V118=FALSE),IF(ISNA(Y118),0,IF((Y117&lt;AA$44),IF((Y118&lt;AA$44),(((X118-X117)^2)^0.5),(((((AA$44-Y117)*(X118-X117))/(Y118-Y117))^2)^0.5)),IF((Y118&lt;AA$44),(((((AA$44-Y118)*(X118-X117))/(Y117-Y118))^2)^0.5),0))),0),0))))</f>
        <v>0</v>
      </c>
      <c s="588" r="AC118">
        <f>IF(ISNA((Y118*Y117)),0,IF((V117=FALSE),IF((V118=FALSE),IF(ISNA(U118),0,IF((Y117&lt;AA$44),IF((Y118&lt;AA$44),((AA$44-((Y117+Y118)*0.5))*AB118),(((AA$44-Y117)*0.5)*AB118)),IF((Y118&lt;AA$44),(((AA$44-Y118)*0.5)*AB118),0))),0),0))</f>
        <v>0</v>
      </c>
      <c s="588" r="AD118">
        <f>IF(ISNA((Y118*Y117)),0,IF((V117=FALSE),IF((V118=FALSE),IF(ISNA(Y118),0,IF((Y117&lt;AA$44),IF((Y118&lt;AA$44),(((AB118^2)+((Y118-Y117)^2))^0.5),(((AB118^2)+((AA$44-Y117)^2))^0.5)),IF((Y118&lt;AA$44),(((AB118^2)+((AA$44-Y118)^2))^0.5),0))),0),0))</f>
        <v>0</v>
      </c>
      <c s="588" r="AE118">
        <f>IF(ISNUMBER((Y118*Y117)),IF((Y117&gt;=K$148),IF((Y118&lt;K$148),1,0),IF((Y118&gt;=K$148),IF((Y117&lt;K$148),1,0),0)),0)</f>
        <v>0</v>
      </c>
      <c s="588" r="AF118">
        <f>IF(ISNA((Y118*Y117)),0,(IF((X118&lt;X117),-1,1)*(IF(ISNA(Y118),0,IF((Y117&lt;K$148),IF((Y118&lt;K$148),(((X118-X117)^2)^0.5),(((((K$148-Y117)*(X118-X117))/(Y118-Y117))^2)^0.5)),IF((Y118&lt;K$148),(((((K$148-Y118)*(X118-X117))/(Y117-Y118))^2)^0.5),0))))))</f>
        <v>0</v>
      </c>
      <c s="441" r="AG118">
        <f>IF((AC118&gt;0),(MAX(AG$47:AG117)+1),0)</f>
        <v>0</v>
      </c>
      <c s="388" r="AH118"/>
      <c s="406" r="AI118"/>
      <c s="886" r="AJ118"/>
      <c s="886" r="AK118"/>
      <c s="886" r="AL118"/>
      <c s="886" r="AM118"/>
      <c s="418" r="AN118"/>
      <c s="550" r="AO118"/>
      <c s="550" r="AP118"/>
      <c t="str" s="620" r="AQ118">
        <f>IF((COUNT(AP118:AP$146,AR118:AR$146)=0),NA(),IF(ISBLANK(AP118),AQ117,(AQ117+(AP118-AR117))))</f>
        <v>#N/A:explicit</v>
      </c>
      <c s="550" r="AR118"/>
      <c t="str" s="620" r="AS118">
        <f>IF(OR(ISBLANK(AR118),ISNUMBER(AP119)),NA(),(AQ118-AR118))</f>
        <v>#N/A:explicit</v>
      </c>
      <c t="b" s="895" r="AT118">
        <v>0</v>
      </c>
      <c s="631" r="AU118"/>
      <c t="str" s="309" r="AV118">
        <f>IF((COUNT(AO118:AO$146)=0),NA(),IF(ISBLANK(AO118),IF(ISBLANK(AO117),MAX(AO$46:AO118),AO117),AO118))</f>
        <v>#N/A:explicit</v>
      </c>
      <c t="str" s="861" r="AW118">
        <f>IF(ISNA(AS118),IF(ISNUMBER(AV118),AW117,NA()),AS118)</f>
        <v>#N/A:explicit</v>
      </c>
      <c s="861" r="AX118">
        <f>IF(ISNUMBER(AW118),AW118,(AQ$46+1000))</f>
        <v>1000</v>
      </c>
      <c t="str" s="588" r="AY118">
        <f>IF((AT118=TRUE),NA(),IF((AY$44=(AQ$46-MAX(AR$46:AR$146))),NA(),AY$44))</f>
        <v>#N/A:explicit</v>
      </c>
      <c s="588" r="AZ118">
        <f>IF((ISNA(((AW118*AV118)*AW117))),0,(IF((AV118&lt;AV117),-1,1)*(IF((AT117=FALSE),IF((AT118=FALSE),IF(ISNA(AW118),0,IF((AW117&lt;AY$44),IF((AW118&lt;AY$44),(((AV118-AV117)^2)^0.5),(((((AY$44-AW117)*(AV118-AV117))/(AW118-AW117))^2)^0.5)),IF((AW118&lt;AY$44),(((((AY$44-AW118)*(AV118-AV117))/(AW117-AW118))^2)^0.5),0))),0),0))))</f>
        <v>0</v>
      </c>
      <c s="588" r="BA118">
        <f>IF(ISNA((AW118*AW117)),0,IF((AT117=FALSE),IF((AT118=FALSE),IF(ISNA(AS118),0,IF((AW117&lt;AY$44),IF((AW118&lt;AY$44),((AY$44-((AW117+AW118)*0.5))*AZ118),(((AY$44-AW117)*0.5)*AZ118)),IF((AW118&lt;AY$44),(((AY$44-AW118)*0.5)*AZ118),0))),0),0))</f>
        <v>0</v>
      </c>
      <c s="588" r="BB118">
        <f>IF(ISNA((AW118*AW117)),0,IF((AT117=FALSE),IF((AT118=FALSE),IF(ISNA(AW118),0,IF((AW117&lt;AY$44),IF((AW118&lt;AY$44),(((AZ118^2)+((AW118-AW117)^2))^0.5),(((AZ118^2)+((AY$44-AW117)^2))^0.5)),IF((AW118&lt;AY$44),(((AZ118^2)+((AY$44-AW118)^2))^0.5),0))),0),0))</f>
        <v>0</v>
      </c>
      <c s="588" r="BC118">
        <f>IF(ISNUMBER((AW118*AW117)),IF((AW117&gt;=AI$148),IF((AW118&lt;AI$148),1,0),IF((AW118&gt;=AI$148),IF((AW117&lt;AI$148),1,0),0)),0)</f>
        <v>0</v>
      </c>
      <c s="588" r="BD118">
        <f>IF(ISNA((AW118*AW117)),0,(IF((AV118&lt;AV117),-1,1)*(IF(ISNA(AW118),0,IF((AW117&lt;AI$148),IF((AW118&lt;AI$148),(((AV118-AV117)^2)^0.5),(((((AI$148-AW117)*(AV118-AV117))/(AW118-AW117))^2)^0.5)),IF((AW118&lt;AI$148),(((((AI$148-AW118)*(AV118-AV117))/(AW117-AW118))^2)^0.5),0))))))</f>
        <v>0</v>
      </c>
      <c s="441" r="BE118">
        <f>IF((BA118&gt;0),(MAX(BE$47:BE117)+1),0)</f>
        <v>0</v>
      </c>
      <c s="388" r="BF118"/>
      <c s="406" r="BG118"/>
      <c s="886" r="BH118"/>
      <c s="886" r="BI118"/>
      <c s="886" r="BJ118"/>
      <c s="886" r="BK118"/>
      <c s="418" r="BL118"/>
      <c s="550" r="BM118"/>
      <c s="550" r="BN118"/>
      <c t="str" s="620" r="BO118">
        <f>IF((COUNT(BN118:BN$146,BP118:BP$146)=0),NA(),IF(ISBLANK(BN118),BO117,(BO117+(BN118-BP117))))</f>
        <v>#N/A:explicit</v>
      </c>
      <c s="550" r="BP118"/>
      <c t="str" s="620" r="BQ118">
        <f>IF(OR(ISBLANK(BP118),ISNUMBER(BN119)),NA(),(BO118-BP118))</f>
        <v>#N/A:explicit</v>
      </c>
      <c t="b" s="895" r="BR118">
        <v>0</v>
      </c>
      <c s="631" r="BS118"/>
      <c t="str" s="309" r="BT118">
        <f>IF((COUNT(BM118:BM$146)=0),NA(),IF(ISBLANK(BM118),IF(ISBLANK(BM117),MAX(BM$46:BM118),BM117),BM118))</f>
        <v>#N/A:explicit</v>
      </c>
      <c t="str" s="861" r="BU118">
        <f>IF(ISNA(BQ118),IF(ISNUMBER(BT118),BU117,NA()),BQ118)</f>
        <v>#N/A:explicit</v>
      </c>
      <c s="861" r="BV118">
        <f>IF(ISNUMBER(BU118),BU118,(BO$46+1000))</f>
        <v>1000</v>
      </c>
      <c t="str" s="588" r="BW118">
        <f>IF((BR118=TRUE),NA(),IF((BW$44=(BO$46-MAX(BP$46:BP$146))),NA(),BW$44))</f>
        <v>#N/A:explicit</v>
      </c>
      <c s="588" r="BX118">
        <f>IF((ISNA(((BU118*BT118)*BU117))),0,(IF((BT118&lt;BT117),-1,1)*(IF((BR117=FALSE),IF((BR118=FALSE),IF(ISNA(BU118),0,IF((BU117&lt;BW$44),IF((BU118&lt;BW$44),(((BT118-BT117)^2)^0.5),(((((BW$44-BU117)*(BT118-BT117))/(BU118-BU117))^2)^0.5)),IF((BU118&lt;BW$44),(((((BW$44-BU118)*(BT118-BT117))/(BU117-BU118))^2)^0.5),0))),0),0))))</f>
        <v>0</v>
      </c>
      <c s="588" r="BY118">
        <f>IF(ISNA((BU118*BU117)),0,IF((BR117=FALSE),IF((BR118=FALSE),IF(ISNA(BQ118),0,IF((BU117&lt;BW$44),IF((BU118&lt;BW$44),((BW$44-((BU117+BU118)*0.5))*BX118),(((BW$44-BU117)*0.5)*BX118)),IF((BU118&lt;BW$44),(((BW$44-BU118)*0.5)*BX118),0))),0),0))</f>
        <v>0</v>
      </c>
      <c s="588" r="BZ118">
        <f>IF(ISNA((BU118*BU117)),0,IF((BR117=FALSE),IF((BR118=FALSE),IF(ISNA(BU118),0,IF((BU117&lt;BW$44),IF((BU118&lt;BW$44),(((BX118^2)+((BU118-BU117)^2))^0.5),(((BX118^2)+((BW$44-BU117)^2))^0.5)),IF((BU118&lt;BW$44),(((BX118^2)+((BW$44-BU118)^2))^0.5),0))),0),0))</f>
        <v>0</v>
      </c>
      <c s="588" r="CA118">
        <f>IF(ISNUMBER((BU118*BU117)),IF((BU117&gt;=BG$148),IF((BU118&lt;BG$148),1,0),IF((BU118&gt;=BG$148),IF((BU117&lt;BG$148),1,0),0)),0)</f>
        <v>0</v>
      </c>
      <c s="588" r="CB118">
        <f>IF(ISNA((BU118*BU117)),0,(IF((BT118&lt;BT117),-1,1)*(IF(ISNA(BU118),0,IF((BU117&lt;BG$148),IF((BU118&lt;BG$148),(((BT118-BT117)^2)^0.5),(((((BG$148-BU117)*(BT118-BT117))/(BU118-BU117))^2)^0.5)),IF((BU118&lt;BG$148),(((((BG$148-BU118)*(BT118-BT117))/(BU117-BU118))^2)^0.5),0))))))</f>
        <v>0</v>
      </c>
      <c s="441" r="CC118">
        <f>IF((BY118&gt;0),(MAX(CC$47:CC117)+1),0)</f>
        <v>0</v>
      </c>
      <c s="388" r="CD118"/>
      <c s="406" r="CE118"/>
      <c s="886" r="CF118"/>
      <c s="886" r="CG118"/>
      <c s="886" r="CH118"/>
      <c s="886" r="CI118"/>
      <c s="418" r="CJ118"/>
      <c s="550" r="CK118"/>
      <c s="550" r="CL118"/>
      <c t="str" s="620" r="CM118">
        <f>IF((COUNT(CL118:CL$146,CN118:CN$146)=0),NA(),IF(ISBLANK(CL118),CM117,(CM117+(CL118-CN117))))</f>
        <v>#N/A:explicit</v>
      </c>
      <c s="550" r="CN118"/>
      <c t="str" s="620" r="CO118">
        <f>IF(OR(ISBLANK(CN118),ISNUMBER(CL119)),NA(),(CM118-CN118))</f>
        <v>#N/A:explicit</v>
      </c>
      <c t="b" s="895" r="CP118">
        <v>0</v>
      </c>
      <c s="631" r="CQ118"/>
      <c t="str" s="309" r="CR118">
        <f>IF((COUNT(CK118:CK$146)=0),NA(),IF(ISBLANK(CK118),IF(ISBLANK(CK117),MAX(CK$46:CK118),CK117),CK118))</f>
        <v>#N/A:explicit</v>
      </c>
      <c t="str" s="861" r="CS118">
        <f>IF(ISNA(CO118),IF(ISNUMBER(CR118),CS117,NA()),CO118)</f>
        <v>#N/A:explicit</v>
      </c>
      <c s="861" r="CT118">
        <f>IF(ISNUMBER(CS118),CS118,(CM$46+1000))</f>
        <v>1000</v>
      </c>
      <c t="str" s="588" r="CU118">
        <f>IF((CP118=TRUE),NA(),IF((CU$44=(CM$46-MAX(CN$46:CN$146))),NA(),CU$44))</f>
        <v>#N/A:explicit</v>
      </c>
      <c s="588" r="CV118">
        <f>IF((ISNA(((CS118*CR118)*CS117))),0,(IF((CR118&lt;CR117),-1,1)*(IF((CP117=FALSE),IF((CP118=FALSE),IF(ISNA(CS118),0,IF((CS117&lt;CU$44),IF((CS118&lt;CU$44),(((CR118-CR117)^2)^0.5),(((((CU$44-CS117)*(CR118-CR117))/(CS118-CS117))^2)^0.5)),IF((CS118&lt;CU$44),(((((CU$44-CS118)*(CR118-CR117))/(CS117-CS118))^2)^0.5),0))),0),0))))</f>
        <v>0</v>
      </c>
      <c s="588" r="CW118">
        <f>IF(ISNA((CS118*CS117)),0,IF((CP117=FALSE),IF((CP118=FALSE),IF(ISNA(CO118),0,IF((CS117&lt;CU$44),IF((CS118&lt;CU$44),((CU$44-((CS117+CS118)*0.5))*CV118),(((CU$44-CS117)*0.5)*CV118)),IF((CS118&lt;CU$44),(((CU$44-CS118)*0.5)*CV118),0))),0),0))</f>
        <v>0</v>
      </c>
      <c s="588" r="CX118">
        <f>IF(ISNA((CS118*CS117)),0,IF((CP117=FALSE),IF((CP118=FALSE),IF(ISNA(CS118),0,IF((CS117&lt;CU$44),IF((CS118&lt;CU$44),(((CV118^2)+((CS118-CS117)^2))^0.5),(((CV118^2)+((CU$44-CS117)^2))^0.5)),IF((CS118&lt;CU$44),(((CV118^2)+((CU$44-CS118)^2))^0.5),0))),0),0))</f>
        <v>0</v>
      </c>
      <c s="588" r="CY118">
        <f>IF(ISNUMBER((CS118*CS117)),IF((CS117&gt;=CE$148),IF((CS118&lt;CE$148),1,0),IF((CS118&gt;=CE$148),IF((CS117&lt;CE$148),1,0),0)),0)</f>
        <v>0</v>
      </c>
      <c s="588" r="CZ118">
        <f>IF(ISNA((CS118*CS117)),0,(IF((CR118&lt;CR117),-1,1)*(IF(ISNA(CS118),0,IF((CS117&lt;CE$148),IF((CS118&lt;CE$148),(((CR118-CR117)^2)^0.5),(((((CE$148-CS117)*(CR118-CR117))/(CS118-CS117))^2)^0.5)),IF((CS118&lt;CE$148),(((((CE$148-CS118)*(CR118-CR117))/(CS117-CS118))^2)^0.5),0))))))</f>
        <v>0</v>
      </c>
      <c s="441" r="DA118">
        <f>IF((CW118&gt;0),(MAX(DA$47:DA117)+1),0)</f>
        <v>0</v>
      </c>
      <c s="388" r="DB118"/>
      <c s="406" r="DC118"/>
      <c s="886" r="DD118"/>
      <c s="886" r="DE118"/>
      <c s="886" r="DF118"/>
      <c s="886" r="DG118"/>
      <c s="418" r="DH118"/>
      <c s="550" r="DI118"/>
      <c s="550" r="DJ118"/>
      <c t="str" s="620" r="DK118">
        <f>IF((COUNT(DJ118:DJ$146,DL118:DL$146)=0),NA(),IF(ISBLANK(DJ118),DK117,(DK117+(DJ118-DL117))))</f>
        <v>#N/A:explicit</v>
      </c>
      <c s="550" r="DL118"/>
      <c t="str" s="620" r="DM118">
        <f>IF(OR(ISBLANK(DL118),ISNUMBER(DJ119)),NA(),(DK118-DL118))</f>
        <v>#N/A:explicit</v>
      </c>
      <c t="b" s="895" r="DN118">
        <v>0</v>
      </c>
      <c s="631" r="DO118"/>
      <c t="str" s="309" r="DP118">
        <f>IF((COUNT(DI118:DI$146)=0),NA(),IF(ISBLANK(DI118),IF(ISBLANK(DI117),MAX(DI$46:DI118),DI117),DI118))</f>
        <v>#N/A:explicit</v>
      </c>
      <c t="str" s="861" r="DQ118">
        <f>IF(ISNA(DM118),IF(ISNUMBER(DP118),DQ117,NA()),DM118)</f>
        <v>#N/A:explicit</v>
      </c>
      <c s="861" r="DR118">
        <f>IF(ISNUMBER(DQ118),DQ118,(DK$46+1000))</f>
        <v>1000</v>
      </c>
      <c t="str" s="588" r="DS118">
        <f>IF((DN118=TRUE),NA(),IF((DS$44=(DK$46-MAX(DL$46:DL$146))),NA(),DS$44))</f>
        <v>#N/A:explicit</v>
      </c>
      <c s="588" r="DT118">
        <f>IF((ISNA(((DQ118*DP118)*DQ117))),0,(IF((DP118&lt;DP117),-1,1)*(IF((DN117=FALSE),IF((DN118=FALSE),IF(ISNA(DQ118),0,IF((DQ117&lt;DS$44),IF((DQ118&lt;DS$44),(((DP118-DP117)^2)^0.5),(((((DS$44-DQ117)*(DP118-DP117))/(DQ118-DQ117))^2)^0.5)),IF((DQ118&lt;DS$44),(((((DS$44-DQ118)*(DP118-DP117))/(DQ117-DQ118))^2)^0.5),0))),0),0))))</f>
        <v>0</v>
      </c>
      <c s="588" r="DU118">
        <f>IF(ISNA((DQ118*DQ117)),0,IF((DN117=FALSE),IF((DN118=FALSE),IF(ISNA(DM118),0,IF((DQ117&lt;DS$44),IF((DQ118&lt;DS$44),((DS$44-((DQ117+DQ118)*0.5))*DT118),(((DS$44-DQ117)*0.5)*DT118)),IF((DQ118&lt;DS$44),(((DS$44-DQ118)*0.5)*DT118),0))),0),0))</f>
        <v>0</v>
      </c>
      <c s="588" r="DV118">
        <f>IF(ISNA((DQ118*DQ117)),0,IF((DN117=FALSE),IF((DN118=FALSE),IF(ISNA(DQ118),0,IF((DQ117&lt;DS$44),IF((DQ118&lt;DS$44),(((DT118^2)+((DQ118-DQ117)^2))^0.5),(((DT118^2)+((DS$44-DQ117)^2))^0.5)),IF((DQ118&lt;DS$44),(((DT118^2)+((DS$44-DQ118)^2))^0.5),0))),0),0))</f>
        <v>0</v>
      </c>
      <c s="588" r="DW118">
        <f>IF(ISNUMBER((DQ118*DQ117)),IF((DQ117&gt;=DC$148),IF((DQ118&lt;DC$148),1,0),IF((DQ118&gt;=DC$148),IF((DQ117&lt;DC$148),1,0),0)),0)</f>
        <v>0</v>
      </c>
      <c s="588" r="DX118">
        <f>IF(ISNA((DQ118*DQ117)),0,(IF((DP118&lt;DP117),-1,1)*(IF(ISNA(DQ118),0,IF((DQ117&lt;DC$148),IF((DQ118&lt;DC$148),(((DP118-DP117)^2)^0.5),(((((DC$148-DQ117)*(DP118-DP117))/(DQ118-DQ117))^2)^0.5)),IF((DQ118&lt;DC$148),(((((DC$148-DQ118)*(DP118-DP117))/(DQ117-DQ118))^2)^0.5),0))))))</f>
        <v>0</v>
      </c>
      <c s="441" r="DY118">
        <f>IF((DU118&gt;0),(MAX(DY$47:DY117)+1),0)</f>
        <v>0</v>
      </c>
      <c s="388" r="DZ118"/>
      <c s="406" r="EA118"/>
      <c s="886" r="EB118"/>
      <c s="886" r="EC118"/>
      <c s="886" r="ED118"/>
      <c s="886" r="EE118"/>
      <c s="418" r="EF118"/>
      <c s="550" r="EG118"/>
      <c s="550" r="EH118"/>
      <c t="str" s="620" r="EI118">
        <f>IF((COUNT(EH118:EH$146,EJ118:EJ$146)=0),NA(),IF(ISBLANK(EH118),EI117,(EI117+(EH118-EJ117))))</f>
        <v>#N/A:explicit</v>
      </c>
      <c s="550" r="EJ118"/>
      <c t="str" s="620" r="EK118">
        <f>IF(OR(ISBLANK(EJ118),ISNUMBER(EH119)),NA(),(EI118-EJ118))</f>
        <v>#N/A:explicit</v>
      </c>
      <c t="b" s="895" r="EL118">
        <v>0</v>
      </c>
      <c s="631" r="EM118"/>
      <c t="str" s="309" r="EN118">
        <f>IF((COUNT(EG118:EG$146)=0),NA(),IF(ISBLANK(EG118),IF(ISBLANK(EG117),MAX(EG$46:EG118),EG117),EG118))</f>
        <v>#N/A:explicit</v>
      </c>
      <c t="str" s="861" r="EO118">
        <f>IF(ISNA(EK118),IF(ISNUMBER(EN118),EO117,NA()),EK118)</f>
        <v>#N/A:explicit</v>
      </c>
      <c s="861" r="EP118">
        <f>IF(ISNUMBER(EO118),EO118,(EI$46+1000))</f>
        <v>1000</v>
      </c>
      <c t="str" s="588" r="EQ118">
        <f>IF((EL118=TRUE),NA(),IF((EQ$44=(EI$46-MAX(EJ$46:EJ$146))),NA(),EQ$44))</f>
        <v>#N/A:explicit</v>
      </c>
      <c s="588" r="ER118">
        <f>IF((ISNA(((EO118*EN118)*EO117))),0,(IF((EN118&lt;EN117),-1,1)*(IF((EL117=FALSE),IF((EL118=FALSE),IF(ISNA(EO118),0,IF((EO117&lt;EQ$44),IF((EO118&lt;EQ$44),(((EN118-EN117)^2)^0.5),(((((EQ$44-EO117)*(EN118-EN117))/(EO118-EO117))^2)^0.5)),IF((EO118&lt;EQ$44),(((((EQ$44-EO118)*(EN118-EN117))/(EO117-EO118))^2)^0.5),0))),0),0))))</f>
        <v>0</v>
      </c>
      <c s="588" r="ES118">
        <f>IF(ISNA((EO118*EO117)),0,IF((EL117=FALSE),IF((EL118=FALSE),IF(ISNA(EK118),0,IF((EO117&lt;EQ$44),IF((EO118&lt;EQ$44),((EQ$44-((EO117+EO118)*0.5))*ER118),(((EQ$44-EO117)*0.5)*ER118)),IF((EO118&lt;EQ$44),(((EQ$44-EO118)*0.5)*ER118),0))),0),0))</f>
        <v>0</v>
      </c>
      <c s="588" r="ET118">
        <f>IF(ISNA((EO118*EO117)),0,IF((EL117=FALSE),IF((EL118=FALSE),IF(ISNA(EO118),0,IF((EO117&lt;EQ$44),IF((EO118&lt;EQ$44),(((ER118^2)+((EO118-EO117)^2))^0.5),(((ER118^2)+((EQ$44-EO117)^2))^0.5)),IF((EO118&lt;EQ$44),(((ER118^2)+((EQ$44-EO118)^2))^0.5),0))),0),0))</f>
        <v>0</v>
      </c>
      <c s="588" r="EU118">
        <f>IF(ISNUMBER((EO118*EO117)),IF((EO117&gt;=EA$148),IF((EO118&lt;EA$148),1,0),IF((EO118&gt;=EA$148),IF((EO117&lt;EA$148),1,0),0)),0)</f>
        <v>0</v>
      </c>
      <c s="588" r="EV118">
        <f>IF(ISNA((EO118*EO117)),0,(IF((EN118&lt;EN117),-1,1)*(IF(ISNA(EO118),0,IF((EO117&lt;EA$148),IF((EO118&lt;EA$148),(((EN118-EN117)^2)^0.5),(((((EA$148-EO117)*(EN118-EN117))/(EO118-EO117))^2)^0.5)),IF((EO118&lt;EA$148),(((((EA$148-EO118)*(EN118-EN117))/(EO117-EO118))^2)^0.5),0))))))</f>
        <v>0</v>
      </c>
      <c s="441" r="EW118">
        <f>IF((ES118&gt;0),(MAX(EW$47:EW117)+1),0)</f>
        <v>0</v>
      </c>
      <c s="388" r="EX118"/>
      <c s="406" r="EY118"/>
      <c s="886" r="EZ118"/>
      <c s="886" r="FA118"/>
      <c s="886" r="FB118"/>
      <c s="886" r="FC118"/>
      <c s="418" r="FD118"/>
      <c s="550" r="FE118"/>
      <c s="550" r="FF118"/>
      <c t="str" s="620" r="FG118">
        <f>IF((COUNT(FF118:FF$146,FH118:FH$146)=0),NA(),IF(ISBLANK(FF118),FG117,(FG117+(FF118-FH117))))</f>
        <v>#N/A:explicit</v>
      </c>
      <c s="550" r="FH118"/>
      <c t="str" s="620" r="FI118">
        <f>IF(OR(ISBLANK(FH118),ISNUMBER(FF119)),NA(),(FG118-FH118))</f>
        <v>#N/A:explicit</v>
      </c>
      <c t="b" s="895" r="FJ118">
        <v>0</v>
      </c>
      <c s="631" r="FK118"/>
      <c t="str" s="309" r="FL118">
        <f>IF((COUNT(FE118:FE$146)=0),NA(),IF(ISBLANK(FE118),IF(ISBLANK(FE117),MAX(FE$46:FE118),FE117),FE118))</f>
        <v>#N/A:explicit</v>
      </c>
      <c t="str" s="861" r="FM118">
        <f>IF(ISNA(FI118),IF(ISNUMBER(FL118),FM117,NA()),FI118)</f>
        <v>#N/A:explicit</v>
      </c>
      <c s="861" r="FN118">
        <f>IF(ISNUMBER(FM118),FM118,(FG$46+1000))</f>
        <v>1000</v>
      </c>
      <c t="str" s="588" r="FO118">
        <f>IF((FJ118=TRUE),NA(),IF((FO$44=(FG$46-MAX(FH$46:FH$146))),NA(),FO$44))</f>
        <v>#N/A:explicit</v>
      </c>
      <c s="588" r="FP118">
        <f>IF((ISNA(((FM118*FL118)*FM117))),0,(IF((FL118&lt;FL117),-1,1)*(IF((FJ117=FALSE),IF((FJ118=FALSE),IF(ISNA(FM118),0,IF((FM117&lt;FO$44),IF((FM118&lt;FO$44),(((FL118-FL117)^2)^0.5),(((((FO$44-FM117)*(FL118-FL117))/(FM118-FM117))^2)^0.5)),IF((FM118&lt;FO$44),(((((FO$44-FM118)*(FL118-FL117))/(FM117-FM118))^2)^0.5),0))),0),0))))</f>
        <v>0</v>
      </c>
      <c s="588" r="FQ118">
        <f>IF(ISNA((FM118*FM117)),0,IF((FJ117=FALSE),IF((FJ118=FALSE),IF(ISNA(FI118),0,IF((FM117&lt;FO$44),IF((FM118&lt;FO$44),((FO$44-((FM117+FM118)*0.5))*FP118),(((FO$44-FM117)*0.5)*FP118)),IF((FM118&lt;FO$44),(((FO$44-FM118)*0.5)*FP118),0))),0),0))</f>
        <v>0</v>
      </c>
      <c s="588" r="FR118">
        <f>IF(ISNA((FM118*FM117)),0,IF((FJ117=FALSE),IF((FJ118=FALSE),IF(ISNA(FM118),0,IF((FM117&lt;FO$44),IF((FM118&lt;FO$44),(((FP118^2)+((FM118-FM117)^2))^0.5),(((FP118^2)+((FO$44-FM117)^2))^0.5)),IF((FM118&lt;FO$44),(((FP118^2)+((FO$44-FM118)^2))^0.5),0))),0),0))</f>
        <v>0</v>
      </c>
      <c s="588" r="FS118">
        <f>IF(ISNUMBER((FM118*FM117)),IF((FM117&gt;=EY$148),IF((FM118&lt;EY$148),1,0),IF((FM118&gt;=EY$148),IF((FM117&lt;EY$148),1,0),0)),0)</f>
        <v>0</v>
      </c>
      <c s="588" r="FT118">
        <f>IF(ISNA((FM118*FM117)),0,(IF((FL118&lt;FL117),-1,1)*(IF(ISNA(FM118),0,IF((FM117&lt;EY$148),IF((FM118&lt;EY$148),(((FL118-FL117)^2)^0.5),(((((EY$148-FM117)*(FL118-FL117))/(FM118-FM117))^2)^0.5)),IF((FM118&lt;EY$148),(((((EY$148-FM118)*(FL118-FL117))/(FM117-FM118))^2)^0.5),0))))))</f>
        <v>0</v>
      </c>
      <c s="441" r="FU118">
        <f>IF((FQ118&gt;0),(MAX(FU$47:FU117)+1),0)</f>
        <v>0</v>
      </c>
      <c s="222" r="FV118"/>
      <c s="125" r="FW118"/>
      <c s="125" r="FX118"/>
      <c s="125" r="FY118"/>
      <c s="125" r="FZ118"/>
      <c s="125" r="GA118"/>
      <c s="125" r="GB118"/>
      <c s="125" r="GC118"/>
      <c s="125" r="GD118"/>
      <c s="125" r="GE118"/>
      <c s="125" r="GF118"/>
      <c s="125" r="GG118"/>
      <c s="125" r="GH118"/>
      <c s="125" r="GI118"/>
      <c s="125" r="GJ118"/>
      <c s="125" r="GK118"/>
      <c s="125" r="GL118"/>
      <c s="125" r="GM118"/>
      <c s="125" r="GN118"/>
      <c s="125" r="GO118"/>
      <c s="125" r="GP118"/>
      <c s="125" r="GQ118"/>
      <c s="125" r="GR118"/>
      <c s="125" r="GS118"/>
      <c s="125" r="GT118"/>
      <c s="125" r="GU118"/>
      <c s="125" r="GV118"/>
      <c s="125" r="GW118"/>
      <c s="125" r="GX118"/>
      <c s="125" r="GY118"/>
      <c s="125" r="GZ118"/>
      <c s="125" r="HA118"/>
      <c s="125" r="HB118"/>
    </row>
    <row r="119">
      <c s="822" r="A119"/>
      <c s="908" r="B119"/>
      <c s="551" r="C119"/>
      <c s="551" r="D119"/>
      <c t="s" s="812" r="E119">
        <v>111</v>
      </c>
      <c t="str" s="719" r="F119">
        <f>IF(ISNUMBER(F113),IF((V148=2),((T36/(((2650-1000)*9.81)*0.06))*1000),((T36/(((5.15-1.94)*32.2)*0.06))*304.8)),"---")</f>
        <v>---</v>
      </c>
      <c t="str" s="506" r="G119">
        <f>IF(AND(ISTEXT('Dimension Estimated Values'!Y6),ISTEXT('Dimension Estimated Values'!Y7)),"---",(((("("&amp;ROUND('Dimension Estimated Values'!Y6,0))&amp;"-")&amp;ROUND('Dimension Estimated Values'!Y7,0))&amp;")"))</f>
        <v>---</v>
      </c>
      <c s="224" r="H119"/>
      <c t="s" s="51" r="I119">
        <v>2</v>
      </c>
      <c s="822" r="J119"/>
      <c s="406" r="K119"/>
      <c s="886" r="L119"/>
      <c s="886" r="M119"/>
      <c s="886" r="N119"/>
      <c s="886" r="O119"/>
      <c s="418" r="P119"/>
      <c s="550" r="Q119"/>
      <c s="550" r="R119"/>
      <c t="str" s="620" r="S119">
        <f>IF((COUNT(R119:R$146,T119:T$146)=0),NA(),IF(ISBLANK(R119),S118,(S118+(R119-T118))))</f>
        <v>#N/A:explicit</v>
      </c>
      <c s="550" r="T119"/>
      <c t="str" s="620" r="U119">
        <f>IF(OR(ISBLANK(T119),ISNUMBER(R120)),NA(),(S119-T119))</f>
        <v>#N/A:explicit</v>
      </c>
      <c t="b" s="895" r="V119">
        <v>0</v>
      </c>
      <c s="631" r="W119"/>
      <c t="str" s="309" r="X119">
        <f>IF((COUNT(Q119:Q$146)=0),NA(),IF(ISBLANK(Q119),IF(ISBLANK(Q118),MAX(Q$46:Q119),Q118),Q119))</f>
        <v>#N/A:explicit</v>
      </c>
      <c t="str" s="861" r="Y119">
        <f>IF(ISNA(U119),IF(ISNUMBER(X119),Y118,NA()),U119)</f>
        <v>#N/A:explicit</v>
      </c>
      <c s="861" r="Z119">
        <f>IF(ISNUMBER(Y119),Y119,(S$46+1000))</f>
        <v>1000</v>
      </c>
      <c t="str" s="588" r="AA119">
        <f>IF((V119=TRUE),NA(),IF((AA$44=(S$46-MAX(T$46:T$146))),NA(),AA$44))</f>
        <v>#N/A:explicit</v>
      </c>
      <c s="588" r="AB119">
        <f>IF((ISNA(((Y119*X119)*Y118))),0,(IF((X119&lt;X118),-1,1)*(IF((V118=FALSE),IF((V119=FALSE),IF(ISNA(Y119),0,IF((Y118&lt;AA$44),IF((Y119&lt;AA$44),(((X119-X118)^2)^0.5),(((((AA$44-Y118)*(X119-X118))/(Y119-Y118))^2)^0.5)),IF((Y119&lt;AA$44),(((((AA$44-Y119)*(X119-X118))/(Y118-Y119))^2)^0.5),0))),0),0))))</f>
        <v>0</v>
      </c>
      <c s="588" r="AC119">
        <f>IF(ISNA((Y119*Y118)),0,IF((V118=FALSE),IF((V119=FALSE),IF(ISNA(U119),0,IF((Y118&lt;AA$44),IF((Y119&lt;AA$44),((AA$44-((Y118+Y119)*0.5))*AB119),(((AA$44-Y118)*0.5)*AB119)),IF((Y119&lt;AA$44),(((AA$44-Y119)*0.5)*AB119),0))),0),0))</f>
        <v>0</v>
      </c>
      <c s="588" r="AD119">
        <f>IF(ISNA((Y119*Y118)),0,IF((V118=FALSE),IF((V119=FALSE),IF(ISNA(Y119),0,IF((Y118&lt;AA$44),IF((Y119&lt;AA$44),(((AB119^2)+((Y119-Y118)^2))^0.5),(((AB119^2)+((AA$44-Y118)^2))^0.5)),IF((Y119&lt;AA$44),(((AB119^2)+((AA$44-Y119)^2))^0.5),0))),0),0))</f>
        <v>0</v>
      </c>
      <c s="588" r="AE119">
        <f>IF(ISNUMBER((Y119*Y118)),IF((Y118&gt;=K$148),IF((Y119&lt;K$148),1,0),IF((Y119&gt;=K$148),IF((Y118&lt;K$148),1,0),0)),0)</f>
        <v>0</v>
      </c>
      <c s="588" r="AF119">
        <f>IF(ISNA((Y119*Y118)),0,(IF((X119&lt;X118),-1,1)*(IF(ISNA(Y119),0,IF((Y118&lt;K$148),IF((Y119&lt;K$148),(((X119-X118)^2)^0.5),(((((K$148-Y118)*(X119-X118))/(Y119-Y118))^2)^0.5)),IF((Y119&lt;K$148),(((((K$148-Y119)*(X119-X118))/(Y118-Y119))^2)^0.5),0))))))</f>
        <v>0</v>
      </c>
      <c s="441" r="AG119">
        <f>IF((AC119&gt;0),(MAX(AG$47:AG118)+1),0)</f>
        <v>0</v>
      </c>
      <c s="388" r="AH119"/>
      <c s="406" r="AI119"/>
      <c s="886" r="AJ119"/>
      <c s="886" r="AK119"/>
      <c s="886" r="AL119"/>
      <c s="886" r="AM119"/>
      <c s="418" r="AN119"/>
      <c s="550" r="AO119"/>
      <c s="550" r="AP119"/>
      <c t="str" s="620" r="AQ119">
        <f>IF((COUNT(AP119:AP$146,AR119:AR$146)=0),NA(),IF(ISBLANK(AP119),AQ118,(AQ118+(AP119-AR118))))</f>
        <v>#N/A:explicit</v>
      </c>
      <c s="550" r="AR119"/>
      <c t="str" s="620" r="AS119">
        <f>IF(OR(ISBLANK(AR119),ISNUMBER(AP120)),NA(),(AQ119-AR119))</f>
        <v>#N/A:explicit</v>
      </c>
      <c t="b" s="895" r="AT119">
        <v>0</v>
      </c>
      <c s="631" r="AU119"/>
      <c t="str" s="309" r="AV119">
        <f>IF((COUNT(AO119:AO$146)=0),NA(),IF(ISBLANK(AO119),IF(ISBLANK(AO118),MAX(AO$46:AO119),AO118),AO119))</f>
        <v>#N/A:explicit</v>
      </c>
      <c t="str" s="861" r="AW119">
        <f>IF(ISNA(AS119),IF(ISNUMBER(AV119),AW118,NA()),AS119)</f>
        <v>#N/A:explicit</v>
      </c>
      <c s="861" r="AX119">
        <f>IF(ISNUMBER(AW119),AW119,(AQ$46+1000))</f>
        <v>1000</v>
      </c>
      <c t="str" s="588" r="AY119">
        <f>IF((AT119=TRUE),NA(),IF((AY$44=(AQ$46-MAX(AR$46:AR$146))),NA(),AY$44))</f>
        <v>#N/A:explicit</v>
      </c>
      <c s="588" r="AZ119">
        <f>IF((ISNA(((AW119*AV119)*AW118))),0,(IF((AV119&lt;AV118),-1,1)*(IF((AT118=FALSE),IF((AT119=FALSE),IF(ISNA(AW119),0,IF((AW118&lt;AY$44),IF((AW119&lt;AY$44),(((AV119-AV118)^2)^0.5),(((((AY$44-AW118)*(AV119-AV118))/(AW119-AW118))^2)^0.5)),IF((AW119&lt;AY$44),(((((AY$44-AW119)*(AV119-AV118))/(AW118-AW119))^2)^0.5),0))),0),0))))</f>
        <v>0</v>
      </c>
      <c s="588" r="BA119">
        <f>IF(ISNA((AW119*AW118)),0,IF((AT118=FALSE),IF((AT119=FALSE),IF(ISNA(AS119),0,IF((AW118&lt;AY$44),IF((AW119&lt;AY$44),((AY$44-((AW118+AW119)*0.5))*AZ119),(((AY$44-AW118)*0.5)*AZ119)),IF((AW119&lt;AY$44),(((AY$44-AW119)*0.5)*AZ119),0))),0),0))</f>
        <v>0</v>
      </c>
      <c s="588" r="BB119">
        <f>IF(ISNA((AW119*AW118)),0,IF((AT118=FALSE),IF((AT119=FALSE),IF(ISNA(AW119),0,IF((AW118&lt;AY$44),IF((AW119&lt;AY$44),(((AZ119^2)+((AW119-AW118)^2))^0.5),(((AZ119^2)+((AY$44-AW118)^2))^0.5)),IF((AW119&lt;AY$44),(((AZ119^2)+((AY$44-AW119)^2))^0.5),0))),0),0))</f>
        <v>0</v>
      </c>
      <c s="588" r="BC119">
        <f>IF(ISNUMBER((AW119*AW118)),IF((AW118&gt;=AI$148),IF((AW119&lt;AI$148),1,0),IF((AW119&gt;=AI$148),IF((AW118&lt;AI$148),1,0),0)),0)</f>
        <v>0</v>
      </c>
      <c s="588" r="BD119">
        <f>IF(ISNA((AW119*AW118)),0,(IF((AV119&lt;AV118),-1,1)*(IF(ISNA(AW119),0,IF((AW118&lt;AI$148),IF((AW119&lt;AI$148),(((AV119-AV118)^2)^0.5),(((((AI$148-AW118)*(AV119-AV118))/(AW119-AW118))^2)^0.5)),IF((AW119&lt;AI$148),(((((AI$148-AW119)*(AV119-AV118))/(AW118-AW119))^2)^0.5),0))))))</f>
        <v>0</v>
      </c>
      <c s="441" r="BE119">
        <f>IF((BA119&gt;0),(MAX(BE$47:BE118)+1),0)</f>
        <v>0</v>
      </c>
      <c s="388" r="BF119"/>
      <c s="406" r="BG119"/>
      <c s="886" r="BH119"/>
      <c s="886" r="BI119"/>
      <c s="886" r="BJ119"/>
      <c s="886" r="BK119"/>
      <c s="418" r="BL119"/>
      <c s="550" r="BM119"/>
      <c s="550" r="BN119"/>
      <c t="str" s="620" r="BO119">
        <f>IF((COUNT(BN119:BN$146,BP119:BP$146)=0),NA(),IF(ISBLANK(BN119),BO118,(BO118+(BN119-BP118))))</f>
        <v>#N/A:explicit</v>
      </c>
      <c s="550" r="BP119"/>
      <c t="str" s="620" r="BQ119">
        <f>IF(OR(ISBLANK(BP119),ISNUMBER(BN120)),NA(),(BO119-BP119))</f>
        <v>#N/A:explicit</v>
      </c>
      <c t="b" s="895" r="BR119">
        <v>0</v>
      </c>
      <c s="631" r="BS119"/>
      <c t="str" s="309" r="BT119">
        <f>IF((COUNT(BM119:BM$146)=0),NA(),IF(ISBLANK(BM119),IF(ISBLANK(BM118),MAX(BM$46:BM119),BM118),BM119))</f>
        <v>#N/A:explicit</v>
      </c>
      <c t="str" s="861" r="BU119">
        <f>IF(ISNA(BQ119),IF(ISNUMBER(BT119),BU118,NA()),BQ119)</f>
        <v>#N/A:explicit</v>
      </c>
      <c s="861" r="BV119">
        <f>IF(ISNUMBER(BU119),BU119,(BO$46+1000))</f>
        <v>1000</v>
      </c>
      <c t="str" s="588" r="BW119">
        <f>IF((BR119=TRUE),NA(),IF((BW$44=(BO$46-MAX(BP$46:BP$146))),NA(),BW$44))</f>
        <v>#N/A:explicit</v>
      </c>
      <c s="588" r="BX119">
        <f>IF((ISNA(((BU119*BT119)*BU118))),0,(IF((BT119&lt;BT118),-1,1)*(IF((BR118=FALSE),IF((BR119=FALSE),IF(ISNA(BU119),0,IF((BU118&lt;BW$44),IF((BU119&lt;BW$44),(((BT119-BT118)^2)^0.5),(((((BW$44-BU118)*(BT119-BT118))/(BU119-BU118))^2)^0.5)),IF((BU119&lt;BW$44),(((((BW$44-BU119)*(BT119-BT118))/(BU118-BU119))^2)^0.5),0))),0),0))))</f>
        <v>0</v>
      </c>
      <c s="588" r="BY119">
        <f>IF(ISNA((BU119*BU118)),0,IF((BR118=FALSE),IF((BR119=FALSE),IF(ISNA(BQ119),0,IF((BU118&lt;BW$44),IF((BU119&lt;BW$44),((BW$44-((BU118+BU119)*0.5))*BX119),(((BW$44-BU118)*0.5)*BX119)),IF((BU119&lt;BW$44),(((BW$44-BU119)*0.5)*BX119),0))),0),0))</f>
        <v>0</v>
      </c>
      <c s="588" r="BZ119">
        <f>IF(ISNA((BU119*BU118)),0,IF((BR118=FALSE),IF((BR119=FALSE),IF(ISNA(BU119),0,IF((BU118&lt;BW$44),IF((BU119&lt;BW$44),(((BX119^2)+((BU119-BU118)^2))^0.5),(((BX119^2)+((BW$44-BU118)^2))^0.5)),IF((BU119&lt;BW$44),(((BX119^2)+((BW$44-BU119)^2))^0.5),0))),0),0))</f>
        <v>0</v>
      </c>
      <c s="588" r="CA119">
        <f>IF(ISNUMBER((BU119*BU118)),IF((BU118&gt;=BG$148),IF((BU119&lt;BG$148),1,0),IF((BU119&gt;=BG$148),IF((BU118&lt;BG$148),1,0),0)),0)</f>
        <v>0</v>
      </c>
      <c s="588" r="CB119">
        <f>IF(ISNA((BU119*BU118)),0,(IF((BT119&lt;BT118),-1,1)*(IF(ISNA(BU119),0,IF((BU118&lt;BG$148),IF((BU119&lt;BG$148),(((BT119-BT118)^2)^0.5),(((((BG$148-BU118)*(BT119-BT118))/(BU119-BU118))^2)^0.5)),IF((BU119&lt;BG$148),(((((BG$148-BU119)*(BT119-BT118))/(BU118-BU119))^2)^0.5),0))))))</f>
        <v>0</v>
      </c>
      <c s="441" r="CC119">
        <f>IF((BY119&gt;0),(MAX(CC$47:CC118)+1),0)</f>
        <v>0</v>
      </c>
      <c s="388" r="CD119"/>
      <c s="406" r="CE119"/>
      <c s="886" r="CF119"/>
      <c s="886" r="CG119"/>
      <c s="886" r="CH119"/>
      <c s="886" r="CI119"/>
      <c s="418" r="CJ119"/>
      <c s="550" r="CK119"/>
      <c s="550" r="CL119"/>
      <c t="str" s="620" r="CM119">
        <f>IF((COUNT(CL119:CL$146,CN119:CN$146)=0),NA(),IF(ISBLANK(CL119),CM118,(CM118+(CL119-CN118))))</f>
        <v>#N/A:explicit</v>
      </c>
      <c s="550" r="CN119"/>
      <c t="str" s="620" r="CO119">
        <f>IF(OR(ISBLANK(CN119),ISNUMBER(CL120)),NA(),(CM119-CN119))</f>
        <v>#N/A:explicit</v>
      </c>
      <c t="b" s="895" r="CP119">
        <v>0</v>
      </c>
      <c s="631" r="CQ119"/>
      <c t="str" s="309" r="CR119">
        <f>IF((COUNT(CK119:CK$146)=0),NA(),IF(ISBLANK(CK119),IF(ISBLANK(CK118),MAX(CK$46:CK119),CK118),CK119))</f>
        <v>#N/A:explicit</v>
      </c>
      <c t="str" s="861" r="CS119">
        <f>IF(ISNA(CO119),IF(ISNUMBER(CR119),CS118,NA()),CO119)</f>
        <v>#N/A:explicit</v>
      </c>
      <c s="861" r="CT119">
        <f>IF(ISNUMBER(CS119),CS119,(CM$46+1000))</f>
        <v>1000</v>
      </c>
      <c t="str" s="588" r="CU119">
        <f>IF((CP119=TRUE),NA(),IF((CU$44=(CM$46-MAX(CN$46:CN$146))),NA(),CU$44))</f>
        <v>#N/A:explicit</v>
      </c>
      <c s="588" r="CV119">
        <f>IF((ISNA(((CS119*CR119)*CS118))),0,(IF((CR119&lt;CR118),-1,1)*(IF((CP118=FALSE),IF((CP119=FALSE),IF(ISNA(CS119),0,IF((CS118&lt;CU$44),IF((CS119&lt;CU$44),(((CR119-CR118)^2)^0.5),(((((CU$44-CS118)*(CR119-CR118))/(CS119-CS118))^2)^0.5)),IF((CS119&lt;CU$44),(((((CU$44-CS119)*(CR119-CR118))/(CS118-CS119))^2)^0.5),0))),0),0))))</f>
        <v>0</v>
      </c>
      <c s="588" r="CW119">
        <f>IF(ISNA((CS119*CS118)),0,IF((CP118=FALSE),IF((CP119=FALSE),IF(ISNA(CO119),0,IF((CS118&lt;CU$44),IF((CS119&lt;CU$44),((CU$44-((CS118+CS119)*0.5))*CV119),(((CU$44-CS118)*0.5)*CV119)),IF((CS119&lt;CU$44),(((CU$44-CS119)*0.5)*CV119),0))),0),0))</f>
        <v>0</v>
      </c>
      <c s="588" r="CX119">
        <f>IF(ISNA((CS119*CS118)),0,IF((CP118=FALSE),IF((CP119=FALSE),IF(ISNA(CS119),0,IF((CS118&lt;CU$44),IF((CS119&lt;CU$44),(((CV119^2)+((CS119-CS118)^2))^0.5),(((CV119^2)+((CU$44-CS118)^2))^0.5)),IF((CS119&lt;CU$44),(((CV119^2)+((CU$44-CS119)^2))^0.5),0))),0),0))</f>
        <v>0</v>
      </c>
      <c s="588" r="CY119">
        <f>IF(ISNUMBER((CS119*CS118)),IF((CS118&gt;=CE$148),IF((CS119&lt;CE$148),1,0),IF((CS119&gt;=CE$148),IF((CS118&lt;CE$148),1,0),0)),0)</f>
        <v>0</v>
      </c>
      <c s="588" r="CZ119">
        <f>IF(ISNA((CS119*CS118)),0,(IF((CR119&lt;CR118),-1,1)*(IF(ISNA(CS119),0,IF((CS118&lt;CE$148),IF((CS119&lt;CE$148),(((CR119-CR118)^2)^0.5),(((((CE$148-CS118)*(CR119-CR118))/(CS119-CS118))^2)^0.5)),IF((CS119&lt;CE$148),(((((CE$148-CS119)*(CR119-CR118))/(CS118-CS119))^2)^0.5),0))))))</f>
        <v>0</v>
      </c>
      <c s="441" r="DA119">
        <f>IF((CW119&gt;0),(MAX(DA$47:DA118)+1),0)</f>
        <v>0</v>
      </c>
      <c s="388" r="DB119"/>
      <c s="406" r="DC119"/>
      <c s="886" r="DD119"/>
      <c s="886" r="DE119"/>
      <c s="886" r="DF119"/>
      <c s="886" r="DG119"/>
      <c s="418" r="DH119"/>
      <c s="550" r="DI119"/>
      <c s="550" r="DJ119"/>
      <c t="str" s="620" r="DK119">
        <f>IF((COUNT(DJ119:DJ$146,DL119:DL$146)=0),NA(),IF(ISBLANK(DJ119),DK118,(DK118+(DJ119-DL118))))</f>
        <v>#N/A:explicit</v>
      </c>
      <c s="550" r="DL119"/>
      <c t="str" s="620" r="DM119">
        <f>IF(OR(ISBLANK(DL119),ISNUMBER(DJ120)),NA(),(DK119-DL119))</f>
        <v>#N/A:explicit</v>
      </c>
      <c t="b" s="895" r="DN119">
        <v>0</v>
      </c>
      <c s="631" r="DO119"/>
      <c t="str" s="309" r="DP119">
        <f>IF((COUNT(DI119:DI$146)=0),NA(),IF(ISBLANK(DI119),IF(ISBLANK(DI118),MAX(DI$46:DI119),DI118),DI119))</f>
        <v>#N/A:explicit</v>
      </c>
      <c t="str" s="861" r="DQ119">
        <f>IF(ISNA(DM119),IF(ISNUMBER(DP119),DQ118,NA()),DM119)</f>
        <v>#N/A:explicit</v>
      </c>
      <c s="861" r="DR119">
        <f>IF(ISNUMBER(DQ119),DQ119,(DK$46+1000))</f>
        <v>1000</v>
      </c>
      <c t="str" s="588" r="DS119">
        <f>IF((DN119=TRUE),NA(),IF((DS$44=(DK$46-MAX(DL$46:DL$146))),NA(),DS$44))</f>
        <v>#N/A:explicit</v>
      </c>
      <c s="588" r="DT119">
        <f>IF((ISNA(((DQ119*DP119)*DQ118))),0,(IF((DP119&lt;DP118),-1,1)*(IF((DN118=FALSE),IF((DN119=FALSE),IF(ISNA(DQ119),0,IF((DQ118&lt;DS$44),IF((DQ119&lt;DS$44),(((DP119-DP118)^2)^0.5),(((((DS$44-DQ118)*(DP119-DP118))/(DQ119-DQ118))^2)^0.5)),IF((DQ119&lt;DS$44),(((((DS$44-DQ119)*(DP119-DP118))/(DQ118-DQ119))^2)^0.5),0))),0),0))))</f>
        <v>0</v>
      </c>
      <c s="588" r="DU119">
        <f>IF(ISNA((DQ119*DQ118)),0,IF((DN118=FALSE),IF((DN119=FALSE),IF(ISNA(DM119),0,IF((DQ118&lt;DS$44),IF((DQ119&lt;DS$44),((DS$44-((DQ118+DQ119)*0.5))*DT119),(((DS$44-DQ118)*0.5)*DT119)),IF((DQ119&lt;DS$44),(((DS$44-DQ119)*0.5)*DT119),0))),0),0))</f>
        <v>0</v>
      </c>
      <c s="588" r="DV119">
        <f>IF(ISNA((DQ119*DQ118)),0,IF((DN118=FALSE),IF((DN119=FALSE),IF(ISNA(DQ119),0,IF((DQ118&lt;DS$44),IF((DQ119&lt;DS$44),(((DT119^2)+((DQ119-DQ118)^2))^0.5),(((DT119^2)+((DS$44-DQ118)^2))^0.5)),IF((DQ119&lt;DS$44),(((DT119^2)+((DS$44-DQ119)^2))^0.5),0))),0),0))</f>
        <v>0</v>
      </c>
      <c s="588" r="DW119">
        <f>IF(ISNUMBER((DQ119*DQ118)),IF((DQ118&gt;=DC$148),IF((DQ119&lt;DC$148),1,0),IF((DQ119&gt;=DC$148),IF((DQ118&lt;DC$148),1,0),0)),0)</f>
        <v>0</v>
      </c>
      <c s="588" r="DX119">
        <f>IF(ISNA((DQ119*DQ118)),0,(IF((DP119&lt;DP118),-1,1)*(IF(ISNA(DQ119),0,IF((DQ118&lt;DC$148),IF((DQ119&lt;DC$148),(((DP119-DP118)^2)^0.5),(((((DC$148-DQ118)*(DP119-DP118))/(DQ119-DQ118))^2)^0.5)),IF((DQ119&lt;DC$148),(((((DC$148-DQ119)*(DP119-DP118))/(DQ118-DQ119))^2)^0.5),0))))))</f>
        <v>0</v>
      </c>
      <c s="441" r="DY119">
        <f>IF((DU119&gt;0),(MAX(DY$47:DY118)+1),0)</f>
        <v>0</v>
      </c>
      <c s="388" r="DZ119"/>
      <c s="406" r="EA119"/>
      <c s="886" r="EB119"/>
      <c s="886" r="EC119"/>
      <c s="886" r="ED119"/>
      <c s="886" r="EE119"/>
      <c s="418" r="EF119"/>
      <c s="550" r="EG119"/>
      <c s="550" r="EH119"/>
      <c t="str" s="620" r="EI119">
        <f>IF((COUNT(EH119:EH$146,EJ119:EJ$146)=0),NA(),IF(ISBLANK(EH119),EI118,(EI118+(EH119-EJ118))))</f>
        <v>#N/A:explicit</v>
      </c>
      <c s="550" r="EJ119"/>
      <c t="str" s="620" r="EK119">
        <f>IF(OR(ISBLANK(EJ119),ISNUMBER(EH120)),NA(),(EI119-EJ119))</f>
        <v>#N/A:explicit</v>
      </c>
      <c t="b" s="895" r="EL119">
        <v>0</v>
      </c>
      <c s="631" r="EM119"/>
      <c t="str" s="309" r="EN119">
        <f>IF((COUNT(EG119:EG$146)=0),NA(),IF(ISBLANK(EG119),IF(ISBLANK(EG118),MAX(EG$46:EG119),EG118),EG119))</f>
        <v>#N/A:explicit</v>
      </c>
      <c t="str" s="861" r="EO119">
        <f>IF(ISNA(EK119),IF(ISNUMBER(EN119),EO118,NA()),EK119)</f>
        <v>#N/A:explicit</v>
      </c>
      <c s="861" r="EP119">
        <f>IF(ISNUMBER(EO119),EO119,(EI$46+1000))</f>
        <v>1000</v>
      </c>
      <c t="str" s="588" r="EQ119">
        <f>IF((EL119=TRUE),NA(),IF((EQ$44=(EI$46-MAX(EJ$46:EJ$146))),NA(),EQ$44))</f>
        <v>#N/A:explicit</v>
      </c>
      <c s="588" r="ER119">
        <f>IF((ISNA(((EO119*EN119)*EO118))),0,(IF((EN119&lt;EN118),-1,1)*(IF((EL118=FALSE),IF((EL119=FALSE),IF(ISNA(EO119),0,IF((EO118&lt;EQ$44),IF((EO119&lt;EQ$44),(((EN119-EN118)^2)^0.5),(((((EQ$44-EO118)*(EN119-EN118))/(EO119-EO118))^2)^0.5)),IF((EO119&lt;EQ$44),(((((EQ$44-EO119)*(EN119-EN118))/(EO118-EO119))^2)^0.5),0))),0),0))))</f>
        <v>0</v>
      </c>
      <c s="588" r="ES119">
        <f>IF(ISNA((EO119*EO118)),0,IF((EL118=FALSE),IF((EL119=FALSE),IF(ISNA(EK119),0,IF((EO118&lt;EQ$44),IF((EO119&lt;EQ$44),((EQ$44-((EO118+EO119)*0.5))*ER119),(((EQ$44-EO118)*0.5)*ER119)),IF((EO119&lt;EQ$44),(((EQ$44-EO119)*0.5)*ER119),0))),0),0))</f>
        <v>0</v>
      </c>
      <c s="588" r="ET119">
        <f>IF(ISNA((EO119*EO118)),0,IF((EL118=FALSE),IF((EL119=FALSE),IF(ISNA(EO119),0,IF((EO118&lt;EQ$44),IF((EO119&lt;EQ$44),(((ER119^2)+((EO119-EO118)^2))^0.5),(((ER119^2)+((EQ$44-EO118)^2))^0.5)),IF((EO119&lt;EQ$44),(((ER119^2)+((EQ$44-EO119)^2))^0.5),0))),0),0))</f>
        <v>0</v>
      </c>
      <c s="588" r="EU119">
        <f>IF(ISNUMBER((EO119*EO118)),IF((EO118&gt;=EA$148),IF((EO119&lt;EA$148),1,0),IF((EO119&gt;=EA$148),IF((EO118&lt;EA$148),1,0),0)),0)</f>
        <v>0</v>
      </c>
      <c s="588" r="EV119">
        <f>IF(ISNA((EO119*EO118)),0,(IF((EN119&lt;EN118),-1,1)*(IF(ISNA(EO119),0,IF((EO118&lt;EA$148),IF((EO119&lt;EA$148),(((EN119-EN118)^2)^0.5),(((((EA$148-EO118)*(EN119-EN118))/(EO119-EO118))^2)^0.5)),IF((EO119&lt;EA$148),(((((EA$148-EO119)*(EN119-EN118))/(EO118-EO119))^2)^0.5),0))))))</f>
        <v>0</v>
      </c>
      <c s="441" r="EW119">
        <f>IF((ES119&gt;0),(MAX(EW$47:EW118)+1),0)</f>
        <v>0</v>
      </c>
      <c s="388" r="EX119"/>
      <c s="406" r="EY119"/>
      <c s="886" r="EZ119"/>
      <c s="886" r="FA119"/>
      <c s="886" r="FB119"/>
      <c s="886" r="FC119"/>
      <c s="418" r="FD119"/>
      <c s="550" r="FE119"/>
      <c s="550" r="FF119"/>
      <c t="str" s="620" r="FG119">
        <f>IF((COUNT(FF119:FF$146,FH119:FH$146)=0),NA(),IF(ISBLANK(FF119),FG118,(FG118+(FF119-FH118))))</f>
        <v>#N/A:explicit</v>
      </c>
      <c s="550" r="FH119"/>
      <c t="str" s="620" r="FI119">
        <f>IF(OR(ISBLANK(FH119),ISNUMBER(FF120)),NA(),(FG119-FH119))</f>
        <v>#N/A:explicit</v>
      </c>
      <c t="b" s="895" r="FJ119">
        <v>0</v>
      </c>
      <c s="631" r="FK119"/>
      <c t="str" s="309" r="FL119">
        <f>IF((COUNT(FE119:FE$146)=0),NA(),IF(ISBLANK(FE119),IF(ISBLANK(FE118),MAX(FE$46:FE119),FE118),FE119))</f>
        <v>#N/A:explicit</v>
      </c>
      <c t="str" s="861" r="FM119">
        <f>IF(ISNA(FI119),IF(ISNUMBER(FL119),FM118,NA()),FI119)</f>
        <v>#N/A:explicit</v>
      </c>
      <c s="861" r="FN119">
        <f>IF(ISNUMBER(FM119),FM119,(FG$46+1000))</f>
        <v>1000</v>
      </c>
      <c t="str" s="588" r="FO119">
        <f>IF((FJ119=TRUE),NA(),IF((FO$44=(FG$46-MAX(FH$46:FH$146))),NA(),FO$44))</f>
        <v>#N/A:explicit</v>
      </c>
      <c s="588" r="FP119">
        <f>IF((ISNA(((FM119*FL119)*FM118))),0,(IF((FL119&lt;FL118),-1,1)*(IF((FJ118=FALSE),IF((FJ119=FALSE),IF(ISNA(FM119),0,IF((FM118&lt;FO$44),IF((FM119&lt;FO$44),(((FL119-FL118)^2)^0.5),(((((FO$44-FM118)*(FL119-FL118))/(FM119-FM118))^2)^0.5)),IF((FM119&lt;FO$44),(((((FO$44-FM119)*(FL119-FL118))/(FM118-FM119))^2)^0.5),0))),0),0))))</f>
        <v>0</v>
      </c>
      <c s="588" r="FQ119">
        <f>IF(ISNA((FM119*FM118)),0,IF((FJ118=FALSE),IF((FJ119=FALSE),IF(ISNA(FI119),0,IF((FM118&lt;FO$44),IF((FM119&lt;FO$44),((FO$44-((FM118+FM119)*0.5))*FP119),(((FO$44-FM118)*0.5)*FP119)),IF((FM119&lt;FO$44),(((FO$44-FM119)*0.5)*FP119),0))),0),0))</f>
        <v>0</v>
      </c>
      <c s="588" r="FR119">
        <f>IF(ISNA((FM119*FM118)),0,IF((FJ118=FALSE),IF((FJ119=FALSE),IF(ISNA(FM119),0,IF((FM118&lt;FO$44),IF((FM119&lt;FO$44),(((FP119^2)+((FM119-FM118)^2))^0.5),(((FP119^2)+((FO$44-FM118)^2))^0.5)),IF((FM119&lt;FO$44),(((FP119^2)+((FO$44-FM119)^2))^0.5),0))),0),0))</f>
        <v>0</v>
      </c>
      <c s="588" r="FS119">
        <f>IF(ISNUMBER((FM119*FM118)),IF((FM118&gt;=EY$148),IF((FM119&lt;EY$148),1,0),IF((FM119&gt;=EY$148),IF((FM118&lt;EY$148),1,0),0)),0)</f>
        <v>0</v>
      </c>
      <c s="588" r="FT119">
        <f>IF(ISNA((FM119*FM118)),0,(IF((FL119&lt;FL118),-1,1)*(IF(ISNA(FM119),0,IF((FM118&lt;EY$148),IF((FM119&lt;EY$148),(((FL119-FL118)^2)^0.5),(((((EY$148-FM118)*(FL119-FL118))/(FM119-FM118))^2)^0.5)),IF((FM119&lt;EY$148),(((((EY$148-FM119)*(FL119-FL118))/(FM118-FM119))^2)^0.5),0))))))</f>
        <v>0</v>
      </c>
      <c s="441" r="FU119">
        <f>IF((FQ119&gt;0),(MAX(FU$47:FU118)+1),0)</f>
        <v>0</v>
      </c>
      <c s="222" r="FV119"/>
      <c s="125" r="FW119"/>
      <c s="125" r="FX119"/>
      <c s="125" r="FY119"/>
      <c s="125" r="FZ119"/>
      <c s="125" r="GA119"/>
      <c s="125" r="GB119"/>
      <c s="125" r="GC119"/>
      <c s="125" r="GD119"/>
      <c s="125" r="GE119"/>
      <c s="125" r="GF119"/>
      <c s="125" r="GG119"/>
      <c s="125" r="GH119"/>
      <c s="125" r="GI119"/>
      <c s="125" r="GJ119"/>
      <c s="125" r="GK119"/>
      <c s="125" r="GL119"/>
      <c s="125" r="GM119"/>
      <c s="125" r="GN119"/>
      <c s="125" r="GO119"/>
      <c s="125" r="GP119"/>
      <c s="125" r="GQ119"/>
      <c s="125" r="GR119"/>
      <c s="125" r="GS119"/>
      <c s="125" r="GT119"/>
      <c s="125" r="GU119"/>
      <c s="125" r="GV119"/>
      <c s="125" r="GW119"/>
      <c s="125" r="GX119"/>
      <c s="125" r="GY119"/>
      <c s="125" r="GZ119"/>
      <c s="125" r="HA119"/>
      <c s="125" r="HB119"/>
    </row>
    <row customHeight="1" r="120" ht="13.5">
      <c s="822" r="A120"/>
      <c s="20" r="B120"/>
      <c s="414" r="C120"/>
      <c s="414" r="D120"/>
      <c t="s" s="393" r="E120">
        <v>606</v>
      </c>
      <c t="str" s="325" r="F120">
        <f>IF(ISNUMBER((F113*Materials!E50)),(F113/IF((H4=2),((((2560-1000)*9.81)*Materials!E50)/1000),((((5.15-1.94)*32.2)*Materials!E50)/304.8))),"---")</f>
        <v>---</v>
      </c>
      <c s="24" r="G120"/>
      <c s="509" r="H120"/>
      <c s="51" r="I120"/>
      <c s="822" r="J120"/>
      <c s="406" r="K120"/>
      <c s="886" r="L120"/>
      <c s="886" r="M120"/>
      <c s="886" r="N120"/>
      <c s="886" r="O120"/>
      <c s="418" r="P120"/>
      <c s="550" r="Q120"/>
      <c s="550" r="R120"/>
      <c t="str" s="620" r="S120">
        <f>IF((COUNT(R120:R$146,T120:T$146)=0),NA(),IF(ISBLANK(R120),S119,(S119+(R120-T119))))</f>
        <v>#N/A:explicit</v>
      </c>
      <c s="550" r="T120"/>
      <c t="str" s="620" r="U120">
        <f>IF(OR(ISBLANK(T120),ISNUMBER(R121)),NA(),(S120-T120))</f>
        <v>#N/A:explicit</v>
      </c>
      <c t="b" s="895" r="V120">
        <v>0</v>
      </c>
      <c s="631" r="W120"/>
      <c t="str" s="309" r="X120">
        <f>IF((COUNT(Q120:Q$146)=0),NA(),IF(ISBLANK(Q120),IF(ISBLANK(Q119),MAX(Q$46:Q120),Q119),Q120))</f>
        <v>#N/A:explicit</v>
      </c>
      <c t="str" s="861" r="Y120">
        <f>IF(ISNA(U120),IF(ISNUMBER(X120),Y119,NA()),U120)</f>
        <v>#N/A:explicit</v>
      </c>
      <c s="861" r="Z120">
        <f>IF(ISNUMBER(Y120),Y120,(S$46+1000))</f>
        <v>1000</v>
      </c>
      <c t="str" s="588" r="AA120">
        <f>IF((V120=TRUE),NA(),IF((AA$44=(S$46-MAX(T$46:T$146))),NA(),AA$44))</f>
        <v>#N/A:explicit</v>
      </c>
      <c s="588" r="AB120">
        <f>IF((ISNA(((Y120*X120)*Y119))),0,(IF((X120&lt;X119),-1,1)*(IF((V119=FALSE),IF((V120=FALSE),IF(ISNA(Y120),0,IF((Y119&lt;AA$44),IF((Y120&lt;AA$44),(((X120-X119)^2)^0.5),(((((AA$44-Y119)*(X120-X119))/(Y120-Y119))^2)^0.5)),IF((Y120&lt;AA$44),(((((AA$44-Y120)*(X120-X119))/(Y119-Y120))^2)^0.5),0))),0),0))))</f>
        <v>0</v>
      </c>
      <c s="588" r="AC120">
        <f>IF(ISNA((Y120*Y119)),0,IF((V119=FALSE),IF((V120=FALSE),IF(ISNA(U120),0,IF((Y119&lt;AA$44),IF((Y120&lt;AA$44),((AA$44-((Y119+Y120)*0.5))*AB120),(((AA$44-Y119)*0.5)*AB120)),IF((Y120&lt;AA$44),(((AA$44-Y120)*0.5)*AB120),0))),0),0))</f>
        <v>0</v>
      </c>
      <c s="588" r="AD120">
        <f>IF(ISNA((Y120*Y119)),0,IF((V119=FALSE),IF((V120=FALSE),IF(ISNA(Y120),0,IF((Y119&lt;AA$44),IF((Y120&lt;AA$44),(((AB120^2)+((Y120-Y119)^2))^0.5),(((AB120^2)+((AA$44-Y119)^2))^0.5)),IF((Y120&lt;AA$44),(((AB120^2)+((AA$44-Y120)^2))^0.5),0))),0),0))</f>
        <v>0</v>
      </c>
      <c s="588" r="AE120">
        <f>IF(ISNUMBER((Y120*Y119)),IF((Y119&gt;=K$148),IF((Y120&lt;K$148),1,0),IF((Y120&gt;=K$148),IF((Y119&lt;K$148),1,0),0)),0)</f>
        <v>0</v>
      </c>
      <c s="588" r="AF120">
        <f>IF(ISNA((Y120*Y119)),0,(IF((X120&lt;X119),-1,1)*(IF(ISNA(Y120),0,IF((Y119&lt;K$148),IF((Y120&lt;K$148),(((X120-X119)^2)^0.5),(((((K$148-Y119)*(X120-X119))/(Y120-Y119))^2)^0.5)),IF((Y120&lt;K$148),(((((K$148-Y120)*(X120-X119))/(Y119-Y120))^2)^0.5),0))))))</f>
        <v>0</v>
      </c>
      <c s="441" r="AG120">
        <f>IF((AC120&gt;0),(MAX(AG$47:AG119)+1),0)</f>
        <v>0</v>
      </c>
      <c s="388" r="AH120"/>
      <c s="406" r="AI120"/>
      <c s="886" r="AJ120"/>
      <c s="886" r="AK120"/>
      <c s="886" r="AL120"/>
      <c s="886" r="AM120"/>
      <c s="418" r="AN120"/>
      <c s="550" r="AO120"/>
      <c s="550" r="AP120"/>
      <c t="str" s="620" r="AQ120">
        <f>IF((COUNT(AP120:AP$146,AR120:AR$146)=0),NA(),IF(ISBLANK(AP120),AQ119,(AQ119+(AP120-AR119))))</f>
        <v>#N/A:explicit</v>
      </c>
      <c s="550" r="AR120"/>
      <c t="str" s="620" r="AS120">
        <f>IF(OR(ISBLANK(AR120),ISNUMBER(AP121)),NA(),(AQ120-AR120))</f>
        <v>#N/A:explicit</v>
      </c>
      <c t="b" s="895" r="AT120">
        <v>0</v>
      </c>
      <c s="631" r="AU120"/>
      <c t="str" s="309" r="AV120">
        <f>IF((COUNT(AO120:AO$146)=0),NA(),IF(ISBLANK(AO120),IF(ISBLANK(AO119),MAX(AO$46:AO120),AO119),AO120))</f>
        <v>#N/A:explicit</v>
      </c>
      <c t="str" s="861" r="AW120">
        <f>IF(ISNA(AS120),IF(ISNUMBER(AV120),AW119,NA()),AS120)</f>
        <v>#N/A:explicit</v>
      </c>
      <c s="861" r="AX120">
        <f>IF(ISNUMBER(AW120),AW120,(AQ$46+1000))</f>
        <v>1000</v>
      </c>
      <c t="str" s="588" r="AY120">
        <f>IF((AT120=TRUE),NA(),IF((AY$44=(AQ$46-MAX(AR$46:AR$146))),NA(),AY$44))</f>
        <v>#N/A:explicit</v>
      </c>
      <c s="588" r="AZ120">
        <f>IF((ISNA(((AW120*AV120)*AW119))),0,(IF((AV120&lt;AV119),-1,1)*(IF((AT119=FALSE),IF((AT120=FALSE),IF(ISNA(AW120),0,IF((AW119&lt;AY$44),IF((AW120&lt;AY$44),(((AV120-AV119)^2)^0.5),(((((AY$44-AW119)*(AV120-AV119))/(AW120-AW119))^2)^0.5)),IF((AW120&lt;AY$44),(((((AY$44-AW120)*(AV120-AV119))/(AW119-AW120))^2)^0.5),0))),0),0))))</f>
        <v>0</v>
      </c>
      <c s="588" r="BA120">
        <f>IF(ISNA((AW120*AW119)),0,IF((AT119=FALSE),IF((AT120=FALSE),IF(ISNA(AS120),0,IF((AW119&lt;AY$44),IF((AW120&lt;AY$44),((AY$44-((AW119+AW120)*0.5))*AZ120),(((AY$44-AW119)*0.5)*AZ120)),IF((AW120&lt;AY$44),(((AY$44-AW120)*0.5)*AZ120),0))),0),0))</f>
        <v>0</v>
      </c>
      <c s="588" r="BB120">
        <f>IF(ISNA((AW120*AW119)),0,IF((AT119=FALSE),IF((AT120=FALSE),IF(ISNA(AW120),0,IF((AW119&lt;AY$44),IF((AW120&lt;AY$44),(((AZ120^2)+((AW120-AW119)^2))^0.5),(((AZ120^2)+((AY$44-AW119)^2))^0.5)),IF((AW120&lt;AY$44),(((AZ120^2)+((AY$44-AW120)^2))^0.5),0))),0),0))</f>
        <v>0</v>
      </c>
      <c s="588" r="BC120">
        <f>IF(ISNUMBER((AW120*AW119)),IF((AW119&gt;=AI$148),IF((AW120&lt;AI$148),1,0),IF((AW120&gt;=AI$148),IF((AW119&lt;AI$148),1,0),0)),0)</f>
        <v>0</v>
      </c>
      <c s="588" r="BD120">
        <f>IF(ISNA((AW120*AW119)),0,(IF((AV120&lt;AV119),-1,1)*(IF(ISNA(AW120),0,IF((AW119&lt;AI$148),IF((AW120&lt;AI$148),(((AV120-AV119)^2)^0.5),(((((AI$148-AW119)*(AV120-AV119))/(AW120-AW119))^2)^0.5)),IF((AW120&lt;AI$148),(((((AI$148-AW120)*(AV120-AV119))/(AW119-AW120))^2)^0.5),0))))))</f>
        <v>0</v>
      </c>
      <c s="441" r="BE120">
        <f>IF((BA120&gt;0),(MAX(BE$47:BE119)+1),0)</f>
        <v>0</v>
      </c>
      <c s="388" r="BF120"/>
      <c s="406" r="BG120"/>
      <c s="886" r="BH120"/>
      <c s="886" r="BI120"/>
      <c s="886" r="BJ120"/>
      <c s="886" r="BK120"/>
      <c s="418" r="BL120"/>
      <c s="550" r="BM120"/>
      <c s="550" r="BN120"/>
      <c t="str" s="620" r="BO120">
        <f>IF((COUNT(BN120:BN$146,BP120:BP$146)=0),NA(),IF(ISBLANK(BN120),BO119,(BO119+(BN120-BP119))))</f>
        <v>#N/A:explicit</v>
      </c>
      <c s="550" r="BP120"/>
      <c t="str" s="620" r="BQ120">
        <f>IF(OR(ISBLANK(BP120),ISNUMBER(BN121)),NA(),(BO120-BP120))</f>
        <v>#N/A:explicit</v>
      </c>
      <c t="b" s="895" r="BR120">
        <v>0</v>
      </c>
      <c s="631" r="BS120"/>
      <c t="str" s="309" r="BT120">
        <f>IF((COUNT(BM120:BM$146)=0),NA(),IF(ISBLANK(BM120),IF(ISBLANK(BM119),MAX(BM$46:BM120),BM119),BM120))</f>
        <v>#N/A:explicit</v>
      </c>
      <c t="str" s="861" r="BU120">
        <f>IF(ISNA(BQ120),IF(ISNUMBER(BT120),BU119,NA()),BQ120)</f>
        <v>#N/A:explicit</v>
      </c>
      <c s="861" r="BV120">
        <f>IF(ISNUMBER(BU120),BU120,(BO$46+1000))</f>
        <v>1000</v>
      </c>
      <c t="str" s="588" r="BW120">
        <f>IF((BR120=TRUE),NA(),IF((BW$44=(BO$46-MAX(BP$46:BP$146))),NA(),BW$44))</f>
        <v>#N/A:explicit</v>
      </c>
      <c s="588" r="BX120">
        <f>IF((ISNA(((BU120*BT120)*BU119))),0,(IF((BT120&lt;BT119),-1,1)*(IF((BR119=FALSE),IF((BR120=FALSE),IF(ISNA(BU120),0,IF((BU119&lt;BW$44),IF((BU120&lt;BW$44),(((BT120-BT119)^2)^0.5),(((((BW$44-BU119)*(BT120-BT119))/(BU120-BU119))^2)^0.5)),IF((BU120&lt;BW$44),(((((BW$44-BU120)*(BT120-BT119))/(BU119-BU120))^2)^0.5),0))),0),0))))</f>
        <v>0</v>
      </c>
      <c s="588" r="BY120">
        <f>IF(ISNA((BU120*BU119)),0,IF((BR119=FALSE),IF((BR120=FALSE),IF(ISNA(BQ120),0,IF((BU119&lt;BW$44),IF((BU120&lt;BW$44),((BW$44-((BU119+BU120)*0.5))*BX120),(((BW$44-BU119)*0.5)*BX120)),IF((BU120&lt;BW$44),(((BW$44-BU120)*0.5)*BX120),0))),0),0))</f>
        <v>0</v>
      </c>
      <c s="588" r="BZ120">
        <f>IF(ISNA((BU120*BU119)),0,IF((BR119=FALSE),IF((BR120=FALSE),IF(ISNA(BU120),0,IF((BU119&lt;BW$44),IF((BU120&lt;BW$44),(((BX120^2)+((BU120-BU119)^2))^0.5),(((BX120^2)+((BW$44-BU119)^2))^0.5)),IF((BU120&lt;BW$44),(((BX120^2)+((BW$44-BU120)^2))^0.5),0))),0),0))</f>
        <v>0</v>
      </c>
      <c s="588" r="CA120">
        <f>IF(ISNUMBER((BU120*BU119)),IF((BU119&gt;=BG$148),IF((BU120&lt;BG$148),1,0),IF((BU120&gt;=BG$148),IF((BU119&lt;BG$148),1,0),0)),0)</f>
        <v>0</v>
      </c>
      <c s="588" r="CB120">
        <f>IF(ISNA((BU120*BU119)),0,(IF((BT120&lt;BT119),-1,1)*(IF(ISNA(BU120),0,IF((BU119&lt;BG$148),IF((BU120&lt;BG$148),(((BT120-BT119)^2)^0.5),(((((BG$148-BU119)*(BT120-BT119))/(BU120-BU119))^2)^0.5)),IF((BU120&lt;BG$148),(((((BG$148-BU120)*(BT120-BT119))/(BU119-BU120))^2)^0.5),0))))))</f>
        <v>0</v>
      </c>
      <c s="441" r="CC120">
        <f>IF((BY120&gt;0),(MAX(CC$47:CC119)+1),0)</f>
        <v>0</v>
      </c>
      <c s="388" r="CD120"/>
      <c s="406" r="CE120"/>
      <c s="886" r="CF120"/>
      <c s="886" r="CG120"/>
      <c s="886" r="CH120"/>
      <c s="886" r="CI120"/>
      <c s="418" r="CJ120"/>
      <c s="550" r="CK120"/>
      <c s="550" r="CL120"/>
      <c t="str" s="620" r="CM120">
        <f>IF((COUNT(CL120:CL$146,CN120:CN$146)=0),NA(),IF(ISBLANK(CL120),CM119,(CM119+(CL120-CN119))))</f>
        <v>#N/A:explicit</v>
      </c>
      <c s="550" r="CN120"/>
      <c t="str" s="620" r="CO120">
        <f>IF(OR(ISBLANK(CN120),ISNUMBER(CL121)),NA(),(CM120-CN120))</f>
        <v>#N/A:explicit</v>
      </c>
      <c t="b" s="895" r="CP120">
        <v>0</v>
      </c>
      <c s="631" r="CQ120"/>
      <c t="str" s="309" r="CR120">
        <f>IF((COUNT(CK120:CK$146)=0),NA(),IF(ISBLANK(CK120),IF(ISBLANK(CK119),MAX(CK$46:CK120),CK119),CK120))</f>
        <v>#N/A:explicit</v>
      </c>
      <c t="str" s="861" r="CS120">
        <f>IF(ISNA(CO120),IF(ISNUMBER(CR120),CS119,NA()),CO120)</f>
        <v>#N/A:explicit</v>
      </c>
      <c s="861" r="CT120">
        <f>IF(ISNUMBER(CS120),CS120,(CM$46+1000))</f>
        <v>1000</v>
      </c>
      <c t="str" s="588" r="CU120">
        <f>IF((CP120=TRUE),NA(),IF((CU$44=(CM$46-MAX(CN$46:CN$146))),NA(),CU$44))</f>
        <v>#N/A:explicit</v>
      </c>
      <c s="588" r="CV120">
        <f>IF((ISNA(((CS120*CR120)*CS119))),0,(IF((CR120&lt;CR119),-1,1)*(IF((CP119=FALSE),IF((CP120=FALSE),IF(ISNA(CS120),0,IF((CS119&lt;CU$44),IF((CS120&lt;CU$44),(((CR120-CR119)^2)^0.5),(((((CU$44-CS119)*(CR120-CR119))/(CS120-CS119))^2)^0.5)),IF((CS120&lt;CU$44),(((((CU$44-CS120)*(CR120-CR119))/(CS119-CS120))^2)^0.5),0))),0),0))))</f>
        <v>0</v>
      </c>
      <c s="588" r="CW120">
        <f>IF(ISNA((CS120*CS119)),0,IF((CP119=FALSE),IF((CP120=FALSE),IF(ISNA(CO120),0,IF((CS119&lt;CU$44),IF((CS120&lt;CU$44),((CU$44-((CS119+CS120)*0.5))*CV120),(((CU$44-CS119)*0.5)*CV120)),IF((CS120&lt;CU$44),(((CU$44-CS120)*0.5)*CV120),0))),0),0))</f>
        <v>0</v>
      </c>
      <c s="588" r="CX120">
        <f>IF(ISNA((CS120*CS119)),0,IF((CP119=FALSE),IF((CP120=FALSE),IF(ISNA(CS120),0,IF((CS119&lt;CU$44),IF((CS120&lt;CU$44),(((CV120^2)+((CS120-CS119)^2))^0.5),(((CV120^2)+((CU$44-CS119)^2))^0.5)),IF((CS120&lt;CU$44),(((CV120^2)+((CU$44-CS120)^2))^0.5),0))),0),0))</f>
        <v>0</v>
      </c>
      <c s="588" r="CY120">
        <f>IF(ISNUMBER((CS120*CS119)),IF((CS119&gt;=CE$148),IF((CS120&lt;CE$148),1,0),IF((CS120&gt;=CE$148),IF((CS119&lt;CE$148),1,0),0)),0)</f>
        <v>0</v>
      </c>
      <c s="588" r="CZ120">
        <f>IF(ISNA((CS120*CS119)),0,(IF((CR120&lt;CR119),-1,1)*(IF(ISNA(CS120),0,IF((CS119&lt;CE$148),IF((CS120&lt;CE$148),(((CR120-CR119)^2)^0.5),(((((CE$148-CS119)*(CR120-CR119))/(CS120-CS119))^2)^0.5)),IF((CS120&lt;CE$148),(((((CE$148-CS120)*(CR120-CR119))/(CS119-CS120))^2)^0.5),0))))))</f>
        <v>0</v>
      </c>
      <c s="441" r="DA120">
        <f>IF((CW120&gt;0),(MAX(DA$47:DA119)+1),0)</f>
        <v>0</v>
      </c>
      <c s="388" r="DB120"/>
      <c s="406" r="DC120"/>
      <c s="886" r="DD120"/>
      <c s="886" r="DE120"/>
      <c s="886" r="DF120"/>
      <c s="886" r="DG120"/>
      <c s="418" r="DH120"/>
      <c s="550" r="DI120"/>
      <c s="550" r="DJ120"/>
      <c t="str" s="620" r="DK120">
        <f>IF((COUNT(DJ120:DJ$146,DL120:DL$146)=0),NA(),IF(ISBLANK(DJ120),DK119,(DK119+(DJ120-DL119))))</f>
        <v>#N/A:explicit</v>
      </c>
      <c s="550" r="DL120"/>
      <c t="str" s="620" r="DM120">
        <f>IF(OR(ISBLANK(DL120),ISNUMBER(DJ121)),NA(),(DK120-DL120))</f>
        <v>#N/A:explicit</v>
      </c>
      <c t="b" s="895" r="DN120">
        <v>0</v>
      </c>
      <c s="631" r="DO120"/>
      <c t="str" s="309" r="DP120">
        <f>IF((COUNT(DI120:DI$146)=0),NA(),IF(ISBLANK(DI120),IF(ISBLANK(DI119),MAX(DI$46:DI120),DI119),DI120))</f>
        <v>#N/A:explicit</v>
      </c>
      <c t="str" s="861" r="DQ120">
        <f>IF(ISNA(DM120),IF(ISNUMBER(DP120),DQ119,NA()),DM120)</f>
        <v>#N/A:explicit</v>
      </c>
      <c s="861" r="DR120">
        <f>IF(ISNUMBER(DQ120),DQ120,(DK$46+1000))</f>
        <v>1000</v>
      </c>
      <c t="str" s="588" r="DS120">
        <f>IF((DN120=TRUE),NA(),IF((DS$44=(DK$46-MAX(DL$46:DL$146))),NA(),DS$44))</f>
        <v>#N/A:explicit</v>
      </c>
      <c s="588" r="DT120">
        <f>IF((ISNA(((DQ120*DP120)*DQ119))),0,(IF((DP120&lt;DP119),-1,1)*(IF((DN119=FALSE),IF((DN120=FALSE),IF(ISNA(DQ120),0,IF((DQ119&lt;DS$44),IF((DQ120&lt;DS$44),(((DP120-DP119)^2)^0.5),(((((DS$44-DQ119)*(DP120-DP119))/(DQ120-DQ119))^2)^0.5)),IF((DQ120&lt;DS$44),(((((DS$44-DQ120)*(DP120-DP119))/(DQ119-DQ120))^2)^0.5),0))),0),0))))</f>
        <v>0</v>
      </c>
      <c s="588" r="DU120">
        <f>IF(ISNA((DQ120*DQ119)),0,IF((DN119=FALSE),IF((DN120=FALSE),IF(ISNA(DM120),0,IF((DQ119&lt;DS$44),IF((DQ120&lt;DS$44),((DS$44-((DQ119+DQ120)*0.5))*DT120),(((DS$44-DQ119)*0.5)*DT120)),IF((DQ120&lt;DS$44),(((DS$44-DQ120)*0.5)*DT120),0))),0),0))</f>
        <v>0</v>
      </c>
      <c s="588" r="DV120">
        <f>IF(ISNA((DQ120*DQ119)),0,IF((DN119=FALSE),IF((DN120=FALSE),IF(ISNA(DQ120),0,IF((DQ119&lt;DS$44),IF((DQ120&lt;DS$44),(((DT120^2)+((DQ120-DQ119)^2))^0.5),(((DT120^2)+((DS$44-DQ119)^2))^0.5)),IF((DQ120&lt;DS$44),(((DT120^2)+((DS$44-DQ120)^2))^0.5),0))),0),0))</f>
        <v>0</v>
      </c>
      <c s="588" r="DW120">
        <f>IF(ISNUMBER((DQ120*DQ119)),IF((DQ119&gt;=DC$148),IF((DQ120&lt;DC$148),1,0),IF((DQ120&gt;=DC$148),IF((DQ119&lt;DC$148),1,0),0)),0)</f>
        <v>0</v>
      </c>
      <c s="588" r="DX120">
        <f>IF(ISNA((DQ120*DQ119)),0,(IF((DP120&lt;DP119),-1,1)*(IF(ISNA(DQ120),0,IF((DQ119&lt;DC$148),IF((DQ120&lt;DC$148),(((DP120-DP119)^2)^0.5),(((((DC$148-DQ119)*(DP120-DP119))/(DQ120-DQ119))^2)^0.5)),IF((DQ120&lt;DC$148),(((((DC$148-DQ120)*(DP120-DP119))/(DQ119-DQ120))^2)^0.5),0))))))</f>
        <v>0</v>
      </c>
      <c s="441" r="DY120">
        <f>IF((DU120&gt;0),(MAX(DY$47:DY119)+1),0)</f>
        <v>0</v>
      </c>
      <c s="388" r="DZ120"/>
      <c s="406" r="EA120"/>
      <c s="886" r="EB120"/>
      <c s="886" r="EC120"/>
      <c s="886" r="ED120"/>
      <c s="886" r="EE120"/>
      <c s="418" r="EF120"/>
      <c s="550" r="EG120"/>
      <c s="550" r="EH120"/>
      <c t="str" s="620" r="EI120">
        <f>IF((COUNT(EH120:EH$146,EJ120:EJ$146)=0),NA(),IF(ISBLANK(EH120),EI119,(EI119+(EH120-EJ119))))</f>
        <v>#N/A:explicit</v>
      </c>
      <c s="550" r="EJ120"/>
      <c t="str" s="620" r="EK120">
        <f>IF(OR(ISBLANK(EJ120),ISNUMBER(EH121)),NA(),(EI120-EJ120))</f>
        <v>#N/A:explicit</v>
      </c>
      <c t="b" s="895" r="EL120">
        <v>0</v>
      </c>
      <c s="631" r="EM120"/>
      <c t="str" s="309" r="EN120">
        <f>IF((COUNT(EG120:EG$146)=0),NA(),IF(ISBLANK(EG120),IF(ISBLANK(EG119),MAX(EG$46:EG120),EG119),EG120))</f>
        <v>#N/A:explicit</v>
      </c>
      <c t="str" s="861" r="EO120">
        <f>IF(ISNA(EK120),IF(ISNUMBER(EN120),EO119,NA()),EK120)</f>
        <v>#N/A:explicit</v>
      </c>
      <c s="861" r="EP120">
        <f>IF(ISNUMBER(EO120),EO120,(EI$46+1000))</f>
        <v>1000</v>
      </c>
      <c t="str" s="588" r="EQ120">
        <f>IF((EL120=TRUE),NA(),IF((EQ$44=(EI$46-MAX(EJ$46:EJ$146))),NA(),EQ$44))</f>
        <v>#N/A:explicit</v>
      </c>
      <c s="588" r="ER120">
        <f>IF((ISNA(((EO120*EN120)*EO119))),0,(IF((EN120&lt;EN119),-1,1)*(IF((EL119=FALSE),IF((EL120=FALSE),IF(ISNA(EO120),0,IF((EO119&lt;EQ$44),IF((EO120&lt;EQ$44),(((EN120-EN119)^2)^0.5),(((((EQ$44-EO119)*(EN120-EN119))/(EO120-EO119))^2)^0.5)),IF((EO120&lt;EQ$44),(((((EQ$44-EO120)*(EN120-EN119))/(EO119-EO120))^2)^0.5),0))),0),0))))</f>
        <v>0</v>
      </c>
      <c s="588" r="ES120">
        <f>IF(ISNA((EO120*EO119)),0,IF((EL119=FALSE),IF((EL120=FALSE),IF(ISNA(EK120),0,IF((EO119&lt;EQ$44),IF((EO120&lt;EQ$44),((EQ$44-((EO119+EO120)*0.5))*ER120),(((EQ$44-EO119)*0.5)*ER120)),IF((EO120&lt;EQ$44),(((EQ$44-EO120)*0.5)*ER120),0))),0),0))</f>
        <v>0</v>
      </c>
      <c s="588" r="ET120">
        <f>IF(ISNA((EO120*EO119)),0,IF((EL119=FALSE),IF((EL120=FALSE),IF(ISNA(EO120),0,IF((EO119&lt;EQ$44),IF((EO120&lt;EQ$44),(((ER120^2)+((EO120-EO119)^2))^0.5),(((ER120^2)+((EQ$44-EO119)^2))^0.5)),IF((EO120&lt;EQ$44),(((ER120^2)+((EQ$44-EO120)^2))^0.5),0))),0),0))</f>
        <v>0</v>
      </c>
      <c s="588" r="EU120">
        <f>IF(ISNUMBER((EO120*EO119)),IF((EO119&gt;=EA$148),IF((EO120&lt;EA$148),1,0),IF((EO120&gt;=EA$148),IF((EO119&lt;EA$148),1,0),0)),0)</f>
        <v>0</v>
      </c>
      <c s="588" r="EV120">
        <f>IF(ISNA((EO120*EO119)),0,(IF((EN120&lt;EN119),-1,1)*(IF(ISNA(EO120),0,IF((EO119&lt;EA$148),IF((EO120&lt;EA$148),(((EN120-EN119)^2)^0.5),(((((EA$148-EO119)*(EN120-EN119))/(EO120-EO119))^2)^0.5)),IF((EO120&lt;EA$148),(((((EA$148-EO120)*(EN120-EN119))/(EO119-EO120))^2)^0.5),0))))))</f>
        <v>0</v>
      </c>
      <c s="441" r="EW120">
        <f>IF((ES120&gt;0),(MAX(EW$47:EW119)+1),0)</f>
        <v>0</v>
      </c>
      <c s="388" r="EX120"/>
      <c s="406" r="EY120"/>
      <c s="886" r="EZ120"/>
      <c s="886" r="FA120"/>
      <c s="886" r="FB120"/>
      <c s="886" r="FC120"/>
      <c s="418" r="FD120"/>
      <c s="550" r="FE120"/>
      <c s="550" r="FF120"/>
      <c t="str" s="620" r="FG120">
        <f>IF((COUNT(FF120:FF$146,FH120:FH$146)=0),NA(),IF(ISBLANK(FF120),FG119,(FG119+(FF120-FH119))))</f>
        <v>#N/A:explicit</v>
      </c>
      <c s="550" r="FH120"/>
      <c t="str" s="620" r="FI120">
        <f>IF(OR(ISBLANK(FH120),ISNUMBER(FF121)),NA(),(FG120-FH120))</f>
        <v>#N/A:explicit</v>
      </c>
      <c t="b" s="895" r="FJ120">
        <v>0</v>
      </c>
      <c s="631" r="FK120"/>
      <c t="str" s="309" r="FL120">
        <f>IF((COUNT(FE120:FE$146)=0),NA(),IF(ISBLANK(FE120),IF(ISBLANK(FE119),MAX(FE$46:FE120),FE119),FE120))</f>
        <v>#N/A:explicit</v>
      </c>
      <c t="str" s="861" r="FM120">
        <f>IF(ISNA(FI120),IF(ISNUMBER(FL120),FM119,NA()),FI120)</f>
        <v>#N/A:explicit</v>
      </c>
      <c s="861" r="FN120">
        <f>IF(ISNUMBER(FM120),FM120,(FG$46+1000))</f>
        <v>1000</v>
      </c>
      <c t="str" s="588" r="FO120">
        <f>IF((FJ120=TRUE),NA(),IF((FO$44=(FG$46-MAX(FH$46:FH$146))),NA(),FO$44))</f>
        <v>#N/A:explicit</v>
      </c>
      <c s="588" r="FP120">
        <f>IF((ISNA(((FM120*FL120)*FM119))),0,(IF((FL120&lt;FL119),-1,1)*(IF((FJ119=FALSE),IF((FJ120=FALSE),IF(ISNA(FM120),0,IF((FM119&lt;FO$44),IF((FM120&lt;FO$44),(((FL120-FL119)^2)^0.5),(((((FO$44-FM119)*(FL120-FL119))/(FM120-FM119))^2)^0.5)),IF((FM120&lt;FO$44),(((((FO$44-FM120)*(FL120-FL119))/(FM119-FM120))^2)^0.5),0))),0),0))))</f>
        <v>0</v>
      </c>
      <c s="588" r="FQ120">
        <f>IF(ISNA((FM120*FM119)),0,IF((FJ119=FALSE),IF((FJ120=FALSE),IF(ISNA(FI120),0,IF((FM119&lt;FO$44),IF((FM120&lt;FO$44),((FO$44-((FM119+FM120)*0.5))*FP120),(((FO$44-FM119)*0.5)*FP120)),IF((FM120&lt;FO$44),(((FO$44-FM120)*0.5)*FP120),0))),0),0))</f>
        <v>0</v>
      </c>
      <c s="588" r="FR120">
        <f>IF(ISNA((FM120*FM119)),0,IF((FJ119=FALSE),IF((FJ120=FALSE),IF(ISNA(FM120),0,IF((FM119&lt;FO$44),IF((FM120&lt;FO$44),(((FP120^2)+((FM120-FM119)^2))^0.5),(((FP120^2)+((FO$44-FM119)^2))^0.5)),IF((FM120&lt;FO$44),(((FP120^2)+((FO$44-FM120)^2))^0.5),0))),0),0))</f>
        <v>0</v>
      </c>
      <c s="588" r="FS120">
        <f>IF(ISNUMBER((FM120*FM119)),IF((FM119&gt;=EY$148),IF((FM120&lt;EY$148),1,0),IF((FM120&gt;=EY$148),IF((FM119&lt;EY$148),1,0),0)),0)</f>
        <v>0</v>
      </c>
      <c s="588" r="FT120">
        <f>IF(ISNA((FM120*FM119)),0,(IF((FL120&lt;FL119),-1,1)*(IF(ISNA(FM120),0,IF((FM119&lt;EY$148),IF((FM120&lt;EY$148),(((FL120-FL119)^2)^0.5),(((((EY$148-FM119)*(FL120-FL119))/(FM120-FM119))^2)^0.5)),IF((FM120&lt;EY$148),(((((EY$148-FM120)*(FL120-FL119))/(FM119-FM120))^2)^0.5),0))))))</f>
        <v>0</v>
      </c>
      <c s="441" r="FU120">
        <f>IF((FQ120&gt;0),(MAX(FU$47:FU119)+1),0)</f>
        <v>0</v>
      </c>
      <c s="222" r="FV120"/>
      <c s="125" r="FW120"/>
      <c s="125" r="FX120"/>
      <c s="125" r="FY120"/>
      <c s="125" r="FZ120"/>
      <c s="125" r="GA120"/>
      <c s="125" r="GB120"/>
      <c s="761" r="GC120"/>
      <c s="761" r="GD120"/>
      <c s="761" r="GE120"/>
      <c s="761" r="GF120"/>
      <c s="761" r="GG120"/>
      <c s="761" r="GH120"/>
      <c s="125" r="GI120"/>
      <c s="125" r="GJ120"/>
      <c s="125" r="GK120"/>
      <c s="125" r="GL120"/>
      <c s="125" r="GM120"/>
      <c s="125" r="GN120"/>
      <c s="125" r="GO120"/>
      <c s="125" r="GP120"/>
      <c s="125" r="GQ120"/>
      <c s="125" r="GR120"/>
      <c s="125" r="GS120"/>
      <c s="125" r="GT120"/>
      <c s="125" r="GU120"/>
      <c s="125" r="GV120"/>
      <c s="125" r="GW120"/>
      <c s="125" r="GX120"/>
      <c s="125" r="GY120"/>
      <c s="125" r="GZ120"/>
      <c s="125" r="HA120"/>
      <c s="125" r="HB120"/>
    </row>
    <row customHeight="1" r="121" ht="13.5">
      <c s="125" r="A121"/>
      <c s="442" r="B121"/>
      <c s="442" r="C121"/>
      <c s="442" r="D121"/>
      <c s="442" r="E121"/>
      <c s="442" r="F121"/>
      <c s="442" r="G121"/>
      <c s="442" r="H121"/>
      <c s="125" r="I121"/>
      <c s="822" r="J121"/>
      <c s="406" r="K121"/>
      <c s="886" r="L121"/>
      <c s="886" r="M121"/>
      <c s="886" r="N121"/>
      <c s="886" r="O121"/>
      <c s="418" r="P121"/>
      <c s="550" r="Q121"/>
      <c s="550" r="R121"/>
      <c t="str" s="620" r="S121">
        <f>IF((COUNT(R121:R$146,T121:T$146)=0),NA(),IF(ISBLANK(R121),S120,(S120+(R121-T120))))</f>
        <v>#N/A:explicit</v>
      </c>
      <c s="550" r="T121"/>
      <c t="str" s="620" r="U121">
        <f>IF(OR(ISBLANK(T121),ISNUMBER(R122)),NA(),(S121-T121))</f>
        <v>#N/A:explicit</v>
      </c>
      <c t="b" s="895" r="V121">
        <v>0</v>
      </c>
      <c s="631" r="W121"/>
      <c t="str" s="309" r="X121">
        <f>IF((COUNT(Q121:Q$146)=0),NA(),IF(ISBLANK(Q121),IF(ISBLANK(Q120),MAX(Q$46:Q121),Q120),Q121))</f>
        <v>#N/A:explicit</v>
      </c>
      <c t="str" s="861" r="Y121">
        <f>IF(ISNA(U121),IF(ISNUMBER(X121),Y120,NA()),U121)</f>
        <v>#N/A:explicit</v>
      </c>
      <c s="861" r="Z121">
        <f>IF(ISNUMBER(Y121),Y121,(S$46+1000))</f>
        <v>1000</v>
      </c>
      <c t="str" s="588" r="AA121">
        <f>IF((V121=TRUE),NA(),IF((AA$44=(S$46-MAX(T$46:T$146))),NA(),AA$44))</f>
        <v>#N/A:explicit</v>
      </c>
      <c s="588" r="AB121">
        <f>IF((ISNA(((Y121*X121)*Y120))),0,(IF((X121&lt;X120),-1,1)*(IF((V120=FALSE),IF((V121=FALSE),IF(ISNA(Y121),0,IF((Y120&lt;AA$44),IF((Y121&lt;AA$44),(((X121-X120)^2)^0.5),(((((AA$44-Y120)*(X121-X120))/(Y121-Y120))^2)^0.5)),IF((Y121&lt;AA$44),(((((AA$44-Y121)*(X121-X120))/(Y120-Y121))^2)^0.5),0))),0),0))))</f>
        <v>0</v>
      </c>
      <c s="588" r="AC121">
        <f>IF(ISNA((Y121*Y120)),0,IF((V120=FALSE),IF((V121=FALSE),IF(ISNA(U121),0,IF((Y120&lt;AA$44),IF((Y121&lt;AA$44),((AA$44-((Y120+Y121)*0.5))*AB121),(((AA$44-Y120)*0.5)*AB121)),IF((Y121&lt;AA$44),(((AA$44-Y121)*0.5)*AB121),0))),0),0))</f>
        <v>0</v>
      </c>
      <c s="588" r="AD121">
        <f>IF(ISNA((Y121*Y120)),0,IF((V120=FALSE),IF((V121=FALSE),IF(ISNA(Y121),0,IF((Y120&lt;AA$44),IF((Y121&lt;AA$44),(((AB121^2)+((Y121-Y120)^2))^0.5),(((AB121^2)+((AA$44-Y120)^2))^0.5)),IF((Y121&lt;AA$44),(((AB121^2)+((AA$44-Y121)^2))^0.5),0))),0),0))</f>
        <v>0</v>
      </c>
      <c s="588" r="AE121">
        <f>IF(ISNUMBER((Y121*Y120)),IF((Y120&gt;=K$148),IF((Y121&lt;K$148),1,0),IF((Y121&gt;=K$148),IF((Y120&lt;K$148),1,0),0)),0)</f>
        <v>0</v>
      </c>
      <c s="588" r="AF121">
        <f>IF(ISNA((Y121*Y120)),0,(IF((X121&lt;X120),-1,1)*(IF(ISNA(Y121),0,IF((Y120&lt;K$148),IF((Y121&lt;K$148),(((X121-X120)^2)^0.5),(((((K$148-Y120)*(X121-X120))/(Y121-Y120))^2)^0.5)),IF((Y121&lt;K$148),(((((K$148-Y121)*(X121-X120))/(Y120-Y121))^2)^0.5),0))))))</f>
        <v>0</v>
      </c>
      <c s="441" r="AG121">
        <f>IF((AC121&gt;0),(MAX(AG$47:AG120)+1),0)</f>
        <v>0</v>
      </c>
      <c s="388" r="AH121"/>
      <c s="406" r="AI121"/>
      <c s="886" r="AJ121"/>
      <c s="886" r="AK121"/>
      <c s="886" r="AL121"/>
      <c s="886" r="AM121"/>
      <c s="418" r="AN121"/>
      <c s="550" r="AO121"/>
      <c s="550" r="AP121"/>
      <c t="str" s="620" r="AQ121">
        <f>IF((COUNT(AP121:AP$146,AR121:AR$146)=0),NA(),IF(ISBLANK(AP121),AQ120,(AQ120+(AP121-AR120))))</f>
        <v>#N/A:explicit</v>
      </c>
      <c s="550" r="AR121"/>
      <c t="str" s="620" r="AS121">
        <f>IF(OR(ISBLANK(AR121),ISNUMBER(AP122)),NA(),(AQ121-AR121))</f>
        <v>#N/A:explicit</v>
      </c>
      <c t="b" s="895" r="AT121">
        <v>0</v>
      </c>
      <c s="631" r="AU121"/>
      <c t="str" s="309" r="AV121">
        <f>IF((COUNT(AO121:AO$146)=0),NA(),IF(ISBLANK(AO121),IF(ISBLANK(AO120),MAX(AO$46:AO121),AO120),AO121))</f>
        <v>#N/A:explicit</v>
      </c>
      <c t="str" s="861" r="AW121">
        <f>IF(ISNA(AS121),IF(ISNUMBER(AV121),AW120,NA()),AS121)</f>
        <v>#N/A:explicit</v>
      </c>
      <c s="861" r="AX121">
        <f>IF(ISNUMBER(AW121),AW121,(AQ$46+1000))</f>
        <v>1000</v>
      </c>
      <c t="str" s="588" r="AY121">
        <f>IF((AT121=TRUE),NA(),IF((AY$44=(AQ$46-MAX(AR$46:AR$146))),NA(),AY$44))</f>
        <v>#N/A:explicit</v>
      </c>
      <c s="588" r="AZ121">
        <f>IF((ISNA(((AW121*AV121)*AW120))),0,(IF((AV121&lt;AV120),-1,1)*(IF((AT120=FALSE),IF((AT121=FALSE),IF(ISNA(AW121),0,IF((AW120&lt;AY$44),IF((AW121&lt;AY$44),(((AV121-AV120)^2)^0.5),(((((AY$44-AW120)*(AV121-AV120))/(AW121-AW120))^2)^0.5)),IF((AW121&lt;AY$44),(((((AY$44-AW121)*(AV121-AV120))/(AW120-AW121))^2)^0.5),0))),0),0))))</f>
        <v>0</v>
      </c>
      <c s="588" r="BA121">
        <f>IF(ISNA((AW121*AW120)),0,IF((AT120=FALSE),IF((AT121=FALSE),IF(ISNA(AS121),0,IF((AW120&lt;AY$44),IF((AW121&lt;AY$44),((AY$44-((AW120+AW121)*0.5))*AZ121),(((AY$44-AW120)*0.5)*AZ121)),IF((AW121&lt;AY$44),(((AY$44-AW121)*0.5)*AZ121),0))),0),0))</f>
        <v>0</v>
      </c>
      <c s="588" r="BB121">
        <f>IF(ISNA((AW121*AW120)),0,IF((AT120=FALSE),IF((AT121=FALSE),IF(ISNA(AW121),0,IF((AW120&lt;AY$44),IF((AW121&lt;AY$44),(((AZ121^2)+((AW121-AW120)^2))^0.5),(((AZ121^2)+((AY$44-AW120)^2))^0.5)),IF((AW121&lt;AY$44),(((AZ121^2)+((AY$44-AW121)^2))^0.5),0))),0),0))</f>
        <v>0</v>
      </c>
      <c s="588" r="BC121">
        <f>IF(ISNUMBER((AW121*AW120)),IF((AW120&gt;=AI$148),IF((AW121&lt;AI$148),1,0),IF((AW121&gt;=AI$148),IF((AW120&lt;AI$148),1,0),0)),0)</f>
        <v>0</v>
      </c>
      <c s="588" r="BD121">
        <f>IF(ISNA((AW121*AW120)),0,(IF((AV121&lt;AV120),-1,1)*(IF(ISNA(AW121),0,IF((AW120&lt;AI$148),IF((AW121&lt;AI$148),(((AV121-AV120)^2)^0.5),(((((AI$148-AW120)*(AV121-AV120))/(AW121-AW120))^2)^0.5)),IF((AW121&lt;AI$148),(((((AI$148-AW121)*(AV121-AV120))/(AW120-AW121))^2)^0.5),0))))))</f>
        <v>0</v>
      </c>
      <c s="441" r="BE121">
        <f>IF((BA121&gt;0),(MAX(BE$47:BE120)+1),0)</f>
        <v>0</v>
      </c>
      <c s="388" r="BF121"/>
      <c s="406" r="BG121"/>
      <c s="886" r="BH121"/>
      <c s="886" r="BI121"/>
      <c s="886" r="BJ121"/>
      <c s="886" r="BK121"/>
      <c s="418" r="BL121"/>
      <c s="550" r="BM121"/>
      <c s="550" r="BN121"/>
      <c t="str" s="620" r="BO121">
        <f>IF((COUNT(BN121:BN$146,BP121:BP$146)=0),NA(),IF(ISBLANK(BN121),BO120,(BO120+(BN121-BP120))))</f>
        <v>#N/A:explicit</v>
      </c>
      <c s="550" r="BP121"/>
      <c t="str" s="620" r="BQ121">
        <f>IF(OR(ISBLANK(BP121),ISNUMBER(BN122)),NA(),(BO121-BP121))</f>
        <v>#N/A:explicit</v>
      </c>
      <c t="b" s="895" r="BR121">
        <v>0</v>
      </c>
      <c s="631" r="BS121"/>
      <c t="str" s="309" r="BT121">
        <f>IF((COUNT(BM121:BM$146)=0),NA(),IF(ISBLANK(BM121),IF(ISBLANK(BM120),MAX(BM$46:BM121),BM120),BM121))</f>
        <v>#N/A:explicit</v>
      </c>
      <c t="str" s="861" r="BU121">
        <f>IF(ISNA(BQ121),IF(ISNUMBER(BT121),BU120,NA()),BQ121)</f>
        <v>#N/A:explicit</v>
      </c>
      <c s="861" r="BV121">
        <f>IF(ISNUMBER(BU121),BU121,(BO$46+1000))</f>
        <v>1000</v>
      </c>
      <c t="str" s="588" r="BW121">
        <f>IF((BR121=TRUE),NA(),IF((BW$44=(BO$46-MAX(BP$46:BP$146))),NA(),BW$44))</f>
        <v>#N/A:explicit</v>
      </c>
      <c s="588" r="BX121">
        <f>IF((ISNA(((BU121*BT121)*BU120))),0,(IF((BT121&lt;BT120),-1,1)*(IF((BR120=FALSE),IF((BR121=FALSE),IF(ISNA(BU121),0,IF((BU120&lt;BW$44),IF((BU121&lt;BW$44),(((BT121-BT120)^2)^0.5),(((((BW$44-BU120)*(BT121-BT120))/(BU121-BU120))^2)^0.5)),IF((BU121&lt;BW$44),(((((BW$44-BU121)*(BT121-BT120))/(BU120-BU121))^2)^0.5),0))),0),0))))</f>
        <v>0</v>
      </c>
      <c s="588" r="BY121">
        <f>IF(ISNA((BU121*BU120)),0,IF((BR120=FALSE),IF((BR121=FALSE),IF(ISNA(BQ121),0,IF((BU120&lt;BW$44),IF((BU121&lt;BW$44),((BW$44-((BU120+BU121)*0.5))*BX121),(((BW$44-BU120)*0.5)*BX121)),IF((BU121&lt;BW$44),(((BW$44-BU121)*0.5)*BX121),0))),0),0))</f>
        <v>0</v>
      </c>
      <c s="588" r="BZ121">
        <f>IF(ISNA((BU121*BU120)),0,IF((BR120=FALSE),IF((BR121=FALSE),IF(ISNA(BU121),0,IF((BU120&lt;BW$44),IF((BU121&lt;BW$44),(((BX121^2)+((BU121-BU120)^2))^0.5),(((BX121^2)+((BW$44-BU120)^2))^0.5)),IF((BU121&lt;BW$44),(((BX121^2)+((BW$44-BU121)^2))^0.5),0))),0),0))</f>
        <v>0</v>
      </c>
      <c s="588" r="CA121">
        <f>IF(ISNUMBER((BU121*BU120)),IF((BU120&gt;=BG$148),IF((BU121&lt;BG$148),1,0),IF((BU121&gt;=BG$148),IF((BU120&lt;BG$148),1,0),0)),0)</f>
        <v>0</v>
      </c>
      <c s="588" r="CB121">
        <f>IF(ISNA((BU121*BU120)),0,(IF((BT121&lt;BT120),-1,1)*(IF(ISNA(BU121),0,IF((BU120&lt;BG$148),IF((BU121&lt;BG$148),(((BT121-BT120)^2)^0.5),(((((BG$148-BU120)*(BT121-BT120))/(BU121-BU120))^2)^0.5)),IF((BU121&lt;BG$148),(((((BG$148-BU121)*(BT121-BT120))/(BU120-BU121))^2)^0.5),0))))))</f>
        <v>0</v>
      </c>
      <c s="441" r="CC121">
        <f>IF((BY121&gt;0),(MAX(CC$47:CC120)+1),0)</f>
        <v>0</v>
      </c>
      <c s="388" r="CD121"/>
      <c s="406" r="CE121"/>
      <c s="886" r="CF121"/>
      <c s="886" r="CG121"/>
      <c s="886" r="CH121"/>
      <c s="886" r="CI121"/>
      <c s="418" r="CJ121"/>
      <c s="550" r="CK121"/>
      <c s="550" r="CL121"/>
      <c t="str" s="620" r="CM121">
        <f>IF((COUNT(CL121:CL$146,CN121:CN$146)=0),NA(),IF(ISBLANK(CL121),CM120,(CM120+(CL121-CN120))))</f>
        <v>#N/A:explicit</v>
      </c>
      <c s="550" r="CN121"/>
      <c t="str" s="620" r="CO121">
        <f>IF(OR(ISBLANK(CN121),ISNUMBER(CL122)),NA(),(CM121-CN121))</f>
        <v>#N/A:explicit</v>
      </c>
      <c t="b" s="895" r="CP121">
        <v>0</v>
      </c>
      <c s="631" r="CQ121"/>
      <c t="str" s="309" r="CR121">
        <f>IF((COUNT(CK121:CK$146)=0),NA(),IF(ISBLANK(CK121),IF(ISBLANK(CK120),MAX(CK$46:CK121),CK120),CK121))</f>
        <v>#N/A:explicit</v>
      </c>
      <c t="str" s="861" r="CS121">
        <f>IF(ISNA(CO121),IF(ISNUMBER(CR121),CS120,NA()),CO121)</f>
        <v>#N/A:explicit</v>
      </c>
      <c s="861" r="CT121">
        <f>IF(ISNUMBER(CS121),CS121,(CM$46+1000))</f>
        <v>1000</v>
      </c>
      <c t="str" s="588" r="CU121">
        <f>IF((CP121=TRUE),NA(),IF((CU$44=(CM$46-MAX(CN$46:CN$146))),NA(),CU$44))</f>
        <v>#N/A:explicit</v>
      </c>
      <c s="588" r="CV121">
        <f>IF((ISNA(((CS121*CR121)*CS120))),0,(IF((CR121&lt;CR120),-1,1)*(IF((CP120=FALSE),IF((CP121=FALSE),IF(ISNA(CS121),0,IF((CS120&lt;CU$44),IF((CS121&lt;CU$44),(((CR121-CR120)^2)^0.5),(((((CU$44-CS120)*(CR121-CR120))/(CS121-CS120))^2)^0.5)),IF((CS121&lt;CU$44),(((((CU$44-CS121)*(CR121-CR120))/(CS120-CS121))^2)^0.5),0))),0),0))))</f>
        <v>0</v>
      </c>
      <c s="588" r="CW121">
        <f>IF(ISNA((CS121*CS120)),0,IF((CP120=FALSE),IF((CP121=FALSE),IF(ISNA(CO121),0,IF((CS120&lt;CU$44),IF((CS121&lt;CU$44),((CU$44-((CS120+CS121)*0.5))*CV121),(((CU$44-CS120)*0.5)*CV121)),IF((CS121&lt;CU$44),(((CU$44-CS121)*0.5)*CV121),0))),0),0))</f>
        <v>0</v>
      </c>
      <c s="588" r="CX121">
        <f>IF(ISNA((CS121*CS120)),0,IF((CP120=FALSE),IF((CP121=FALSE),IF(ISNA(CS121),0,IF((CS120&lt;CU$44),IF((CS121&lt;CU$44),(((CV121^2)+((CS121-CS120)^2))^0.5),(((CV121^2)+((CU$44-CS120)^2))^0.5)),IF((CS121&lt;CU$44),(((CV121^2)+((CU$44-CS121)^2))^0.5),0))),0),0))</f>
        <v>0</v>
      </c>
      <c s="588" r="CY121">
        <f>IF(ISNUMBER((CS121*CS120)),IF((CS120&gt;=CE$148),IF((CS121&lt;CE$148),1,0),IF((CS121&gt;=CE$148),IF((CS120&lt;CE$148),1,0),0)),0)</f>
        <v>0</v>
      </c>
      <c s="588" r="CZ121">
        <f>IF(ISNA((CS121*CS120)),0,(IF((CR121&lt;CR120),-1,1)*(IF(ISNA(CS121),0,IF((CS120&lt;CE$148),IF((CS121&lt;CE$148),(((CR121-CR120)^2)^0.5),(((((CE$148-CS120)*(CR121-CR120))/(CS121-CS120))^2)^0.5)),IF((CS121&lt;CE$148),(((((CE$148-CS121)*(CR121-CR120))/(CS120-CS121))^2)^0.5),0))))))</f>
        <v>0</v>
      </c>
      <c s="441" r="DA121">
        <f>IF((CW121&gt;0),(MAX(DA$47:DA120)+1),0)</f>
        <v>0</v>
      </c>
      <c s="388" r="DB121"/>
      <c s="406" r="DC121"/>
      <c s="886" r="DD121"/>
      <c s="886" r="DE121"/>
      <c s="886" r="DF121"/>
      <c s="886" r="DG121"/>
      <c s="418" r="DH121"/>
      <c s="550" r="DI121"/>
      <c s="550" r="DJ121"/>
      <c t="str" s="620" r="DK121">
        <f>IF((COUNT(DJ121:DJ$146,DL121:DL$146)=0),NA(),IF(ISBLANK(DJ121),DK120,(DK120+(DJ121-DL120))))</f>
        <v>#N/A:explicit</v>
      </c>
      <c s="550" r="DL121"/>
      <c t="str" s="620" r="DM121">
        <f>IF(OR(ISBLANK(DL121),ISNUMBER(DJ122)),NA(),(DK121-DL121))</f>
        <v>#N/A:explicit</v>
      </c>
      <c t="b" s="895" r="DN121">
        <v>0</v>
      </c>
      <c s="631" r="DO121"/>
      <c t="str" s="309" r="DP121">
        <f>IF((COUNT(DI121:DI$146)=0),NA(),IF(ISBLANK(DI121),IF(ISBLANK(DI120),MAX(DI$46:DI121),DI120),DI121))</f>
        <v>#N/A:explicit</v>
      </c>
      <c t="str" s="861" r="DQ121">
        <f>IF(ISNA(DM121),IF(ISNUMBER(DP121),DQ120,NA()),DM121)</f>
        <v>#N/A:explicit</v>
      </c>
      <c s="861" r="DR121">
        <f>IF(ISNUMBER(DQ121),DQ121,(DK$46+1000))</f>
        <v>1000</v>
      </c>
      <c t="str" s="588" r="DS121">
        <f>IF((DN121=TRUE),NA(),IF((DS$44=(DK$46-MAX(DL$46:DL$146))),NA(),DS$44))</f>
        <v>#N/A:explicit</v>
      </c>
      <c s="588" r="DT121">
        <f>IF((ISNA(((DQ121*DP121)*DQ120))),0,(IF((DP121&lt;DP120),-1,1)*(IF((DN120=FALSE),IF((DN121=FALSE),IF(ISNA(DQ121),0,IF((DQ120&lt;DS$44),IF((DQ121&lt;DS$44),(((DP121-DP120)^2)^0.5),(((((DS$44-DQ120)*(DP121-DP120))/(DQ121-DQ120))^2)^0.5)),IF((DQ121&lt;DS$44),(((((DS$44-DQ121)*(DP121-DP120))/(DQ120-DQ121))^2)^0.5),0))),0),0))))</f>
        <v>0</v>
      </c>
      <c s="588" r="DU121">
        <f>IF(ISNA((DQ121*DQ120)),0,IF((DN120=FALSE),IF((DN121=FALSE),IF(ISNA(DM121),0,IF((DQ120&lt;DS$44),IF((DQ121&lt;DS$44),((DS$44-((DQ120+DQ121)*0.5))*DT121),(((DS$44-DQ120)*0.5)*DT121)),IF((DQ121&lt;DS$44),(((DS$44-DQ121)*0.5)*DT121),0))),0),0))</f>
        <v>0</v>
      </c>
      <c s="588" r="DV121">
        <f>IF(ISNA((DQ121*DQ120)),0,IF((DN120=FALSE),IF((DN121=FALSE),IF(ISNA(DQ121),0,IF((DQ120&lt;DS$44),IF((DQ121&lt;DS$44),(((DT121^2)+((DQ121-DQ120)^2))^0.5),(((DT121^2)+((DS$44-DQ120)^2))^0.5)),IF((DQ121&lt;DS$44),(((DT121^2)+((DS$44-DQ121)^2))^0.5),0))),0),0))</f>
        <v>0</v>
      </c>
      <c s="588" r="DW121">
        <f>IF(ISNUMBER((DQ121*DQ120)),IF((DQ120&gt;=DC$148),IF((DQ121&lt;DC$148),1,0),IF((DQ121&gt;=DC$148),IF((DQ120&lt;DC$148),1,0),0)),0)</f>
        <v>0</v>
      </c>
      <c s="588" r="DX121">
        <f>IF(ISNA((DQ121*DQ120)),0,(IF((DP121&lt;DP120),-1,1)*(IF(ISNA(DQ121),0,IF((DQ120&lt;DC$148),IF((DQ121&lt;DC$148),(((DP121-DP120)^2)^0.5),(((((DC$148-DQ120)*(DP121-DP120))/(DQ121-DQ120))^2)^0.5)),IF((DQ121&lt;DC$148),(((((DC$148-DQ121)*(DP121-DP120))/(DQ120-DQ121))^2)^0.5),0))))))</f>
        <v>0</v>
      </c>
      <c s="441" r="DY121">
        <f>IF((DU121&gt;0),(MAX(DY$47:DY120)+1),0)</f>
        <v>0</v>
      </c>
      <c s="388" r="DZ121"/>
      <c s="406" r="EA121"/>
      <c s="886" r="EB121"/>
      <c s="886" r="EC121"/>
      <c s="886" r="ED121"/>
      <c s="886" r="EE121"/>
      <c s="418" r="EF121"/>
      <c s="550" r="EG121"/>
      <c s="550" r="EH121"/>
      <c t="str" s="620" r="EI121">
        <f>IF((COUNT(EH121:EH$146,EJ121:EJ$146)=0),NA(),IF(ISBLANK(EH121),EI120,(EI120+(EH121-EJ120))))</f>
        <v>#N/A:explicit</v>
      </c>
      <c s="550" r="EJ121"/>
      <c t="str" s="620" r="EK121">
        <f>IF(OR(ISBLANK(EJ121),ISNUMBER(EH122)),NA(),(EI121-EJ121))</f>
        <v>#N/A:explicit</v>
      </c>
      <c t="b" s="895" r="EL121">
        <v>0</v>
      </c>
      <c s="631" r="EM121"/>
      <c t="str" s="309" r="EN121">
        <f>IF((COUNT(EG121:EG$146)=0),NA(),IF(ISBLANK(EG121),IF(ISBLANK(EG120),MAX(EG$46:EG121),EG120),EG121))</f>
        <v>#N/A:explicit</v>
      </c>
      <c t="str" s="861" r="EO121">
        <f>IF(ISNA(EK121),IF(ISNUMBER(EN121),EO120,NA()),EK121)</f>
        <v>#N/A:explicit</v>
      </c>
      <c s="861" r="EP121">
        <f>IF(ISNUMBER(EO121),EO121,(EI$46+1000))</f>
        <v>1000</v>
      </c>
      <c t="str" s="588" r="EQ121">
        <f>IF((EL121=TRUE),NA(),IF((EQ$44=(EI$46-MAX(EJ$46:EJ$146))),NA(),EQ$44))</f>
        <v>#N/A:explicit</v>
      </c>
      <c s="588" r="ER121">
        <f>IF((ISNA(((EO121*EN121)*EO120))),0,(IF((EN121&lt;EN120),-1,1)*(IF((EL120=FALSE),IF((EL121=FALSE),IF(ISNA(EO121),0,IF((EO120&lt;EQ$44),IF((EO121&lt;EQ$44),(((EN121-EN120)^2)^0.5),(((((EQ$44-EO120)*(EN121-EN120))/(EO121-EO120))^2)^0.5)),IF((EO121&lt;EQ$44),(((((EQ$44-EO121)*(EN121-EN120))/(EO120-EO121))^2)^0.5),0))),0),0))))</f>
        <v>0</v>
      </c>
      <c s="588" r="ES121">
        <f>IF(ISNA((EO121*EO120)),0,IF((EL120=FALSE),IF((EL121=FALSE),IF(ISNA(EK121),0,IF((EO120&lt;EQ$44),IF((EO121&lt;EQ$44),((EQ$44-((EO120+EO121)*0.5))*ER121),(((EQ$44-EO120)*0.5)*ER121)),IF((EO121&lt;EQ$44),(((EQ$44-EO121)*0.5)*ER121),0))),0),0))</f>
        <v>0</v>
      </c>
      <c s="588" r="ET121">
        <f>IF(ISNA((EO121*EO120)),0,IF((EL120=FALSE),IF((EL121=FALSE),IF(ISNA(EO121),0,IF((EO120&lt;EQ$44),IF((EO121&lt;EQ$44),(((ER121^2)+((EO121-EO120)^2))^0.5),(((ER121^2)+((EQ$44-EO120)^2))^0.5)),IF((EO121&lt;EQ$44),(((ER121^2)+((EQ$44-EO121)^2))^0.5),0))),0),0))</f>
        <v>0</v>
      </c>
      <c s="588" r="EU121">
        <f>IF(ISNUMBER((EO121*EO120)),IF((EO120&gt;=EA$148),IF((EO121&lt;EA$148),1,0),IF((EO121&gt;=EA$148),IF((EO120&lt;EA$148),1,0),0)),0)</f>
        <v>0</v>
      </c>
      <c s="588" r="EV121">
        <f>IF(ISNA((EO121*EO120)),0,(IF((EN121&lt;EN120),-1,1)*(IF(ISNA(EO121),0,IF((EO120&lt;EA$148),IF((EO121&lt;EA$148),(((EN121-EN120)^2)^0.5),(((((EA$148-EO120)*(EN121-EN120))/(EO121-EO120))^2)^0.5)),IF((EO121&lt;EA$148),(((((EA$148-EO121)*(EN121-EN120))/(EO120-EO121))^2)^0.5),0))))))</f>
        <v>0</v>
      </c>
      <c s="441" r="EW121">
        <f>IF((ES121&gt;0),(MAX(EW$47:EW120)+1),0)</f>
        <v>0</v>
      </c>
      <c s="388" r="EX121"/>
      <c s="406" r="EY121"/>
      <c s="886" r="EZ121"/>
      <c s="886" r="FA121"/>
      <c s="886" r="FB121"/>
      <c s="886" r="FC121"/>
      <c s="418" r="FD121"/>
      <c s="550" r="FE121"/>
      <c s="550" r="FF121"/>
      <c t="str" s="620" r="FG121">
        <f>IF((COUNT(FF121:FF$146,FH121:FH$146)=0),NA(),IF(ISBLANK(FF121),FG120,(FG120+(FF121-FH120))))</f>
        <v>#N/A:explicit</v>
      </c>
      <c s="550" r="FH121"/>
      <c t="str" s="620" r="FI121">
        <f>IF(OR(ISBLANK(FH121),ISNUMBER(FF122)),NA(),(FG121-FH121))</f>
        <v>#N/A:explicit</v>
      </c>
      <c t="b" s="895" r="FJ121">
        <v>0</v>
      </c>
      <c s="631" r="FK121"/>
      <c t="str" s="309" r="FL121">
        <f>IF((COUNT(FE121:FE$146)=0),NA(),IF(ISBLANK(FE121),IF(ISBLANK(FE120),MAX(FE$46:FE121),FE120),FE121))</f>
        <v>#N/A:explicit</v>
      </c>
      <c t="str" s="861" r="FM121">
        <f>IF(ISNA(FI121),IF(ISNUMBER(FL121),FM120,NA()),FI121)</f>
        <v>#N/A:explicit</v>
      </c>
      <c s="861" r="FN121">
        <f>IF(ISNUMBER(FM121),FM121,(FG$46+1000))</f>
        <v>1000</v>
      </c>
      <c t="str" s="588" r="FO121">
        <f>IF((FJ121=TRUE),NA(),IF((FO$44=(FG$46-MAX(FH$46:FH$146))),NA(),FO$44))</f>
        <v>#N/A:explicit</v>
      </c>
      <c s="588" r="FP121">
        <f>IF((ISNA(((FM121*FL121)*FM120))),0,(IF((FL121&lt;FL120),-1,1)*(IF((FJ120=FALSE),IF((FJ121=FALSE),IF(ISNA(FM121),0,IF((FM120&lt;FO$44),IF((FM121&lt;FO$44),(((FL121-FL120)^2)^0.5),(((((FO$44-FM120)*(FL121-FL120))/(FM121-FM120))^2)^0.5)),IF((FM121&lt;FO$44),(((((FO$44-FM121)*(FL121-FL120))/(FM120-FM121))^2)^0.5),0))),0),0))))</f>
        <v>0</v>
      </c>
      <c s="588" r="FQ121">
        <f>IF(ISNA((FM121*FM120)),0,IF((FJ120=FALSE),IF((FJ121=FALSE),IF(ISNA(FI121),0,IF((FM120&lt;FO$44),IF((FM121&lt;FO$44),((FO$44-((FM120+FM121)*0.5))*FP121),(((FO$44-FM120)*0.5)*FP121)),IF((FM121&lt;FO$44),(((FO$44-FM121)*0.5)*FP121),0))),0),0))</f>
        <v>0</v>
      </c>
      <c s="588" r="FR121">
        <f>IF(ISNA((FM121*FM120)),0,IF((FJ120=FALSE),IF((FJ121=FALSE),IF(ISNA(FM121),0,IF((FM120&lt;FO$44),IF((FM121&lt;FO$44),(((FP121^2)+((FM121-FM120)^2))^0.5),(((FP121^2)+((FO$44-FM120)^2))^0.5)),IF((FM121&lt;FO$44),(((FP121^2)+((FO$44-FM121)^2))^0.5),0))),0),0))</f>
        <v>0</v>
      </c>
      <c s="588" r="FS121">
        <f>IF(ISNUMBER((FM121*FM120)),IF((FM120&gt;=EY$148),IF((FM121&lt;EY$148),1,0),IF((FM121&gt;=EY$148),IF((FM120&lt;EY$148),1,0),0)),0)</f>
        <v>0</v>
      </c>
      <c s="588" r="FT121">
        <f>IF(ISNA((FM121*FM120)),0,(IF((FL121&lt;FL120),-1,1)*(IF(ISNA(FM121),0,IF((FM120&lt;EY$148),IF((FM121&lt;EY$148),(((FL121-FL120)^2)^0.5),(((((EY$148-FM120)*(FL121-FL120))/(FM121-FM120))^2)^0.5)),IF((FM121&lt;EY$148),(((((EY$148-FM121)*(FL121-FL120))/(FM120-FM121))^2)^0.5),0))))))</f>
        <v>0</v>
      </c>
      <c s="441" r="FU121">
        <f>IF((FQ121&gt;0),(MAX(FU$47:FU120)+1),0)</f>
        <v>0</v>
      </c>
      <c s="222" r="FV121"/>
      <c s="125" r="FW121"/>
      <c s="125" r="FX121"/>
      <c s="761" r="FY121"/>
      <c s="761" r="FZ121"/>
      <c s="761" r="GA121"/>
      <c s="761" r="GB121"/>
      <c s="761" r="GC121"/>
      <c s="761" r="GD121"/>
      <c s="761" r="GE121"/>
      <c s="761" r="GF121"/>
      <c s="761" r="GG121"/>
      <c s="761" r="GH121"/>
      <c s="761" r="GI121"/>
      <c s="761" r="GJ121"/>
      <c s="761" r="GK121"/>
      <c s="125" r="GL121"/>
      <c s="761" r="GM121"/>
      <c s="125" r="GN121"/>
      <c s="125" r="GO121"/>
      <c s="125" r="GP121"/>
      <c s="125" r="GQ121"/>
      <c s="125" r="GR121"/>
      <c s="125" r="GS121"/>
      <c s="125" r="GT121"/>
      <c s="125" r="GU121"/>
      <c s="761" r="GV121"/>
      <c s="761" r="GW121"/>
      <c s="761" r="GX121"/>
      <c s="761" r="GY121"/>
      <c s="761" r="GZ121"/>
      <c s="125" r="HA121"/>
      <c s="125" r="HB121"/>
    </row>
    <row r="122">
      <c s="125" r="A122"/>
      <c s="125" r="B122"/>
      <c s="125" r="C122"/>
      <c s="125" r="D122"/>
      <c s="125" r="E122"/>
      <c s="125" r="F122"/>
      <c s="125" r="G122"/>
      <c s="125" r="H122"/>
      <c s="125" r="I122"/>
      <c s="822" r="J122"/>
      <c s="406" r="K122"/>
      <c s="886" r="L122"/>
      <c s="886" r="M122"/>
      <c s="886" r="N122"/>
      <c s="886" r="O122"/>
      <c s="418" r="P122"/>
      <c s="550" r="Q122"/>
      <c s="550" r="R122"/>
      <c t="str" s="620" r="S122">
        <f>IF((COUNT(R122:R$146,T122:T$146)=0),NA(),IF(ISBLANK(R122),S121,(S121+(R122-T121))))</f>
        <v>#N/A:explicit</v>
      </c>
      <c s="550" r="T122"/>
      <c t="str" s="620" r="U122">
        <f>IF(OR(ISBLANK(T122),ISNUMBER(R123)),NA(),(S122-T122))</f>
        <v>#N/A:explicit</v>
      </c>
      <c t="b" s="895" r="V122">
        <v>0</v>
      </c>
      <c s="631" r="W122"/>
      <c t="str" s="309" r="X122">
        <f>IF((COUNT(Q122:Q$146)=0),NA(),IF(ISBLANK(Q122),IF(ISBLANK(Q121),MAX(Q$46:Q122),Q121),Q122))</f>
        <v>#N/A:explicit</v>
      </c>
      <c t="str" s="861" r="Y122">
        <f>IF(ISNA(U122),IF(ISNUMBER(X122),Y121,NA()),U122)</f>
        <v>#N/A:explicit</v>
      </c>
      <c s="861" r="Z122">
        <f>IF(ISNUMBER(Y122),Y122,(S$46+1000))</f>
        <v>1000</v>
      </c>
      <c t="str" s="588" r="AA122">
        <f>IF((V122=TRUE),NA(),IF((AA$44=(S$46-MAX(T$46:T$146))),NA(),AA$44))</f>
        <v>#N/A:explicit</v>
      </c>
      <c s="588" r="AB122">
        <f>IF((ISNA(((Y122*X122)*Y121))),0,(IF((X122&lt;X121),-1,1)*(IF((V121=FALSE),IF((V122=FALSE),IF(ISNA(Y122),0,IF((Y121&lt;AA$44),IF((Y122&lt;AA$44),(((X122-X121)^2)^0.5),(((((AA$44-Y121)*(X122-X121))/(Y122-Y121))^2)^0.5)),IF((Y122&lt;AA$44),(((((AA$44-Y122)*(X122-X121))/(Y121-Y122))^2)^0.5),0))),0),0))))</f>
        <v>0</v>
      </c>
      <c s="588" r="AC122">
        <f>IF(ISNA((Y122*Y121)),0,IF((V121=FALSE),IF((V122=FALSE),IF(ISNA(U122),0,IF((Y121&lt;AA$44),IF((Y122&lt;AA$44),((AA$44-((Y121+Y122)*0.5))*AB122),(((AA$44-Y121)*0.5)*AB122)),IF((Y122&lt;AA$44),(((AA$44-Y122)*0.5)*AB122),0))),0),0))</f>
        <v>0</v>
      </c>
      <c s="588" r="AD122">
        <f>IF(ISNA((Y122*Y121)),0,IF((V121=FALSE),IF((V122=FALSE),IF(ISNA(Y122),0,IF((Y121&lt;AA$44),IF((Y122&lt;AA$44),(((AB122^2)+((Y122-Y121)^2))^0.5),(((AB122^2)+((AA$44-Y121)^2))^0.5)),IF((Y122&lt;AA$44),(((AB122^2)+((AA$44-Y122)^2))^0.5),0))),0),0))</f>
        <v>0</v>
      </c>
      <c s="588" r="AE122">
        <f>IF(ISNUMBER((Y122*Y121)),IF((Y121&gt;=K$148),IF((Y122&lt;K$148),1,0),IF((Y122&gt;=K$148),IF((Y121&lt;K$148),1,0),0)),0)</f>
        <v>0</v>
      </c>
      <c s="588" r="AF122">
        <f>IF(ISNA((Y122*Y121)),0,(IF((X122&lt;X121),-1,1)*(IF(ISNA(Y122),0,IF((Y121&lt;K$148),IF((Y122&lt;K$148),(((X122-X121)^2)^0.5),(((((K$148-Y121)*(X122-X121))/(Y122-Y121))^2)^0.5)),IF((Y122&lt;K$148),(((((K$148-Y122)*(X122-X121))/(Y121-Y122))^2)^0.5),0))))))</f>
        <v>0</v>
      </c>
      <c s="441" r="AG122">
        <f>IF((AC122&gt;0),(MAX(AG$47:AG121)+1),0)</f>
        <v>0</v>
      </c>
      <c s="388" r="AH122"/>
      <c s="406" r="AI122"/>
      <c s="886" r="AJ122"/>
      <c s="886" r="AK122"/>
      <c s="886" r="AL122"/>
      <c s="886" r="AM122"/>
      <c s="418" r="AN122"/>
      <c s="550" r="AO122"/>
      <c s="550" r="AP122"/>
      <c t="str" s="620" r="AQ122">
        <f>IF((COUNT(AP122:AP$146,AR122:AR$146)=0),NA(),IF(ISBLANK(AP122),AQ121,(AQ121+(AP122-AR121))))</f>
        <v>#N/A:explicit</v>
      </c>
      <c s="550" r="AR122"/>
      <c t="str" s="620" r="AS122">
        <f>IF(OR(ISBLANK(AR122),ISNUMBER(AP123)),NA(),(AQ122-AR122))</f>
        <v>#N/A:explicit</v>
      </c>
      <c t="b" s="895" r="AT122">
        <v>0</v>
      </c>
      <c s="631" r="AU122"/>
      <c t="str" s="309" r="AV122">
        <f>IF((COUNT(AO122:AO$146)=0),NA(),IF(ISBLANK(AO122),IF(ISBLANK(AO121),MAX(AO$46:AO122),AO121),AO122))</f>
        <v>#N/A:explicit</v>
      </c>
      <c t="str" s="861" r="AW122">
        <f>IF(ISNA(AS122),IF(ISNUMBER(AV122),AW121,NA()),AS122)</f>
        <v>#N/A:explicit</v>
      </c>
      <c s="861" r="AX122">
        <f>IF(ISNUMBER(AW122),AW122,(AQ$46+1000))</f>
        <v>1000</v>
      </c>
      <c t="str" s="588" r="AY122">
        <f>IF((AT122=TRUE),NA(),IF((AY$44=(AQ$46-MAX(AR$46:AR$146))),NA(),AY$44))</f>
        <v>#N/A:explicit</v>
      </c>
      <c s="588" r="AZ122">
        <f>IF((ISNA(((AW122*AV122)*AW121))),0,(IF((AV122&lt;AV121),-1,1)*(IF((AT121=FALSE),IF((AT122=FALSE),IF(ISNA(AW122),0,IF((AW121&lt;AY$44),IF((AW122&lt;AY$44),(((AV122-AV121)^2)^0.5),(((((AY$44-AW121)*(AV122-AV121))/(AW122-AW121))^2)^0.5)),IF((AW122&lt;AY$44),(((((AY$44-AW122)*(AV122-AV121))/(AW121-AW122))^2)^0.5),0))),0),0))))</f>
        <v>0</v>
      </c>
      <c s="588" r="BA122">
        <f>IF(ISNA((AW122*AW121)),0,IF((AT121=FALSE),IF((AT122=FALSE),IF(ISNA(AS122),0,IF((AW121&lt;AY$44),IF((AW122&lt;AY$44),((AY$44-((AW121+AW122)*0.5))*AZ122),(((AY$44-AW121)*0.5)*AZ122)),IF((AW122&lt;AY$44),(((AY$44-AW122)*0.5)*AZ122),0))),0),0))</f>
        <v>0</v>
      </c>
      <c s="588" r="BB122">
        <f>IF(ISNA((AW122*AW121)),0,IF((AT121=FALSE),IF((AT122=FALSE),IF(ISNA(AW122),0,IF((AW121&lt;AY$44),IF((AW122&lt;AY$44),(((AZ122^2)+((AW122-AW121)^2))^0.5),(((AZ122^2)+((AY$44-AW121)^2))^0.5)),IF((AW122&lt;AY$44),(((AZ122^2)+((AY$44-AW122)^2))^0.5),0))),0),0))</f>
        <v>0</v>
      </c>
      <c s="588" r="BC122">
        <f>IF(ISNUMBER((AW122*AW121)),IF((AW121&gt;=AI$148),IF((AW122&lt;AI$148),1,0),IF((AW122&gt;=AI$148),IF((AW121&lt;AI$148),1,0),0)),0)</f>
        <v>0</v>
      </c>
      <c s="588" r="BD122">
        <f>IF(ISNA((AW122*AW121)),0,(IF((AV122&lt;AV121),-1,1)*(IF(ISNA(AW122),0,IF((AW121&lt;AI$148),IF((AW122&lt;AI$148),(((AV122-AV121)^2)^0.5),(((((AI$148-AW121)*(AV122-AV121))/(AW122-AW121))^2)^0.5)),IF((AW122&lt;AI$148),(((((AI$148-AW122)*(AV122-AV121))/(AW121-AW122))^2)^0.5),0))))))</f>
        <v>0</v>
      </c>
      <c s="441" r="BE122">
        <f>IF((BA122&gt;0),(MAX(BE$47:BE121)+1),0)</f>
        <v>0</v>
      </c>
      <c s="388" r="BF122"/>
      <c s="406" r="BG122"/>
      <c s="886" r="BH122"/>
      <c s="886" r="BI122"/>
      <c s="886" r="BJ122"/>
      <c s="886" r="BK122"/>
      <c s="418" r="BL122"/>
      <c s="550" r="BM122"/>
      <c s="550" r="BN122"/>
      <c t="str" s="620" r="BO122">
        <f>IF((COUNT(BN122:BN$146,BP122:BP$146)=0),NA(),IF(ISBLANK(BN122),BO121,(BO121+(BN122-BP121))))</f>
        <v>#N/A:explicit</v>
      </c>
      <c s="550" r="BP122"/>
      <c t="str" s="620" r="BQ122">
        <f>IF(OR(ISBLANK(BP122),ISNUMBER(BN123)),NA(),(BO122-BP122))</f>
        <v>#N/A:explicit</v>
      </c>
      <c t="b" s="895" r="BR122">
        <v>0</v>
      </c>
      <c s="631" r="BS122"/>
      <c t="str" s="309" r="BT122">
        <f>IF((COUNT(BM122:BM$146)=0),NA(),IF(ISBLANK(BM122),IF(ISBLANK(BM121),MAX(BM$46:BM122),BM121),BM122))</f>
        <v>#N/A:explicit</v>
      </c>
      <c t="str" s="861" r="BU122">
        <f>IF(ISNA(BQ122),IF(ISNUMBER(BT122),BU121,NA()),BQ122)</f>
        <v>#N/A:explicit</v>
      </c>
      <c s="861" r="BV122">
        <f>IF(ISNUMBER(BU122),BU122,(BO$46+1000))</f>
        <v>1000</v>
      </c>
      <c t="str" s="588" r="BW122">
        <f>IF((BR122=TRUE),NA(),IF((BW$44=(BO$46-MAX(BP$46:BP$146))),NA(),BW$44))</f>
        <v>#N/A:explicit</v>
      </c>
      <c s="588" r="BX122">
        <f>IF((ISNA(((BU122*BT122)*BU121))),0,(IF((BT122&lt;BT121),-1,1)*(IF((BR121=FALSE),IF((BR122=FALSE),IF(ISNA(BU122),0,IF((BU121&lt;BW$44),IF((BU122&lt;BW$44),(((BT122-BT121)^2)^0.5),(((((BW$44-BU121)*(BT122-BT121))/(BU122-BU121))^2)^0.5)),IF((BU122&lt;BW$44),(((((BW$44-BU122)*(BT122-BT121))/(BU121-BU122))^2)^0.5),0))),0),0))))</f>
        <v>0</v>
      </c>
      <c s="588" r="BY122">
        <f>IF(ISNA((BU122*BU121)),0,IF((BR121=FALSE),IF((BR122=FALSE),IF(ISNA(BQ122),0,IF((BU121&lt;BW$44),IF((BU122&lt;BW$44),((BW$44-((BU121+BU122)*0.5))*BX122),(((BW$44-BU121)*0.5)*BX122)),IF((BU122&lt;BW$44),(((BW$44-BU122)*0.5)*BX122),0))),0),0))</f>
        <v>0</v>
      </c>
      <c s="588" r="BZ122">
        <f>IF(ISNA((BU122*BU121)),0,IF((BR121=FALSE),IF((BR122=FALSE),IF(ISNA(BU122),0,IF((BU121&lt;BW$44),IF((BU122&lt;BW$44),(((BX122^2)+((BU122-BU121)^2))^0.5),(((BX122^2)+((BW$44-BU121)^2))^0.5)),IF((BU122&lt;BW$44),(((BX122^2)+((BW$44-BU122)^2))^0.5),0))),0),0))</f>
        <v>0</v>
      </c>
      <c s="588" r="CA122">
        <f>IF(ISNUMBER((BU122*BU121)),IF((BU121&gt;=BG$148),IF((BU122&lt;BG$148),1,0),IF((BU122&gt;=BG$148),IF((BU121&lt;BG$148),1,0),0)),0)</f>
        <v>0</v>
      </c>
      <c s="588" r="CB122">
        <f>IF(ISNA((BU122*BU121)),0,(IF((BT122&lt;BT121),-1,1)*(IF(ISNA(BU122),0,IF((BU121&lt;BG$148),IF((BU122&lt;BG$148),(((BT122-BT121)^2)^0.5),(((((BG$148-BU121)*(BT122-BT121))/(BU122-BU121))^2)^0.5)),IF((BU122&lt;BG$148),(((((BG$148-BU122)*(BT122-BT121))/(BU121-BU122))^2)^0.5),0))))))</f>
        <v>0</v>
      </c>
      <c s="441" r="CC122">
        <f>IF((BY122&gt;0),(MAX(CC$47:CC121)+1),0)</f>
        <v>0</v>
      </c>
      <c s="388" r="CD122"/>
      <c s="406" r="CE122"/>
      <c s="886" r="CF122"/>
      <c s="886" r="CG122"/>
      <c s="886" r="CH122"/>
      <c s="886" r="CI122"/>
      <c s="418" r="CJ122"/>
      <c s="550" r="CK122"/>
      <c s="550" r="CL122"/>
      <c t="str" s="620" r="CM122">
        <f>IF((COUNT(CL122:CL$146,CN122:CN$146)=0),NA(),IF(ISBLANK(CL122),CM121,(CM121+(CL122-CN121))))</f>
        <v>#N/A:explicit</v>
      </c>
      <c s="550" r="CN122"/>
      <c t="str" s="620" r="CO122">
        <f>IF(OR(ISBLANK(CN122),ISNUMBER(CL123)),NA(),(CM122-CN122))</f>
        <v>#N/A:explicit</v>
      </c>
      <c t="b" s="895" r="CP122">
        <v>0</v>
      </c>
      <c s="631" r="CQ122"/>
      <c t="str" s="309" r="CR122">
        <f>IF((COUNT(CK122:CK$146)=0),NA(),IF(ISBLANK(CK122),IF(ISBLANK(CK121),MAX(CK$46:CK122),CK121),CK122))</f>
        <v>#N/A:explicit</v>
      </c>
      <c t="str" s="861" r="CS122">
        <f>IF(ISNA(CO122),IF(ISNUMBER(CR122),CS121,NA()),CO122)</f>
        <v>#N/A:explicit</v>
      </c>
      <c s="861" r="CT122">
        <f>IF(ISNUMBER(CS122),CS122,(CM$46+1000))</f>
        <v>1000</v>
      </c>
      <c t="str" s="588" r="CU122">
        <f>IF((CP122=TRUE),NA(),IF((CU$44=(CM$46-MAX(CN$46:CN$146))),NA(),CU$44))</f>
        <v>#N/A:explicit</v>
      </c>
      <c s="588" r="CV122">
        <f>IF((ISNA(((CS122*CR122)*CS121))),0,(IF((CR122&lt;CR121),-1,1)*(IF((CP121=FALSE),IF((CP122=FALSE),IF(ISNA(CS122),0,IF((CS121&lt;CU$44),IF((CS122&lt;CU$44),(((CR122-CR121)^2)^0.5),(((((CU$44-CS121)*(CR122-CR121))/(CS122-CS121))^2)^0.5)),IF((CS122&lt;CU$44),(((((CU$44-CS122)*(CR122-CR121))/(CS121-CS122))^2)^0.5),0))),0),0))))</f>
        <v>0</v>
      </c>
      <c s="588" r="CW122">
        <f>IF(ISNA((CS122*CS121)),0,IF((CP121=FALSE),IF((CP122=FALSE),IF(ISNA(CO122),0,IF((CS121&lt;CU$44),IF((CS122&lt;CU$44),((CU$44-((CS121+CS122)*0.5))*CV122),(((CU$44-CS121)*0.5)*CV122)),IF((CS122&lt;CU$44),(((CU$44-CS122)*0.5)*CV122),0))),0),0))</f>
        <v>0</v>
      </c>
      <c s="588" r="CX122">
        <f>IF(ISNA((CS122*CS121)),0,IF((CP121=FALSE),IF((CP122=FALSE),IF(ISNA(CS122),0,IF((CS121&lt;CU$44),IF((CS122&lt;CU$44),(((CV122^2)+((CS122-CS121)^2))^0.5),(((CV122^2)+((CU$44-CS121)^2))^0.5)),IF((CS122&lt;CU$44),(((CV122^2)+((CU$44-CS122)^2))^0.5),0))),0),0))</f>
        <v>0</v>
      </c>
      <c s="588" r="CY122">
        <f>IF(ISNUMBER((CS122*CS121)),IF((CS121&gt;=CE$148),IF((CS122&lt;CE$148),1,0),IF((CS122&gt;=CE$148),IF((CS121&lt;CE$148),1,0),0)),0)</f>
        <v>0</v>
      </c>
      <c s="588" r="CZ122">
        <f>IF(ISNA((CS122*CS121)),0,(IF((CR122&lt;CR121),-1,1)*(IF(ISNA(CS122),0,IF((CS121&lt;CE$148),IF((CS122&lt;CE$148),(((CR122-CR121)^2)^0.5),(((((CE$148-CS121)*(CR122-CR121))/(CS122-CS121))^2)^0.5)),IF((CS122&lt;CE$148),(((((CE$148-CS122)*(CR122-CR121))/(CS121-CS122))^2)^0.5),0))))))</f>
        <v>0</v>
      </c>
      <c s="441" r="DA122">
        <f>IF((CW122&gt;0),(MAX(DA$47:DA121)+1),0)</f>
        <v>0</v>
      </c>
      <c s="388" r="DB122"/>
      <c s="406" r="DC122"/>
      <c s="886" r="DD122"/>
      <c s="886" r="DE122"/>
      <c s="886" r="DF122"/>
      <c s="886" r="DG122"/>
      <c s="418" r="DH122"/>
      <c s="550" r="DI122"/>
      <c s="550" r="DJ122"/>
      <c t="str" s="620" r="DK122">
        <f>IF((COUNT(DJ122:DJ$146,DL122:DL$146)=0),NA(),IF(ISBLANK(DJ122),DK121,(DK121+(DJ122-DL121))))</f>
        <v>#N/A:explicit</v>
      </c>
      <c s="550" r="DL122"/>
      <c t="str" s="620" r="DM122">
        <f>IF(OR(ISBLANK(DL122),ISNUMBER(DJ123)),NA(),(DK122-DL122))</f>
        <v>#N/A:explicit</v>
      </c>
      <c t="b" s="895" r="DN122">
        <v>0</v>
      </c>
      <c s="631" r="DO122"/>
      <c t="str" s="309" r="DP122">
        <f>IF((COUNT(DI122:DI$146)=0),NA(),IF(ISBLANK(DI122),IF(ISBLANK(DI121),MAX(DI$46:DI122),DI121),DI122))</f>
        <v>#N/A:explicit</v>
      </c>
      <c t="str" s="861" r="DQ122">
        <f>IF(ISNA(DM122),IF(ISNUMBER(DP122),DQ121,NA()),DM122)</f>
        <v>#N/A:explicit</v>
      </c>
      <c s="861" r="DR122">
        <f>IF(ISNUMBER(DQ122),DQ122,(DK$46+1000))</f>
        <v>1000</v>
      </c>
      <c t="str" s="588" r="DS122">
        <f>IF((DN122=TRUE),NA(),IF((DS$44=(DK$46-MAX(DL$46:DL$146))),NA(),DS$44))</f>
        <v>#N/A:explicit</v>
      </c>
      <c s="588" r="DT122">
        <f>IF((ISNA(((DQ122*DP122)*DQ121))),0,(IF((DP122&lt;DP121),-1,1)*(IF((DN121=FALSE),IF((DN122=FALSE),IF(ISNA(DQ122),0,IF((DQ121&lt;DS$44),IF((DQ122&lt;DS$44),(((DP122-DP121)^2)^0.5),(((((DS$44-DQ121)*(DP122-DP121))/(DQ122-DQ121))^2)^0.5)),IF((DQ122&lt;DS$44),(((((DS$44-DQ122)*(DP122-DP121))/(DQ121-DQ122))^2)^0.5),0))),0),0))))</f>
        <v>0</v>
      </c>
      <c s="588" r="DU122">
        <f>IF(ISNA((DQ122*DQ121)),0,IF((DN121=FALSE),IF((DN122=FALSE),IF(ISNA(DM122),0,IF((DQ121&lt;DS$44),IF((DQ122&lt;DS$44),((DS$44-((DQ121+DQ122)*0.5))*DT122),(((DS$44-DQ121)*0.5)*DT122)),IF((DQ122&lt;DS$44),(((DS$44-DQ122)*0.5)*DT122),0))),0),0))</f>
        <v>0</v>
      </c>
      <c s="588" r="DV122">
        <f>IF(ISNA((DQ122*DQ121)),0,IF((DN121=FALSE),IF((DN122=FALSE),IF(ISNA(DQ122),0,IF((DQ121&lt;DS$44),IF((DQ122&lt;DS$44),(((DT122^2)+((DQ122-DQ121)^2))^0.5),(((DT122^2)+((DS$44-DQ121)^2))^0.5)),IF((DQ122&lt;DS$44),(((DT122^2)+((DS$44-DQ122)^2))^0.5),0))),0),0))</f>
        <v>0</v>
      </c>
      <c s="588" r="DW122">
        <f>IF(ISNUMBER((DQ122*DQ121)),IF((DQ121&gt;=DC$148),IF((DQ122&lt;DC$148),1,0),IF((DQ122&gt;=DC$148),IF((DQ121&lt;DC$148),1,0),0)),0)</f>
        <v>0</v>
      </c>
      <c s="588" r="DX122">
        <f>IF(ISNA((DQ122*DQ121)),0,(IF((DP122&lt;DP121),-1,1)*(IF(ISNA(DQ122),0,IF((DQ121&lt;DC$148),IF((DQ122&lt;DC$148),(((DP122-DP121)^2)^0.5),(((((DC$148-DQ121)*(DP122-DP121))/(DQ122-DQ121))^2)^0.5)),IF((DQ122&lt;DC$148),(((((DC$148-DQ122)*(DP122-DP121))/(DQ121-DQ122))^2)^0.5),0))))))</f>
        <v>0</v>
      </c>
      <c s="441" r="DY122">
        <f>IF((DU122&gt;0),(MAX(DY$47:DY121)+1),0)</f>
        <v>0</v>
      </c>
      <c s="388" r="DZ122"/>
      <c s="406" r="EA122"/>
      <c s="886" r="EB122"/>
      <c s="886" r="EC122"/>
      <c s="886" r="ED122"/>
      <c s="886" r="EE122"/>
      <c s="418" r="EF122"/>
      <c s="550" r="EG122"/>
      <c s="550" r="EH122"/>
      <c t="str" s="620" r="EI122">
        <f>IF((COUNT(EH122:EH$146,EJ122:EJ$146)=0),NA(),IF(ISBLANK(EH122),EI121,(EI121+(EH122-EJ121))))</f>
        <v>#N/A:explicit</v>
      </c>
      <c s="550" r="EJ122"/>
      <c t="str" s="620" r="EK122">
        <f>IF(OR(ISBLANK(EJ122),ISNUMBER(EH123)),NA(),(EI122-EJ122))</f>
        <v>#N/A:explicit</v>
      </c>
      <c t="b" s="895" r="EL122">
        <v>0</v>
      </c>
      <c s="631" r="EM122"/>
      <c t="str" s="309" r="EN122">
        <f>IF((COUNT(EG122:EG$146)=0),NA(),IF(ISBLANK(EG122),IF(ISBLANK(EG121),MAX(EG$46:EG122),EG121),EG122))</f>
        <v>#N/A:explicit</v>
      </c>
      <c t="str" s="861" r="EO122">
        <f>IF(ISNA(EK122),IF(ISNUMBER(EN122),EO121,NA()),EK122)</f>
        <v>#N/A:explicit</v>
      </c>
      <c s="861" r="EP122">
        <f>IF(ISNUMBER(EO122),EO122,(EI$46+1000))</f>
        <v>1000</v>
      </c>
      <c t="str" s="588" r="EQ122">
        <f>IF((EL122=TRUE),NA(),IF((EQ$44=(EI$46-MAX(EJ$46:EJ$146))),NA(),EQ$44))</f>
        <v>#N/A:explicit</v>
      </c>
      <c s="588" r="ER122">
        <f>IF((ISNA(((EO122*EN122)*EO121))),0,(IF((EN122&lt;EN121),-1,1)*(IF((EL121=FALSE),IF((EL122=FALSE),IF(ISNA(EO122),0,IF((EO121&lt;EQ$44),IF((EO122&lt;EQ$44),(((EN122-EN121)^2)^0.5),(((((EQ$44-EO121)*(EN122-EN121))/(EO122-EO121))^2)^0.5)),IF((EO122&lt;EQ$44),(((((EQ$44-EO122)*(EN122-EN121))/(EO121-EO122))^2)^0.5),0))),0),0))))</f>
        <v>0</v>
      </c>
      <c s="588" r="ES122">
        <f>IF(ISNA((EO122*EO121)),0,IF((EL121=FALSE),IF((EL122=FALSE),IF(ISNA(EK122),0,IF((EO121&lt;EQ$44),IF((EO122&lt;EQ$44),((EQ$44-((EO121+EO122)*0.5))*ER122),(((EQ$44-EO121)*0.5)*ER122)),IF((EO122&lt;EQ$44),(((EQ$44-EO122)*0.5)*ER122),0))),0),0))</f>
        <v>0</v>
      </c>
      <c s="588" r="ET122">
        <f>IF(ISNA((EO122*EO121)),0,IF((EL121=FALSE),IF((EL122=FALSE),IF(ISNA(EO122),0,IF((EO121&lt;EQ$44),IF((EO122&lt;EQ$44),(((ER122^2)+((EO122-EO121)^2))^0.5),(((ER122^2)+((EQ$44-EO121)^2))^0.5)),IF((EO122&lt;EQ$44),(((ER122^2)+((EQ$44-EO122)^2))^0.5),0))),0),0))</f>
        <v>0</v>
      </c>
      <c s="588" r="EU122">
        <f>IF(ISNUMBER((EO122*EO121)),IF((EO121&gt;=EA$148),IF((EO122&lt;EA$148),1,0),IF((EO122&gt;=EA$148),IF((EO121&lt;EA$148),1,0),0)),0)</f>
        <v>0</v>
      </c>
      <c s="588" r="EV122">
        <f>IF(ISNA((EO122*EO121)),0,(IF((EN122&lt;EN121),-1,1)*(IF(ISNA(EO122),0,IF((EO121&lt;EA$148),IF((EO122&lt;EA$148),(((EN122-EN121)^2)^0.5),(((((EA$148-EO121)*(EN122-EN121))/(EO122-EO121))^2)^0.5)),IF((EO122&lt;EA$148),(((((EA$148-EO122)*(EN122-EN121))/(EO121-EO122))^2)^0.5),0))))))</f>
        <v>0</v>
      </c>
      <c s="441" r="EW122">
        <f>IF((ES122&gt;0),(MAX(EW$47:EW121)+1),0)</f>
        <v>0</v>
      </c>
      <c s="388" r="EX122"/>
      <c s="406" r="EY122"/>
      <c s="886" r="EZ122"/>
      <c s="886" r="FA122"/>
      <c s="886" r="FB122"/>
      <c s="886" r="FC122"/>
      <c s="418" r="FD122"/>
      <c s="550" r="FE122"/>
      <c s="550" r="FF122"/>
      <c t="str" s="620" r="FG122">
        <f>IF((COUNT(FF122:FF$146,FH122:FH$146)=0),NA(),IF(ISBLANK(FF122),FG121,(FG121+(FF122-FH121))))</f>
        <v>#N/A:explicit</v>
      </c>
      <c s="550" r="FH122"/>
      <c t="str" s="620" r="FI122">
        <f>IF(OR(ISBLANK(FH122),ISNUMBER(FF123)),NA(),(FG122-FH122))</f>
        <v>#N/A:explicit</v>
      </c>
      <c t="b" s="895" r="FJ122">
        <v>0</v>
      </c>
      <c s="631" r="FK122"/>
      <c t="str" s="309" r="FL122">
        <f>IF((COUNT(FE122:FE$146)=0),NA(),IF(ISBLANK(FE122),IF(ISBLANK(FE121),MAX(FE$46:FE122),FE121),FE122))</f>
        <v>#N/A:explicit</v>
      </c>
      <c t="str" s="861" r="FM122">
        <f>IF(ISNA(FI122),IF(ISNUMBER(FL122),FM121,NA()),FI122)</f>
        <v>#N/A:explicit</v>
      </c>
      <c s="861" r="FN122">
        <f>IF(ISNUMBER(FM122),FM122,(FG$46+1000))</f>
        <v>1000</v>
      </c>
      <c t="str" s="588" r="FO122">
        <f>IF((FJ122=TRUE),NA(),IF((FO$44=(FG$46-MAX(FH$46:FH$146))),NA(),FO$44))</f>
        <v>#N/A:explicit</v>
      </c>
      <c s="588" r="FP122">
        <f>IF((ISNA(((FM122*FL122)*FM121))),0,(IF((FL122&lt;FL121),-1,1)*(IF((FJ121=FALSE),IF((FJ122=FALSE),IF(ISNA(FM122),0,IF((FM121&lt;FO$44),IF((FM122&lt;FO$44),(((FL122-FL121)^2)^0.5),(((((FO$44-FM121)*(FL122-FL121))/(FM122-FM121))^2)^0.5)),IF((FM122&lt;FO$44),(((((FO$44-FM122)*(FL122-FL121))/(FM121-FM122))^2)^0.5),0))),0),0))))</f>
        <v>0</v>
      </c>
      <c s="588" r="FQ122">
        <f>IF(ISNA((FM122*FM121)),0,IF((FJ121=FALSE),IF((FJ122=FALSE),IF(ISNA(FI122),0,IF((FM121&lt;FO$44),IF((FM122&lt;FO$44),((FO$44-((FM121+FM122)*0.5))*FP122),(((FO$44-FM121)*0.5)*FP122)),IF((FM122&lt;FO$44),(((FO$44-FM122)*0.5)*FP122),0))),0),0))</f>
        <v>0</v>
      </c>
      <c s="588" r="FR122">
        <f>IF(ISNA((FM122*FM121)),0,IF((FJ121=FALSE),IF((FJ122=FALSE),IF(ISNA(FM122),0,IF((FM121&lt;FO$44),IF((FM122&lt;FO$44),(((FP122^2)+((FM122-FM121)^2))^0.5),(((FP122^2)+((FO$44-FM121)^2))^0.5)),IF((FM122&lt;FO$44),(((FP122^2)+((FO$44-FM122)^2))^0.5),0))),0),0))</f>
        <v>0</v>
      </c>
      <c s="588" r="FS122">
        <f>IF(ISNUMBER((FM122*FM121)),IF((FM121&gt;=EY$148),IF((FM122&lt;EY$148),1,0),IF((FM122&gt;=EY$148),IF((FM121&lt;EY$148),1,0),0)),0)</f>
        <v>0</v>
      </c>
      <c s="588" r="FT122">
        <f>IF(ISNA((FM122*FM121)),0,(IF((FL122&lt;FL121),-1,1)*(IF(ISNA(FM122),0,IF((FM121&lt;EY$148),IF((FM122&lt;EY$148),(((FL122-FL121)^2)^0.5),(((((EY$148-FM121)*(FL122-FL121))/(FM122-FM121))^2)^0.5)),IF((FM122&lt;EY$148),(((((EY$148-FM122)*(FL122-FL121))/(FM121-FM122))^2)^0.5),0))))))</f>
        <v>0</v>
      </c>
      <c s="441" r="FU122">
        <f>IF((FQ122&gt;0),(MAX(FU$47:FU121)+1),0)</f>
        <v>0</v>
      </c>
      <c s="222" r="FV122"/>
      <c s="125" r="FW122"/>
      <c s="761" r="FX122"/>
      <c s="761" r="FY122"/>
      <c s="761" r="FZ122"/>
      <c s="761" r="GA122"/>
      <c s="761" r="GB122"/>
      <c s="761" r="GC122"/>
      <c s="761" r="GD122"/>
      <c s="761" r="GE122"/>
      <c s="761" r="GF122"/>
      <c s="761" r="GG122"/>
      <c s="761" r="GH122"/>
      <c s="761" r="GI122"/>
      <c s="761" r="GJ122"/>
      <c s="761" r="GK122"/>
      <c s="125" r="GL122"/>
      <c s="761" r="GM122"/>
      <c s="125" r="GN122"/>
      <c s="125" r="GO122"/>
      <c s="125" r="GP122"/>
      <c s="125" r="GQ122"/>
      <c s="125" r="GR122"/>
      <c s="125" r="GS122"/>
      <c s="125" r="GT122"/>
      <c s="125" r="GU122"/>
      <c s="761" r="GV122"/>
      <c s="761" r="GW122"/>
      <c s="761" r="GX122"/>
      <c s="761" r="GY122"/>
      <c s="761" r="GZ122"/>
      <c s="125" r="HA122"/>
      <c s="125" r="HB122"/>
    </row>
    <row r="123">
      <c s="125" r="A123"/>
      <c s="125" r="B123"/>
      <c s="125" r="C123"/>
      <c s="125" r="D123"/>
      <c s="125" r="E123"/>
      <c s="125" r="F123"/>
      <c s="125" r="G123"/>
      <c s="125" r="H123"/>
      <c s="125" r="I123"/>
      <c s="822" r="J123"/>
      <c s="406" r="K123"/>
      <c s="886" r="L123"/>
      <c s="886" r="M123"/>
      <c s="886" r="N123"/>
      <c s="886" r="O123"/>
      <c s="418" r="P123"/>
      <c s="550" r="Q123"/>
      <c s="550" r="R123"/>
      <c t="str" s="620" r="S123">
        <f>IF((COUNT(R123:R$146,T123:T$146)=0),NA(),IF(ISBLANK(R123),S122,(S122+(R123-T122))))</f>
        <v>#N/A:explicit</v>
      </c>
      <c s="550" r="T123"/>
      <c t="str" s="620" r="U123">
        <f>IF(OR(ISBLANK(T123),ISNUMBER(R124)),NA(),(S123-T123))</f>
        <v>#N/A:explicit</v>
      </c>
      <c t="b" s="895" r="V123">
        <v>0</v>
      </c>
      <c s="631" r="W123"/>
      <c t="str" s="309" r="X123">
        <f>IF((COUNT(Q123:Q$146)=0),NA(),IF(ISBLANK(Q123),IF(ISBLANK(Q122),MAX(Q$46:Q123),Q122),Q123))</f>
        <v>#N/A:explicit</v>
      </c>
      <c t="str" s="861" r="Y123">
        <f>IF(ISNA(U123),IF(ISNUMBER(X123),Y122,NA()),U123)</f>
        <v>#N/A:explicit</v>
      </c>
      <c s="861" r="Z123">
        <f>IF(ISNUMBER(Y123),Y123,(S$46+1000))</f>
        <v>1000</v>
      </c>
      <c t="str" s="588" r="AA123">
        <f>IF((V123=TRUE),NA(),IF((AA$44=(S$46-MAX(T$46:T$146))),NA(),AA$44))</f>
        <v>#N/A:explicit</v>
      </c>
      <c s="588" r="AB123">
        <f>IF((ISNA(((Y123*X123)*Y122))),0,(IF((X123&lt;X122),-1,1)*(IF((V122=FALSE),IF((V123=FALSE),IF(ISNA(Y123),0,IF((Y122&lt;AA$44),IF((Y123&lt;AA$44),(((X123-X122)^2)^0.5),(((((AA$44-Y122)*(X123-X122))/(Y123-Y122))^2)^0.5)),IF((Y123&lt;AA$44),(((((AA$44-Y123)*(X123-X122))/(Y122-Y123))^2)^0.5),0))),0),0))))</f>
        <v>0</v>
      </c>
      <c s="588" r="AC123">
        <f>IF(ISNA((Y123*Y122)),0,IF((V122=FALSE),IF((V123=FALSE),IF(ISNA(U123),0,IF((Y122&lt;AA$44),IF((Y123&lt;AA$44),((AA$44-((Y122+Y123)*0.5))*AB123),(((AA$44-Y122)*0.5)*AB123)),IF((Y123&lt;AA$44),(((AA$44-Y123)*0.5)*AB123),0))),0),0))</f>
        <v>0</v>
      </c>
      <c s="588" r="AD123">
        <f>IF(ISNA((Y123*Y122)),0,IF((V122=FALSE),IF((V123=FALSE),IF(ISNA(Y123),0,IF((Y122&lt;AA$44),IF((Y123&lt;AA$44),(((AB123^2)+((Y123-Y122)^2))^0.5),(((AB123^2)+((AA$44-Y122)^2))^0.5)),IF((Y123&lt;AA$44),(((AB123^2)+((AA$44-Y123)^2))^0.5),0))),0),0))</f>
        <v>0</v>
      </c>
      <c s="588" r="AE123">
        <f>IF(ISNUMBER((Y123*Y122)),IF((Y122&gt;=K$148),IF((Y123&lt;K$148),1,0),IF((Y123&gt;=K$148),IF((Y122&lt;K$148),1,0),0)),0)</f>
        <v>0</v>
      </c>
      <c s="588" r="AF123">
        <f>IF(ISNA((Y123*Y122)),0,(IF((X123&lt;X122),-1,1)*(IF(ISNA(Y123),0,IF((Y122&lt;K$148),IF((Y123&lt;K$148),(((X123-X122)^2)^0.5),(((((K$148-Y122)*(X123-X122))/(Y123-Y122))^2)^0.5)),IF((Y123&lt;K$148),(((((K$148-Y123)*(X123-X122))/(Y122-Y123))^2)^0.5),0))))))</f>
        <v>0</v>
      </c>
      <c s="441" r="AG123">
        <f>IF((AC123&gt;0),(MAX(AG$47:AG122)+1),0)</f>
        <v>0</v>
      </c>
      <c s="388" r="AH123"/>
      <c s="406" r="AI123"/>
      <c s="886" r="AJ123"/>
      <c s="886" r="AK123"/>
      <c s="886" r="AL123"/>
      <c s="886" r="AM123"/>
      <c s="418" r="AN123"/>
      <c s="550" r="AO123"/>
      <c s="550" r="AP123"/>
      <c t="str" s="620" r="AQ123">
        <f>IF((COUNT(AP123:AP$146,AR123:AR$146)=0),NA(),IF(ISBLANK(AP123),AQ122,(AQ122+(AP123-AR122))))</f>
        <v>#N/A:explicit</v>
      </c>
      <c s="550" r="AR123"/>
      <c t="str" s="620" r="AS123">
        <f>IF(OR(ISBLANK(AR123),ISNUMBER(AP124)),NA(),(AQ123-AR123))</f>
        <v>#N/A:explicit</v>
      </c>
      <c t="b" s="895" r="AT123">
        <v>0</v>
      </c>
      <c s="631" r="AU123"/>
      <c t="str" s="309" r="AV123">
        <f>IF((COUNT(AO123:AO$146)=0),NA(),IF(ISBLANK(AO123),IF(ISBLANK(AO122),MAX(AO$46:AO123),AO122),AO123))</f>
        <v>#N/A:explicit</v>
      </c>
      <c t="str" s="861" r="AW123">
        <f>IF(ISNA(AS123),IF(ISNUMBER(AV123),AW122,NA()),AS123)</f>
        <v>#N/A:explicit</v>
      </c>
      <c s="861" r="AX123">
        <f>IF(ISNUMBER(AW123),AW123,(AQ$46+1000))</f>
        <v>1000</v>
      </c>
      <c t="str" s="588" r="AY123">
        <f>IF((AT123=TRUE),NA(),IF((AY$44=(AQ$46-MAX(AR$46:AR$146))),NA(),AY$44))</f>
        <v>#N/A:explicit</v>
      </c>
      <c s="588" r="AZ123">
        <f>IF((ISNA(((AW123*AV123)*AW122))),0,(IF((AV123&lt;AV122),-1,1)*(IF((AT122=FALSE),IF((AT123=FALSE),IF(ISNA(AW123),0,IF((AW122&lt;AY$44),IF((AW123&lt;AY$44),(((AV123-AV122)^2)^0.5),(((((AY$44-AW122)*(AV123-AV122))/(AW123-AW122))^2)^0.5)),IF((AW123&lt;AY$44),(((((AY$44-AW123)*(AV123-AV122))/(AW122-AW123))^2)^0.5),0))),0),0))))</f>
        <v>0</v>
      </c>
      <c s="588" r="BA123">
        <f>IF(ISNA((AW123*AW122)),0,IF((AT122=FALSE),IF((AT123=FALSE),IF(ISNA(AS123),0,IF((AW122&lt;AY$44),IF((AW123&lt;AY$44),((AY$44-((AW122+AW123)*0.5))*AZ123),(((AY$44-AW122)*0.5)*AZ123)),IF((AW123&lt;AY$44),(((AY$44-AW123)*0.5)*AZ123),0))),0),0))</f>
        <v>0</v>
      </c>
      <c s="588" r="BB123">
        <f>IF(ISNA((AW123*AW122)),0,IF((AT122=FALSE),IF((AT123=FALSE),IF(ISNA(AW123),0,IF((AW122&lt;AY$44),IF((AW123&lt;AY$44),(((AZ123^2)+((AW123-AW122)^2))^0.5),(((AZ123^2)+((AY$44-AW122)^2))^0.5)),IF((AW123&lt;AY$44),(((AZ123^2)+((AY$44-AW123)^2))^0.5),0))),0),0))</f>
        <v>0</v>
      </c>
      <c s="588" r="BC123">
        <f>IF(ISNUMBER((AW123*AW122)),IF((AW122&gt;=AI$148),IF((AW123&lt;AI$148),1,0),IF((AW123&gt;=AI$148),IF((AW122&lt;AI$148),1,0),0)),0)</f>
        <v>0</v>
      </c>
      <c s="588" r="BD123">
        <f>IF(ISNA((AW123*AW122)),0,(IF((AV123&lt;AV122),-1,1)*(IF(ISNA(AW123),0,IF((AW122&lt;AI$148),IF((AW123&lt;AI$148),(((AV123-AV122)^2)^0.5),(((((AI$148-AW122)*(AV123-AV122))/(AW123-AW122))^2)^0.5)),IF((AW123&lt;AI$148),(((((AI$148-AW123)*(AV123-AV122))/(AW122-AW123))^2)^0.5),0))))))</f>
        <v>0</v>
      </c>
      <c s="441" r="BE123">
        <f>IF((BA123&gt;0),(MAX(BE$47:BE122)+1),0)</f>
        <v>0</v>
      </c>
      <c s="388" r="BF123"/>
      <c s="406" r="BG123"/>
      <c s="886" r="BH123"/>
      <c s="886" r="BI123"/>
      <c s="886" r="BJ123"/>
      <c s="886" r="BK123"/>
      <c s="418" r="BL123"/>
      <c s="550" r="BM123"/>
      <c s="550" r="BN123"/>
      <c t="str" s="620" r="BO123">
        <f>IF((COUNT(BN123:BN$146,BP123:BP$146)=0),NA(),IF(ISBLANK(BN123),BO122,(BO122+(BN123-BP122))))</f>
        <v>#N/A:explicit</v>
      </c>
      <c s="550" r="BP123"/>
      <c t="str" s="620" r="BQ123">
        <f>IF(OR(ISBLANK(BP123),ISNUMBER(BN124)),NA(),(BO123-BP123))</f>
        <v>#N/A:explicit</v>
      </c>
      <c t="b" s="895" r="BR123">
        <v>0</v>
      </c>
      <c s="631" r="BS123"/>
      <c t="str" s="309" r="BT123">
        <f>IF((COUNT(BM123:BM$146)=0),NA(),IF(ISBLANK(BM123),IF(ISBLANK(BM122),MAX(BM$46:BM123),BM122),BM123))</f>
        <v>#N/A:explicit</v>
      </c>
      <c t="str" s="861" r="BU123">
        <f>IF(ISNA(BQ123),IF(ISNUMBER(BT123),BU122,NA()),BQ123)</f>
        <v>#N/A:explicit</v>
      </c>
      <c s="861" r="BV123">
        <f>IF(ISNUMBER(BU123),BU123,(BO$46+1000))</f>
        <v>1000</v>
      </c>
      <c t="str" s="588" r="BW123">
        <f>IF((BR123=TRUE),NA(),IF((BW$44=(BO$46-MAX(BP$46:BP$146))),NA(),BW$44))</f>
        <v>#N/A:explicit</v>
      </c>
      <c s="588" r="BX123">
        <f>IF((ISNA(((BU123*BT123)*BU122))),0,(IF((BT123&lt;BT122),-1,1)*(IF((BR122=FALSE),IF((BR123=FALSE),IF(ISNA(BU123),0,IF((BU122&lt;BW$44),IF((BU123&lt;BW$44),(((BT123-BT122)^2)^0.5),(((((BW$44-BU122)*(BT123-BT122))/(BU123-BU122))^2)^0.5)),IF((BU123&lt;BW$44),(((((BW$44-BU123)*(BT123-BT122))/(BU122-BU123))^2)^0.5),0))),0),0))))</f>
        <v>0</v>
      </c>
      <c s="588" r="BY123">
        <f>IF(ISNA((BU123*BU122)),0,IF((BR122=FALSE),IF((BR123=FALSE),IF(ISNA(BQ123),0,IF((BU122&lt;BW$44),IF((BU123&lt;BW$44),((BW$44-((BU122+BU123)*0.5))*BX123),(((BW$44-BU122)*0.5)*BX123)),IF((BU123&lt;BW$44),(((BW$44-BU123)*0.5)*BX123),0))),0),0))</f>
        <v>0</v>
      </c>
      <c s="588" r="BZ123">
        <f>IF(ISNA((BU123*BU122)),0,IF((BR122=FALSE),IF((BR123=FALSE),IF(ISNA(BU123),0,IF((BU122&lt;BW$44),IF((BU123&lt;BW$44),(((BX123^2)+((BU123-BU122)^2))^0.5),(((BX123^2)+((BW$44-BU122)^2))^0.5)),IF((BU123&lt;BW$44),(((BX123^2)+((BW$44-BU123)^2))^0.5),0))),0),0))</f>
        <v>0</v>
      </c>
      <c s="588" r="CA123">
        <f>IF(ISNUMBER((BU123*BU122)),IF((BU122&gt;=BG$148),IF((BU123&lt;BG$148),1,0),IF((BU123&gt;=BG$148),IF((BU122&lt;BG$148),1,0),0)),0)</f>
        <v>0</v>
      </c>
      <c s="588" r="CB123">
        <f>IF(ISNA((BU123*BU122)),0,(IF((BT123&lt;BT122),-1,1)*(IF(ISNA(BU123),0,IF((BU122&lt;BG$148),IF((BU123&lt;BG$148),(((BT123-BT122)^2)^0.5),(((((BG$148-BU122)*(BT123-BT122))/(BU123-BU122))^2)^0.5)),IF((BU123&lt;BG$148),(((((BG$148-BU123)*(BT123-BT122))/(BU122-BU123))^2)^0.5),0))))))</f>
        <v>0</v>
      </c>
      <c s="441" r="CC123">
        <f>IF((BY123&gt;0),(MAX(CC$47:CC122)+1),0)</f>
        <v>0</v>
      </c>
      <c s="388" r="CD123"/>
      <c s="406" r="CE123"/>
      <c s="886" r="CF123"/>
      <c s="886" r="CG123"/>
      <c s="886" r="CH123"/>
      <c s="886" r="CI123"/>
      <c s="418" r="CJ123"/>
      <c s="550" r="CK123"/>
      <c s="550" r="CL123"/>
      <c t="str" s="620" r="CM123">
        <f>IF((COUNT(CL123:CL$146,CN123:CN$146)=0),NA(),IF(ISBLANK(CL123),CM122,(CM122+(CL123-CN122))))</f>
        <v>#N/A:explicit</v>
      </c>
      <c s="550" r="CN123"/>
      <c t="str" s="620" r="CO123">
        <f>IF(OR(ISBLANK(CN123),ISNUMBER(CL124)),NA(),(CM123-CN123))</f>
        <v>#N/A:explicit</v>
      </c>
      <c t="b" s="895" r="CP123">
        <v>0</v>
      </c>
      <c s="631" r="CQ123"/>
      <c t="str" s="309" r="CR123">
        <f>IF((COUNT(CK123:CK$146)=0),NA(),IF(ISBLANK(CK123),IF(ISBLANK(CK122),MAX(CK$46:CK123),CK122),CK123))</f>
        <v>#N/A:explicit</v>
      </c>
      <c t="str" s="861" r="CS123">
        <f>IF(ISNA(CO123),IF(ISNUMBER(CR123),CS122,NA()),CO123)</f>
        <v>#N/A:explicit</v>
      </c>
      <c s="861" r="CT123">
        <f>IF(ISNUMBER(CS123),CS123,(CM$46+1000))</f>
        <v>1000</v>
      </c>
      <c t="str" s="588" r="CU123">
        <f>IF((CP123=TRUE),NA(),IF((CU$44=(CM$46-MAX(CN$46:CN$146))),NA(),CU$44))</f>
        <v>#N/A:explicit</v>
      </c>
      <c s="588" r="CV123">
        <f>IF((ISNA(((CS123*CR123)*CS122))),0,(IF((CR123&lt;CR122),-1,1)*(IF((CP122=FALSE),IF((CP123=FALSE),IF(ISNA(CS123),0,IF((CS122&lt;CU$44),IF((CS123&lt;CU$44),(((CR123-CR122)^2)^0.5),(((((CU$44-CS122)*(CR123-CR122))/(CS123-CS122))^2)^0.5)),IF((CS123&lt;CU$44),(((((CU$44-CS123)*(CR123-CR122))/(CS122-CS123))^2)^0.5),0))),0),0))))</f>
        <v>0</v>
      </c>
      <c s="588" r="CW123">
        <f>IF(ISNA((CS123*CS122)),0,IF((CP122=FALSE),IF((CP123=FALSE),IF(ISNA(CO123),0,IF((CS122&lt;CU$44),IF((CS123&lt;CU$44),((CU$44-((CS122+CS123)*0.5))*CV123),(((CU$44-CS122)*0.5)*CV123)),IF((CS123&lt;CU$44),(((CU$44-CS123)*0.5)*CV123),0))),0),0))</f>
        <v>0</v>
      </c>
      <c s="588" r="CX123">
        <f>IF(ISNA((CS123*CS122)),0,IF((CP122=FALSE),IF((CP123=FALSE),IF(ISNA(CS123),0,IF((CS122&lt;CU$44),IF((CS123&lt;CU$44),(((CV123^2)+((CS123-CS122)^2))^0.5),(((CV123^2)+((CU$44-CS122)^2))^0.5)),IF((CS123&lt;CU$44),(((CV123^2)+((CU$44-CS123)^2))^0.5),0))),0),0))</f>
        <v>0</v>
      </c>
      <c s="588" r="CY123">
        <f>IF(ISNUMBER((CS123*CS122)),IF((CS122&gt;=CE$148),IF((CS123&lt;CE$148),1,0),IF((CS123&gt;=CE$148),IF((CS122&lt;CE$148),1,0),0)),0)</f>
        <v>0</v>
      </c>
      <c s="588" r="CZ123">
        <f>IF(ISNA((CS123*CS122)),0,(IF((CR123&lt;CR122),-1,1)*(IF(ISNA(CS123),0,IF((CS122&lt;CE$148),IF((CS123&lt;CE$148),(((CR123-CR122)^2)^0.5),(((((CE$148-CS122)*(CR123-CR122))/(CS123-CS122))^2)^0.5)),IF((CS123&lt;CE$148),(((((CE$148-CS123)*(CR123-CR122))/(CS122-CS123))^2)^0.5),0))))))</f>
        <v>0</v>
      </c>
      <c s="441" r="DA123">
        <f>IF((CW123&gt;0),(MAX(DA$47:DA122)+1),0)</f>
        <v>0</v>
      </c>
      <c s="388" r="DB123"/>
      <c s="406" r="DC123"/>
      <c s="886" r="DD123"/>
      <c s="886" r="DE123"/>
      <c s="886" r="DF123"/>
      <c s="886" r="DG123"/>
      <c s="418" r="DH123"/>
      <c s="550" r="DI123"/>
      <c s="550" r="DJ123"/>
      <c t="str" s="620" r="DK123">
        <f>IF((COUNT(DJ123:DJ$146,DL123:DL$146)=0),NA(),IF(ISBLANK(DJ123),DK122,(DK122+(DJ123-DL122))))</f>
        <v>#N/A:explicit</v>
      </c>
      <c s="550" r="DL123"/>
      <c t="str" s="620" r="DM123">
        <f>IF(OR(ISBLANK(DL123),ISNUMBER(DJ124)),NA(),(DK123-DL123))</f>
        <v>#N/A:explicit</v>
      </c>
      <c t="b" s="895" r="DN123">
        <v>0</v>
      </c>
      <c s="631" r="DO123"/>
      <c t="str" s="309" r="DP123">
        <f>IF((COUNT(DI123:DI$146)=0),NA(),IF(ISBLANK(DI123),IF(ISBLANK(DI122),MAX(DI$46:DI123),DI122),DI123))</f>
        <v>#N/A:explicit</v>
      </c>
      <c t="str" s="861" r="DQ123">
        <f>IF(ISNA(DM123),IF(ISNUMBER(DP123),DQ122,NA()),DM123)</f>
        <v>#N/A:explicit</v>
      </c>
      <c s="861" r="DR123">
        <f>IF(ISNUMBER(DQ123),DQ123,(DK$46+1000))</f>
        <v>1000</v>
      </c>
      <c t="str" s="588" r="DS123">
        <f>IF((DN123=TRUE),NA(),IF((DS$44=(DK$46-MAX(DL$46:DL$146))),NA(),DS$44))</f>
        <v>#N/A:explicit</v>
      </c>
      <c s="588" r="DT123">
        <f>IF((ISNA(((DQ123*DP123)*DQ122))),0,(IF((DP123&lt;DP122),-1,1)*(IF((DN122=FALSE),IF((DN123=FALSE),IF(ISNA(DQ123),0,IF((DQ122&lt;DS$44),IF((DQ123&lt;DS$44),(((DP123-DP122)^2)^0.5),(((((DS$44-DQ122)*(DP123-DP122))/(DQ123-DQ122))^2)^0.5)),IF((DQ123&lt;DS$44),(((((DS$44-DQ123)*(DP123-DP122))/(DQ122-DQ123))^2)^0.5),0))),0),0))))</f>
        <v>0</v>
      </c>
      <c s="588" r="DU123">
        <f>IF(ISNA((DQ123*DQ122)),0,IF((DN122=FALSE),IF((DN123=FALSE),IF(ISNA(DM123),0,IF((DQ122&lt;DS$44),IF((DQ123&lt;DS$44),((DS$44-((DQ122+DQ123)*0.5))*DT123),(((DS$44-DQ122)*0.5)*DT123)),IF((DQ123&lt;DS$44),(((DS$44-DQ123)*0.5)*DT123),0))),0),0))</f>
        <v>0</v>
      </c>
      <c s="588" r="DV123">
        <f>IF(ISNA((DQ123*DQ122)),0,IF((DN122=FALSE),IF((DN123=FALSE),IF(ISNA(DQ123),0,IF((DQ122&lt;DS$44),IF((DQ123&lt;DS$44),(((DT123^2)+((DQ123-DQ122)^2))^0.5),(((DT123^2)+((DS$44-DQ122)^2))^0.5)),IF((DQ123&lt;DS$44),(((DT123^2)+((DS$44-DQ123)^2))^0.5),0))),0),0))</f>
        <v>0</v>
      </c>
      <c s="588" r="DW123">
        <f>IF(ISNUMBER((DQ123*DQ122)),IF((DQ122&gt;=DC$148),IF((DQ123&lt;DC$148),1,0),IF((DQ123&gt;=DC$148),IF((DQ122&lt;DC$148),1,0),0)),0)</f>
        <v>0</v>
      </c>
      <c s="588" r="DX123">
        <f>IF(ISNA((DQ123*DQ122)),0,(IF((DP123&lt;DP122),-1,1)*(IF(ISNA(DQ123),0,IF((DQ122&lt;DC$148),IF((DQ123&lt;DC$148),(((DP123-DP122)^2)^0.5),(((((DC$148-DQ122)*(DP123-DP122))/(DQ123-DQ122))^2)^0.5)),IF((DQ123&lt;DC$148),(((((DC$148-DQ123)*(DP123-DP122))/(DQ122-DQ123))^2)^0.5),0))))))</f>
        <v>0</v>
      </c>
      <c s="441" r="DY123">
        <f>IF((DU123&gt;0),(MAX(DY$47:DY122)+1),0)</f>
        <v>0</v>
      </c>
      <c s="388" r="DZ123"/>
      <c s="406" r="EA123"/>
      <c s="886" r="EB123"/>
      <c s="886" r="EC123"/>
      <c s="886" r="ED123"/>
      <c s="886" r="EE123"/>
      <c s="418" r="EF123"/>
      <c s="550" r="EG123"/>
      <c s="550" r="EH123"/>
      <c t="str" s="620" r="EI123">
        <f>IF((COUNT(EH123:EH$146,EJ123:EJ$146)=0),NA(),IF(ISBLANK(EH123),EI122,(EI122+(EH123-EJ122))))</f>
        <v>#N/A:explicit</v>
      </c>
      <c s="550" r="EJ123"/>
      <c t="str" s="620" r="EK123">
        <f>IF(OR(ISBLANK(EJ123),ISNUMBER(EH124)),NA(),(EI123-EJ123))</f>
        <v>#N/A:explicit</v>
      </c>
      <c t="b" s="895" r="EL123">
        <v>0</v>
      </c>
      <c s="631" r="EM123"/>
      <c t="str" s="309" r="EN123">
        <f>IF((COUNT(EG123:EG$146)=0),NA(),IF(ISBLANK(EG123),IF(ISBLANK(EG122),MAX(EG$46:EG123),EG122),EG123))</f>
        <v>#N/A:explicit</v>
      </c>
      <c t="str" s="861" r="EO123">
        <f>IF(ISNA(EK123),IF(ISNUMBER(EN123),EO122,NA()),EK123)</f>
        <v>#N/A:explicit</v>
      </c>
      <c s="861" r="EP123">
        <f>IF(ISNUMBER(EO123),EO123,(EI$46+1000))</f>
        <v>1000</v>
      </c>
      <c t="str" s="588" r="EQ123">
        <f>IF((EL123=TRUE),NA(),IF((EQ$44=(EI$46-MAX(EJ$46:EJ$146))),NA(),EQ$44))</f>
        <v>#N/A:explicit</v>
      </c>
      <c s="588" r="ER123">
        <f>IF((ISNA(((EO123*EN123)*EO122))),0,(IF((EN123&lt;EN122),-1,1)*(IF((EL122=FALSE),IF((EL123=FALSE),IF(ISNA(EO123),0,IF((EO122&lt;EQ$44),IF((EO123&lt;EQ$44),(((EN123-EN122)^2)^0.5),(((((EQ$44-EO122)*(EN123-EN122))/(EO123-EO122))^2)^0.5)),IF((EO123&lt;EQ$44),(((((EQ$44-EO123)*(EN123-EN122))/(EO122-EO123))^2)^0.5),0))),0),0))))</f>
        <v>0</v>
      </c>
      <c s="588" r="ES123">
        <f>IF(ISNA((EO123*EO122)),0,IF((EL122=FALSE),IF((EL123=FALSE),IF(ISNA(EK123),0,IF((EO122&lt;EQ$44),IF((EO123&lt;EQ$44),((EQ$44-((EO122+EO123)*0.5))*ER123),(((EQ$44-EO122)*0.5)*ER123)),IF((EO123&lt;EQ$44),(((EQ$44-EO123)*0.5)*ER123),0))),0),0))</f>
        <v>0</v>
      </c>
      <c s="588" r="ET123">
        <f>IF(ISNA((EO123*EO122)),0,IF((EL122=FALSE),IF((EL123=FALSE),IF(ISNA(EO123),0,IF((EO122&lt;EQ$44),IF((EO123&lt;EQ$44),(((ER123^2)+((EO123-EO122)^2))^0.5),(((ER123^2)+((EQ$44-EO122)^2))^0.5)),IF((EO123&lt;EQ$44),(((ER123^2)+((EQ$44-EO123)^2))^0.5),0))),0),0))</f>
        <v>0</v>
      </c>
      <c s="588" r="EU123">
        <f>IF(ISNUMBER((EO123*EO122)),IF((EO122&gt;=EA$148),IF((EO123&lt;EA$148),1,0),IF((EO123&gt;=EA$148),IF((EO122&lt;EA$148),1,0),0)),0)</f>
        <v>0</v>
      </c>
      <c s="588" r="EV123">
        <f>IF(ISNA((EO123*EO122)),0,(IF((EN123&lt;EN122),-1,1)*(IF(ISNA(EO123),0,IF((EO122&lt;EA$148),IF((EO123&lt;EA$148),(((EN123-EN122)^2)^0.5),(((((EA$148-EO122)*(EN123-EN122))/(EO123-EO122))^2)^0.5)),IF((EO123&lt;EA$148),(((((EA$148-EO123)*(EN123-EN122))/(EO122-EO123))^2)^0.5),0))))))</f>
        <v>0</v>
      </c>
      <c s="441" r="EW123">
        <f>IF((ES123&gt;0),(MAX(EW$47:EW122)+1),0)</f>
        <v>0</v>
      </c>
      <c s="388" r="EX123"/>
      <c s="406" r="EY123"/>
      <c s="886" r="EZ123"/>
      <c s="886" r="FA123"/>
      <c s="886" r="FB123"/>
      <c s="886" r="FC123"/>
      <c s="418" r="FD123"/>
      <c s="550" r="FE123"/>
      <c s="550" r="FF123"/>
      <c t="str" s="620" r="FG123">
        <f>IF((COUNT(FF123:FF$146,FH123:FH$146)=0),NA(),IF(ISBLANK(FF123),FG122,(FG122+(FF123-FH122))))</f>
        <v>#N/A:explicit</v>
      </c>
      <c s="550" r="FH123"/>
      <c t="str" s="620" r="FI123">
        <f>IF(OR(ISBLANK(FH123),ISNUMBER(FF124)),NA(),(FG123-FH123))</f>
        <v>#N/A:explicit</v>
      </c>
      <c t="b" s="895" r="FJ123">
        <v>0</v>
      </c>
      <c s="631" r="FK123"/>
      <c t="str" s="309" r="FL123">
        <f>IF((COUNT(FE123:FE$146)=0),NA(),IF(ISBLANK(FE123),IF(ISBLANK(FE122),MAX(FE$46:FE123),FE122),FE123))</f>
        <v>#N/A:explicit</v>
      </c>
      <c t="str" s="861" r="FM123">
        <f>IF(ISNA(FI123),IF(ISNUMBER(FL123),FM122,NA()),FI123)</f>
        <v>#N/A:explicit</v>
      </c>
      <c s="861" r="FN123">
        <f>IF(ISNUMBER(FM123),FM123,(FG$46+1000))</f>
        <v>1000</v>
      </c>
      <c t="str" s="588" r="FO123">
        <f>IF((FJ123=TRUE),NA(),IF((FO$44=(FG$46-MAX(FH$46:FH$146))),NA(),FO$44))</f>
        <v>#N/A:explicit</v>
      </c>
      <c s="588" r="FP123">
        <f>IF((ISNA(((FM123*FL123)*FM122))),0,(IF((FL123&lt;FL122),-1,1)*(IF((FJ122=FALSE),IF((FJ123=FALSE),IF(ISNA(FM123),0,IF((FM122&lt;FO$44),IF((FM123&lt;FO$44),(((FL123-FL122)^2)^0.5),(((((FO$44-FM122)*(FL123-FL122))/(FM123-FM122))^2)^0.5)),IF((FM123&lt;FO$44),(((((FO$44-FM123)*(FL123-FL122))/(FM122-FM123))^2)^0.5),0))),0),0))))</f>
        <v>0</v>
      </c>
      <c s="588" r="FQ123">
        <f>IF(ISNA((FM123*FM122)),0,IF((FJ122=FALSE),IF((FJ123=FALSE),IF(ISNA(FI123),0,IF((FM122&lt;FO$44),IF((FM123&lt;FO$44),((FO$44-((FM122+FM123)*0.5))*FP123),(((FO$44-FM122)*0.5)*FP123)),IF((FM123&lt;FO$44),(((FO$44-FM123)*0.5)*FP123),0))),0),0))</f>
        <v>0</v>
      </c>
      <c s="588" r="FR123">
        <f>IF(ISNA((FM123*FM122)),0,IF((FJ122=FALSE),IF((FJ123=FALSE),IF(ISNA(FM123),0,IF((FM122&lt;FO$44),IF((FM123&lt;FO$44),(((FP123^2)+((FM123-FM122)^2))^0.5),(((FP123^2)+((FO$44-FM122)^2))^0.5)),IF((FM123&lt;FO$44),(((FP123^2)+((FO$44-FM123)^2))^0.5),0))),0),0))</f>
        <v>0</v>
      </c>
      <c s="588" r="FS123">
        <f>IF(ISNUMBER((FM123*FM122)),IF((FM122&gt;=EY$148),IF((FM123&lt;EY$148),1,0),IF((FM123&gt;=EY$148),IF((FM122&lt;EY$148),1,0),0)),0)</f>
        <v>0</v>
      </c>
      <c s="588" r="FT123">
        <f>IF(ISNA((FM123*FM122)),0,(IF((FL123&lt;FL122),-1,1)*(IF(ISNA(FM123),0,IF((FM122&lt;EY$148),IF((FM123&lt;EY$148),(((FL123-FL122)^2)^0.5),(((((EY$148-FM122)*(FL123-FL122))/(FM123-FM122))^2)^0.5)),IF((FM123&lt;EY$148),(((((EY$148-FM123)*(FL123-FL122))/(FM122-FM123))^2)^0.5),0))))))</f>
        <v>0</v>
      </c>
      <c s="441" r="FU123">
        <f>IF((FQ123&gt;0),(MAX(FU$47:FU122)+1),0)</f>
        <v>0</v>
      </c>
      <c s="222" r="FV123"/>
      <c s="125" r="FW123"/>
      <c s="761" r="FX123"/>
      <c s="761" r="FY123"/>
      <c s="761" r="FZ123"/>
      <c s="761" r="GA123"/>
      <c s="761" r="GB123"/>
      <c s="761" r="GC123"/>
      <c s="761" r="GD123"/>
      <c s="761" r="GE123"/>
      <c s="761" r="GF123"/>
      <c s="761" r="GG123"/>
      <c s="761" r="GH123"/>
      <c s="761" r="GI123"/>
      <c s="761" r="GJ123"/>
      <c s="761" r="GK123"/>
      <c s="125" r="GL123"/>
      <c s="761" r="GM123"/>
      <c s="125" r="GN123"/>
      <c s="125" r="GO123"/>
      <c s="125" r="GP123"/>
      <c s="125" r="GQ123"/>
      <c s="125" r="GR123"/>
      <c s="125" r="GS123"/>
      <c s="125" r="GT123"/>
      <c s="125" r="GU123"/>
      <c s="761" r="GV123"/>
      <c s="761" r="GW123"/>
      <c s="761" r="GX123"/>
      <c s="761" r="GY123"/>
      <c s="761" r="GZ123"/>
      <c s="125" r="HA123"/>
      <c s="125" r="HB123"/>
    </row>
    <row r="124">
      <c s="125" r="A124"/>
      <c s="125" r="B124"/>
      <c s="125" r="C124"/>
      <c s="125" r="D124"/>
      <c s="125" r="E124"/>
      <c s="125" r="F124"/>
      <c s="125" r="G124"/>
      <c s="125" r="H124"/>
      <c s="125" r="I124"/>
      <c s="822" r="J124"/>
      <c s="406" r="K124"/>
      <c s="886" r="L124"/>
      <c s="886" r="M124"/>
      <c s="886" r="N124"/>
      <c s="886" r="O124"/>
      <c s="418" r="P124"/>
      <c s="550" r="Q124"/>
      <c s="550" r="R124"/>
      <c t="str" s="620" r="S124">
        <f>IF((COUNT(R124:R$146,T124:T$146)=0),NA(),IF(ISBLANK(R124),S123,(S123+(R124-T123))))</f>
        <v>#N/A:explicit</v>
      </c>
      <c s="550" r="T124"/>
      <c t="str" s="620" r="U124">
        <f>IF(OR(ISBLANK(T124),ISNUMBER(R125)),NA(),(S124-T124))</f>
        <v>#N/A:explicit</v>
      </c>
      <c t="b" s="895" r="V124">
        <v>0</v>
      </c>
      <c s="631" r="W124"/>
      <c t="str" s="309" r="X124">
        <f>IF((COUNT(Q124:Q$146)=0),NA(),IF(ISBLANK(Q124),IF(ISBLANK(Q123),MAX(Q$46:Q124),Q123),Q124))</f>
        <v>#N/A:explicit</v>
      </c>
      <c t="str" s="861" r="Y124">
        <f>IF(ISNA(U124),IF(ISNUMBER(X124),Y123,NA()),U124)</f>
        <v>#N/A:explicit</v>
      </c>
      <c s="861" r="Z124">
        <f>IF(ISNUMBER(Y124),Y124,(S$46+1000))</f>
        <v>1000</v>
      </c>
      <c t="str" s="588" r="AA124">
        <f>IF((V124=TRUE),NA(),IF((AA$44=(S$46-MAX(T$46:T$146))),NA(),AA$44))</f>
        <v>#N/A:explicit</v>
      </c>
      <c s="588" r="AB124">
        <f>IF((ISNA(((Y124*X124)*Y123))),0,(IF((X124&lt;X123),-1,1)*(IF((V123=FALSE),IF((V124=FALSE),IF(ISNA(Y124),0,IF((Y123&lt;AA$44),IF((Y124&lt;AA$44),(((X124-X123)^2)^0.5),(((((AA$44-Y123)*(X124-X123))/(Y124-Y123))^2)^0.5)),IF((Y124&lt;AA$44),(((((AA$44-Y124)*(X124-X123))/(Y123-Y124))^2)^0.5),0))),0),0))))</f>
        <v>0</v>
      </c>
      <c s="588" r="AC124">
        <f>IF(ISNA((Y124*Y123)),0,IF((V123=FALSE),IF((V124=FALSE),IF(ISNA(U124),0,IF((Y123&lt;AA$44),IF((Y124&lt;AA$44),((AA$44-((Y123+Y124)*0.5))*AB124),(((AA$44-Y123)*0.5)*AB124)),IF((Y124&lt;AA$44),(((AA$44-Y124)*0.5)*AB124),0))),0),0))</f>
        <v>0</v>
      </c>
      <c s="588" r="AD124">
        <f>IF(ISNA((Y124*Y123)),0,IF((V123=FALSE),IF((V124=FALSE),IF(ISNA(Y124),0,IF((Y123&lt;AA$44),IF((Y124&lt;AA$44),(((AB124^2)+((Y124-Y123)^2))^0.5),(((AB124^2)+((AA$44-Y123)^2))^0.5)),IF((Y124&lt;AA$44),(((AB124^2)+((AA$44-Y124)^2))^0.5),0))),0),0))</f>
        <v>0</v>
      </c>
      <c s="588" r="AE124">
        <f>IF(ISNUMBER((Y124*Y123)),IF((Y123&gt;=K$148),IF((Y124&lt;K$148),1,0),IF((Y124&gt;=K$148),IF((Y123&lt;K$148),1,0),0)),0)</f>
        <v>0</v>
      </c>
      <c s="588" r="AF124">
        <f>IF(ISNA((Y124*Y123)),0,(IF((X124&lt;X123),-1,1)*(IF(ISNA(Y124),0,IF((Y123&lt;K$148),IF((Y124&lt;K$148),(((X124-X123)^2)^0.5),(((((K$148-Y123)*(X124-X123))/(Y124-Y123))^2)^0.5)),IF((Y124&lt;K$148),(((((K$148-Y124)*(X124-X123))/(Y123-Y124))^2)^0.5),0))))))</f>
        <v>0</v>
      </c>
      <c s="441" r="AG124">
        <f>IF((AC124&gt;0),(MAX(AG$47:AG123)+1),0)</f>
        <v>0</v>
      </c>
      <c s="388" r="AH124"/>
      <c s="406" r="AI124"/>
      <c s="886" r="AJ124"/>
      <c s="886" r="AK124"/>
      <c s="886" r="AL124"/>
      <c s="886" r="AM124"/>
      <c s="418" r="AN124"/>
      <c s="550" r="AO124"/>
      <c s="550" r="AP124"/>
      <c t="str" s="620" r="AQ124">
        <f>IF((COUNT(AP124:AP$146,AR124:AR$146)=0),NA(),IF(ISBLANK(AP124),AQ123,(AQ123+(AP124-AR123))))</f>
        <v>#N/A:explicit</v>
      </c>
      <c s="550" r="AR124"/>
      <c t="str" s="620" r="AS124">
        <f>IF(OR(ISBLANK(AR124),ISNUMBER(AP125)),NA(),(AQ124-AR124))</f>
        <v>#N/A:explicit</v>
      </c>
      <c t="b" s="895" r="AT124">
        <v>0</v>
      </c>
      <c s="631" r="AU124"/>
      <c t="str" s="309" r="AV124">
        <f>IF((COUNT(AO124:AO$146)=0),NA(),IF(ISBLANK(AO124),IF(ISBLANK(AO123),MAX(AO$46:AO124),AO123),AO124))</f>
        <v>#N/A:explicit</v>
      </c>
      <c t="str" s="861" r="AW124">
        <f>IF(ISNA(AS124),IF(ISNUMBER(AV124),AW123,NA()),AS124)</f>
        <v>#N/A:explicit</v>
      </c>
      <c s="861" r="AX124">
        <f>IF(ISNUMBER(AW124),AW124,(AQ$46+1000))</f>
        <v>1000</v>
      </c>
      <c t="str" s="588" r="AY124">
        <f>IF((AT124=TRUE),NA(),IF((AY$44=(AQ$46-MAX(AR$46:AR$146))),NA(),AY$44))</f>
        <v>#N/A:explicit</v>
      </c>
      <c s="588" r="AZ124">
        <f>IF((ISNA(((AW124*AV124)*AW123))),0,(IF((AV124&lt;AV123),-1,1)*(IF((AT123=FALSE),IF((AT124=FALSE),IF(ISNA(AW124),0,IF((AW123&lt;AY$44),IF((AW124&lt;AY$44),(((AV124-AV123)^2)^0.5),(((((AY$44-AW123)*(AV124-AV123))/(AW124-AW123))^2)^0.5)),IF((AW124&lt;AY$44),(((((AY$44-AW124)*(AV124-AV123))/(AW123-AW124))^2)^0.5),0))),0),0))))</f>
        <v>0</v>
      </c>
      <c s="588" r="BA124">
        <f>IF(ISNA((AW124*AW123)),0,IF((AT123=FALSE),IF((AT124=FALSE),IF(ISNA(AS124),0,IF((AW123&lt;AY$44),IF((AW124&lt;AY$44),((AY$44-((AW123+AW124)*0.5))*AZ124),(((AY$44-AW123)*0.5)*AZ124)),IF((AW124&lt;AY$44),(((AY$44-AW124)*0.5)*AZ124),0))),0),0))</f>
        <v>0</v>
      </c>
      <c s="588" r="BB124">
        <f>IF(ISNA((AW124*AW123)),0,IF((AT123=FALSE),IF((AT124=FALSE),IF(ISNA(AW124),0,IF((AW123&lt;AY$44),IF((AW124&lt;AY$44),(((AZ124^2)+((AW124-AW123)^2))^0.5),(((AZ124^2)+((AY$44-AW123)^2))^0.5)),IF((AW124&lt;AY$44),(((AZ124^2)+((AY$44-AW124)^2))^0.5),0))),0),0))</f>
        <v>0</v>
      </c>
      <c s="588" r="BC124">
        <f>IF(ISNUMBER((AW124*AW123)),IF((AW123&gt;=AI$148),IF((AW124&lt;AI$148),1,0),IF((AW124&gt;=AI$148),IF((AW123&lt;AI$148),1,0),0)),0)</f>
        <v>0</v>
      </c>
      <c s="588" r="BD124">
        <f>IF(ISNA((AW124*AW123)),0,(IF((AV124&lt;AV123),-1,1)*(IF(ISNA(AW124),0,IF((AW123&lt;AI$148),IF((AW124&lt;AI$148),(((AV124-AV123)^2)^0.5),(((((AI$148-AW123)*(AV124-AV123))/(AW124-AW123))^2)^0.5)),IF((AW124&lt;AI$148),(((((AI$148-AW124)*(AV124-AV123))/(AW123-AW124))^2)^0.5),0))))))</f>
        <v>0</v>
      </c>
      <c s="441" r="BE124">
        <f>IF((BA124&gt;0),(MAX(BE$47:BE123)+1),0)</f>
        <v>0</v>
      </c>
      <c s="388" r="BF124"/>
      <c s="406" r="BG124"/>
      <c s="886" r="BH124"/>
      <c s="886" r="BI124"/>
      <c s="886" r="BJ124"/>
      <c s="886" r="BK124"/>
      <c s="418" r="BL124"/>
      <c s="550" r="BM124"/>
      <c s="550" r="BN124"/>
      <c t="str" s="620" r="BO124">
        <f>IF((COUNT(BN124:BN$146,BP124:BP$146)=0),NA(),IF(ISBLANK(BN124),BO123,(BO123+(BN124-BP123))))</f>
        <v>#N/A:explicit</v>
      </c>
      <c s="550" r="BP124"/>
      <c t="str" s="620" r="BQ124">
        <f>IF(OR(ISBLANK(BP124),ISNUMBER(BN125)),NA(),(BO124-BP124))</f>
        <v>#N/A:explicit</v>
      </c>
      <c t="b" s="895" r="BR124">
        <v>0</v>
      </c>
      <c s="631" r="BS124"/>
      <c t="str" s="309" r="BT124">
        <f>IF((COUNT(BM124:BM$146)=0),NA(),IF(ISBLANK(BM124),IF(ISBLANK(BM123),MAX(BM$46:BM124),BM123),BM124))</f>
        <v>#N/A:explicit</v>
      </c>
      <c t="str" s="861" r="BU124">
        <f>IF(ISNA(BQ124),IF(ISNUMBER(BT124),BU123,NA()),BQ124)</f>
        <v>#N/A:explicit</v>
      </c>
      <c s="861" r="BV124">
        <f>IF(ISNUMBER(BU124),BU124,(BO$46+1000))</f>
        <v>1000</v>
      </c>
      <c t="str" s="588" r="BW124">
        <f>IF((BR124=TRUE),NA(),IF((BW$44=(BO$46-MAX(BP$46:BP$146))),NA(),BW$44))</f>
        <v>#N/A:explicit</v>
      </c>
      <c s="588" r="BX124">
        <f>IF((ISNA(((BU124*BT124)*BU123))),0,(IF((BT124&lt;BT123),-1,1)*(IF((BR123=FALSE),IF((BR124=FALSE),IF(ISNA(BU124),0,IF((BU123&lt;BW$44),IF((BU124&lt;BW$44),(((BT124-BT123)^2)^0.5),(((((BW$44-BU123)*(BT124-BT123))/(BU124-BU123))^2)^0.5)),IF((BU124&lt;BW$44),(((((BW$44-BU124)*(BT124-BT123))/(BU123-BU124))^2)^0.5),0))),0),0))))</f>
        <v>0</v>
      </c>
      <c s="588" r="BY124">
        <f>IF(ISNA((BU124*BU123)),0,IF((BR123=FALSE),IF((BR124=FALSE),IF(ISNA(BQ124),0,IF((BU123&lt;BW$44),IF((BU124&lt;BW$44),((BW$44-((BU123+BU124)*0.5))*BX124),(((BW$44-BU123)*0.5)*BX124)),IF((BU124&lt;BW$44),(((BW$44-BU124)*0.5)*BX124),0))),0),0))</f>
        <v>0</v>
      </c>
      <c s="588" r="BZ124">
        <f>IF(ISNA((BU124*BU123)),0,IF((BR123=FALSE),IF((BR124=FALSE),IF(ISNA(BU124),0,IF((BU123&lt;BW$44),IF((BU124&lt;BW$44),(((BX124^2)+((BU124-BU123)^2))^0.5),(((BX124^2)+((BW$44-BU123)^2))^0.5)),IF((BU124&lt;BW$44),(((BX124^2)+((BW$44-BU124)^2))^0.5),0))),0),0))</f>
        <v>0</v>
      </c>
      <c s="588" r="CA124">
        <f>IF(ISNUMBER((BU124*BU123)),IF((BU123&gt;=BG$148),IF((BU124&lt;BG$148),1,0),IF((BU124&gt;=BG$148),IF((BU123&lt;BG$148),1,0),0)),0)</f>
        <v>0</v>
      </c>
      <c s="588" r="CB124">
        <f>IF(ISNA((BU124*BU123)),0,(IF((BT124&lt;BT123),-1,1)*(IF(ISNA(BU124),0,IF((BU123&lt;BG$148),IF((BU124&lt;BG$148),(((BT124-BT123)^2)^0.5),(((((BG$148-BU123)*(BT124-BT123))/(BU124-BU123))^2)^0.5)),IF((BU124&lt;BG$148),(((((BG$148-BU124)*(BT124-BT123))/(BU123-BU124))^2)^0.5),0))))))</f>
        <v>0</v>
      </c>
      <c s="441" r="CC124">
        <f>IF((BY124&gt;0),(MAX(CC$47:CC123)+1),0)</f>
        <v>0</v>
      </c>
      <c s="388" r="CD124"/>
      <c s="406" r="CE124"/>
      <c s="886" r="CF124"/>
      <c s="886" r="CG124"/>
      <c s="886" r="CH124"/>
      <c s="886" r="CI124"/>
      <c s="418" r="CJ124"/>
      <c s="550" r="CK124"/>
      <c s="550" r="CL124"/>
      <c t="str" s="620" r="CM124">
        <f>IF((COUNT(CL124:CL$146,CN124:CN$146)=0),NA(),IF(ISBLANK(CL124),CM123,(CM123+(CL124-CN123))))</f>
        <v>#N/A:explicit</v>
      </c>
      <c s="550" r="CN124"/>
      <c t="str" s="620" r="CO124">
        <f>IF(OR(ISBLANK(CN124),ISNUMBER(CL125)),NA(),(CM124-CN124))</f>
        <v>#N/A:explicit</v>
      </c>
      <c t="b" s="895" r="CP124">
        <v>0</v>
      </c>
      <c s="631" r="CQ124"/>
      <c t="str" s="309" r="CR124">
        <f>IF((COUNT(CK124:CK$146)=0),NA(),IF(ISBLANK(CK124),IF(ISBLANK(CK123),MAX(CK$46:CK124),CK123),CK124))</f>
        <v>#N/A:explicit</v>
      </c>
      <c t="str" s="861" r="CS124">
        <f>IF(ISNA(CO124),IF(ISNUMBER(CR124),CS123,NA()),CO124)</f>
        <v>#N/A:explicit</v>
      </c>
      <c s="861" r="CT124">
        <f>IF(ISNUMBER(CS124),CS124,(CM$46+1000))</f>
        <v>1000</v>
      </c>
      <c t="str" s="588" r="CU124">
        <f>IF((CP124=TRUE),NA(),IF((CU$44=(CM$46-MAX(CN$46:CN$146))),NA(),CU$44))</f>
        <v>#N/A:explicit</v>
      </c>
      <c s="588" r="CV124">
        <f>IF((ISNA(((CS124*CR124)*CS123))),0,(IF((CR124&lt;CR123),-1,1)*(IF((CP123=FALSE),IF((CP124=FALSE),IF(ISNA(CS124),0,IF((CS123&lt;CU$44),IF((CS124&lt;CU$44),(((CR124-CR123)^2)^0.5),(((((CU$44-CS123)*(CR124-CR123))/(CS124-CS123))^2)^0.5)),IF((CS124&lt;CU$44),(((((CU$44-CS124)*(CR124-CR123))/(CS123-CS124))^2)^0.5),0))),0),0))))</f>
        <v>0</v>
      </c>
      <c s="588" r="CW124">
        <f>IF(ISNA((CS124*CS123)),0,IF((CP123=FALSE),IF((CP124=FALSE),IF(ISNA(CO124),0,IF((CS123&lt;CU$44),IF((CS124&lt;CU$44),((CU$44-((CS123+CS124)*0.5))*CV124),(((CU$44-CS123)*0.5)*CV124)),IF((CS124&lt;CU$44),(((CU$44-CS124)*0.5)*CV124),0))),0),0))</f>
        <v>0</v>
      </c>
      <c s="588" r="CX124">
        <f>IF(ISNA((CS124*CS123)),0,IF((CP123=FALSE),IF((CP124=FALSE),IF(ISNA(CS124),0,IF((CS123&lt;CU$44),IF((CS124&lt;CU$44),(((CV124^2)+((CS124-CS123)^2))^0.5),(((CV124^2)+((CU$44-CS123)^2))^0.5)),IF((CS124&lt;CU$44),(((CV124^2)+((CU$44-CS124)^2))^0.5),0))),0),0))</f>
        <v>0</v>
      </c>
      <c s="588" r="CY124">
        <f>IF(ISNUMBER((CS124*CS123)),IF((CS123&gt;=CE$148),IF((CS124&lt;CE$148),1,0),IF((CS124&gt;=CE$148),IF((CS123&lt;CE$148),1,0),0)),0)</f>
        <v>0</v>
      </c>
      <c s="588" r="CZ124">
        <f>IF(ISNA((CS124*CS123)),0,(IF((CR124&lt;CR123),-1,1)*(IF(ISNA(CS124),0,IF((CS123&lt;CE$148),IF((CS124&lt;CE$148),(((CR124-CR123)^2)^0.5),(((((CE$148-CS123)*(CR124-CR123))/(CS124-CS123))^2)^0.5)),IF((CS124&lt;CE$148),(((((CE$148-CS124)*(CR124-CR123))/(CS123-CS124))^2)^0.5),0))))))</f>
        <v>0</v>
      </c>
      <c s="441" r="DA124">
        <f>IF((CW124&gt;0),(MAX(DA$47:DA123)+1),0)</f>
        <v>0</v>
      </c>
      <c s="388" r="DB124"/>
      <c s="406" r="DC124"/>
      <c s="886" r="DD124"/>
      <c s="886" r="DE124"/>
      <c s="886" r="DF124"/>
      <c s="886" r="DG124"/>
      <c s="418" r="DH124"/>
      <c s="550" r="DI124"/>
      <c s="550" r="DJ124"/>
      <c t="str" s="620" r="DK124">
        <f>IF((COUNT(DJ124:DJ$146,DL124:DL$146)=0),NA(),IF(ISBLANK(DJ124),DK123,(DK123+(DJ124-DL123))))</f>
        <v>#N/A:explicit</v>
      </c>
      <c s="550" r="DL124"/>
      <c t="str" s="620" r="DM124">
        <f>IF(OR(ISBLANK(DL124),ISNUMBER(DJ125)),NA(),(DK124-DL124))</f>
        <v>#N/A:explicit</v>
      </c>
      <c t="b" s="895" r="DN124">
        <v>0</v>
      </c>
      <c s="631" r="DO124"/>
      <c t="str" s="309" r="DP124">
        <f>IF((COUNT(DI124:DI$146)=0),NA(),IF(ISBLANK(DI124),IF(ISBLANK(DI123),MAX(DI$46:DI124),DI123),DI124))</f>
        <v>#N/A:explicit</v>
      </c>
      <c t="str" s="861" r="DQ124">
        <f>IF(ISNA(DM124),IF(ISNUMBER(DP124),DQ123,NA()),DM124)</f>
        <v>#N/A:explicit</v>
      </c>
      <c s="861" r="DR124">
        <f>IF(ISNUMBER(DQ124),DQ124,(DK$46+1000))</f>
        <v>1000</v>
      </c>
      <c t="str" s="588" r="DS124">
        <f>IF((DN124=TRUE),NA(),IF((DS$44=(DK$46-MAX(DL$46:DL$146))),NA(),DS$44))</f>
        <v>#N/A:explicit</v>
      </c>
      <c s="588" r="DT124">
        <f>IF((ISNA(((DQ124*DP124)*DQ123))),0,(IF((DP124&lt;DP123),-1,1)*(IF((DN123=FALSE),IF((DN124=FALSE),IF(ISNA(DQ124),0,IF((DQ123&lt;DS$44),IF((DQ124&lt;DS$44),(((DP124-DP123)^2)^0.5),(((((DS$44-DQ123)*(DP124-DP123))/(DQ124-DQ123))^2)^0.5)),IF((DQ124&lt;DS$44),(((((DS$44-DQ124)*(DP124-DP123))/(DQ123-DQ124))^2)^0.5),0))),0),0))))</f>
        <v>0</v>
      </c>
      <c s="588" r="DU124">
        <f>IF(ISNA((DQ124*DQ123)),0,IF((DN123=FALSE),IF((DN124=FALSE),IF(ISNA(DM124),0,IF((DQ123&lt;DS$44),IF((DQ124&lt;DS$44),((DS$44-((DQ123+DQ124)*0.5))*DT124),(((DS$44-DQ123)*0.5)*DT124)),IF((DQ124&lt;DS$44),(((DS$44-DQ124)*0.5)*DT124),0))),0),0))</f>
        <v>0</v>
      </c>
      <c s="588" r="DV124">
        <f>IF(ISNA((DQ124*DQ123)),0,IF((DN123=FALSE),IF((DN124=FALSE),IF(ISNA(DQ124),0,IF((DQ123&lt;DS$44),IF((DQ124&lt;DS$44),(((DT124^2)+((DQ124-DQ123)^2))^0.5),(((DT124^2)+((DS$44-DQ123)^2))^0.5)),IF((DQ124&lt;DS$44),(((DT124^2)+((DS$44-DQ124)^2))^0.5),0))),0),0))</f>
        <v>0</v>
      </c>
      <c s="588" r="DW124">
        <f>IF(ISNUMBER((DQ124*DQ123)),IF((DQ123&gt;=DC$148),IF((DQ124&lt;DC$148),1,0),IF((DQ124&gt;=DC$148),IF((DQ123&lt;DC$148),1,0),0)),0)</f>
        <v>0</v>
      </c>
      <c s="588" r="DX124">
        <f>IF(ISNA((DQ124*DQ123)),0,(IF((DP124&lt;DP123),-1,1)*(IF(ISNA(DQ124),0,IF((DQ123&lt;DC$148),IF((DQ124&lt;DC$148),(((DP124-DP123)^2)^0.5),(((((DC$148-DQ123)*(DP124-DP123))/(DQ124-DQ123))^2)^0.5)),IF((DQ124&lt;DC$148),(((((DC$148-DQ124)*(DP124-DP123))/(DQ123-DQ124))^2)^0.5),0))))))</f>
        <v>0</v>
      </c>
      <c s="441" r="DY124">
        <f>IF((DU124&gt;0),(MAX(DY$47:DY123)+1),0)</f>
        <v>0</v>
      </c>
      <c s="388" r="DZ124"/>
      <c s="406" r="EA124"/>
      <c s="886" r="EB124"/>
      <c s="886" r="EC124"/>
      <c s="886" r="ED124"/>
      <c s="886" r="EE124"/>
      <c s="418" r="EF124"/>
      <c s="550" r="EG124"/>
      <c s="550" r="EH124"/>
      <c t="str" s="620" r="EI124">
        <f>IF((COUNT(EH124:EH$146,EJ124:EJ$146)=0),NA(),IF(ISBLANK(EH124),EI123,(EI123+(EH124-EJ123))))</f>
        <v>#N/A:explicit</v>
      </c>
      <c s="550" r="EJ124"/>
      <c t="str" s="620" r="EK124">
        <f>IF(OR(ISBLANK(EJ124),ISNUMBER(EH125)),NA(),(EI124-EJ124))</f>
        <v>#N/A:explicit</v>
      </c>
      <c t="b" s="895" r="EL124">
        <v>0</v>
      </c>
      <c s="631" r="EM124"/>
      <c t="str" s="309" r="EN124">
        <f>IF((COUNT(EG124:EG$146)=0),NA(),IF(ISBLANK(EG124),IF(ISBLANK(EG123),MAX(EG$46:EG124),EG123),EG124))</f>
        <v>#N/A:explicit</v>
      </c>
      <c t="str" s="861" r="EO124">
        <f>IF(ISNA(EK124),IF(ISNUMBER(EN124),EO123,NA()),EK124)</f>
        <v>#N/A:explicit</v>
      </c>
      <c s="861" r="EP124">
        <f>IF(ISNUMBER(EO124),EO124,(EI$46+1000))</f>
        <v>1000</v>
      </c>
      <c t="str" s="588" r="EQ124">
        <f>IF((EL124=TRUE),NA(),IF((EQ$44=(EI$46-MAX(EJ$46:EJ$146))),NA(),EQ$44))</f>
        <v>#N/A:explicit</v>
      </c>
      <c s="588" r="ER124">
        <f>IF((ISNA(((EO124*EN124)*EO123))),0,(IF((EN124&lt;EN123),-1,1)*(IF((EL123=FALSE),IF((EL124=FALSE),IF(ISNA(EO124),0,IF((EO123&lt;EQ$44),IF((EO124&lt;EQ$44),(((EN124-EN123)^2)^0.5),(((((EQ$44-EO123)*(EN124-EN123))/(EO124-EO123))^2)^0.5)),IF((EO124&lt;EQ$44),(((((EQ$44-EO124)*(EN124-EN123))/(EO123-EO124))^2)^0.5),0))),0),0))))</f>
        <v>0</v>
      </c>
      <c s="588" r="ES124">
        <f>IF(ISNA((EO124*EO123)),0,IF((EL123=FALSE),IF((EL124=FALSE),IF(ISNA(EK124),0,IF((EO123&lt;EQ$44),IF((EO124&lt;EQ$44),((EQ$44-((EO123+EO124)*0.5))*ER124),(((EQ$44-EO123)*0.5)*ER124)),IF((EO124&lt;EQ$44),(((EQ$44-EO124)*0.5)*ER124),0))),0),0))</f>
        <v>0</v>
      </c>
      <c s="588" r="ET124">
        <f>IF(ISNA((EO124*EO123)),0,IF((EL123=FALSE),IF((EL124=FALSE),IF(ISNA(EO124),0,IF((EO123&lt;EQ$44),IF((EO124&lt;EQ$44),(((ER124^2)+((EO124-EO123)^2))^0.5),(((ER124^2)+((EQ$44-EO123)^2))^0.5)),IF((EO124&lt;EQ$44),(((ER124^2)+((EQ$44-EO124)^2))^0.5),0))),0),0))</f>
        <v>0</v>
      </c>
      <c s="588" r="EU124">
        <f>IF(ISNUMBER((EO124*EO123)),IF((EO123&gt;=EA$148),IF((EO124&lt;EA$148),1,0),IF((EO124&gt;=EA$148),IF((EO123&lt;EA$148),1,0),0)),0)</f>
        <v>0</v>
      </c>
      <c s="588" r="EV124">
        <f>IF(ISNA((EO124*EO123)),0,(IF((EN124&lt;EN123),-1,1)*(IF(ISNA(EO124),0,IF((EO123&lt;EA$148),IF((EO124&lt;EA$148),(((EN124-EN123)^2)^0.5),(((((EA$148-EO123)*(EN124-EN123))/(EO124-EO123))^2)^0.5)),IF((EO124&lt;EA$148),(((((EA$148-EO124)*(EN124-EN123))/(EO123-EO124))^2)^0.5),0))))))</f>
        <v>0</v>
      </c>
      <c s="441" r="EW124">
        <f>IF((ES124&gt;0),(MAX(EW$47:EW123)+1),0)</f>
        <v>0</v>
      </c>
      <c s="388" r="EX124"/>
      <c s="406" r="EY124"/>
      <c s="886" r="EZ124"/>
      <c s="886" r="FA124"/>
      <c s="886" r="FB124"/>
      <c s="886" r="FC124"/>
      <c s="418" r="FD124"/>
      <c s="550" r="FE124"/>
      <c s="550" r="FF124"/>
      <c t="str" s="620" r="FG124">
        <f>IF((COUNT(FF124:FF$146,FH124:FH$146)=0),NA(),IF(ISBLANK(FF124),FG123,(FG123+(FF124-FH123))))</f>
        <v>#N/A:explicit</v>
      </c>
      <c s="550" r="FH124"/>
      <c t="str" s="620" r="FI124">
        <f>IF(OR(ISBLANK(FH124),ISNUMBER(FF125)),NA(),(FG124-FH124))</f>
        <v>#N/A:explicit</v>
      </c>
      <c t="b" s="895" r="FJ124">
        <v>0</v>
      </c>
      <c s="631" r="FK124"/>
      <c t="str" s="309" r="FL124">
        <f>IF((COUNT(FE124:FE$146)=0),NA(),IF(ISBLANK(FE124),IF(ISBLANK(FE123),MAX(FE$46:FE124),FE123),FE124))</f>
        <v>#N/A:explicit</v>
      </c>
      <c t="str" s="861" r="FM124">
        <f>IF(ISNA(FI124),IF(ISNUMBER(FL124),FM123,NA()),FI124)</f>
        <v>#N/A:explicit</v>
      </c>
      <c s="861" r="FN124">
        <f>IF(ISNUMBER(FM124),FM124,(FG$46+1000))</f>
        <v>1000</v>
      </c>
      <c t="str" s="588" r="FO124">
        <f>IF((FJ124=TRUE),NA(),IF((FO$44=(FG$46-MAX(FH$46:FH$146))),NA(),FO$44))</f>
        <v>#N/A:explicit</v>
      </c>
      <c s="588" r="FP124">
        <f>IF((ISNA(((FM124*FL124)*FM123))),0,(IF((FL124&lt;FL123),-1,1)*(IF((FJ123=FALSE),IF((FJ124=FALSE),IF(ISNA(FM124),0,IF((FM123&lt;FO$44),IF((FM124&lt;FO$44),(((FL124-FL123)^2)^0.5),(((((FO$44-FM123)*(FL124-FL123))/(FM124-FM123))^2)^0.5)),IF((FM124&lt;FO$44),(((((FO$44-FM124)*(FL124-FL123))/(FM123-FM124))^2)^0.5),0))),0),0))))</f>
        <v>0</v>
      </c>
      <c s="588" r="FQ124">
        <f>IF(ISNA((FM124*FM123)),0,IF((FJ123=FALSE),IF((FJ124=FALSE),IF(ISNA(FI124),0,IF((FM123&lt;FO$44),IF((FM124&lt;FO$44),((FO$44-((FM123+FM124)*0.5))*FP124),(((FO$44-FM123)*0.5)*FP124)),IF((FM124&lt;FO$44),(((FO$44-FM124)*0.5)*FP124),0))),0),0))</f>
        <v>0</v>
      </c>
      <c s="588" r="FR124">
        <f>IF(ISNA((FM124*FM123)),0,IF((FJ123=FALSE),IF((FJ124=FALSE),IF(ISNA(FM124),0,IF((FM123&lt;FO$44),IF((FM124&lt;FO$44),(((FP124^2)+((FM124-FM123)^2))^0.5),(((FP124^2)+((FO$44-FM123)^2))^0.5)),IF((FM124&lt;FO$44),(((FP124^2)+((FO$44-FM124)^2))^0.5),0))),0),0))</f>
        <v>0</v>
      </c>
      <c s="588" r="FS124">
        <f>IF(ISNUMBER((FM124*FM123)),IF((FM123&gt;=EY$148),IF((FM124&lt;EY$148),1,0),IF((FM124&gt;=EY$148),IF((FM123&lt;EY$148),1,0),0)),0)</f>
        <v>0</v>
      </c>
      <c s="588" r="FT124">
        <f>IF(ISNA((FM124*FM123)),0,(IF((FL124&lt;FL123),-1,1)*(IF(ISNA(FM124),0,IF((FM123&lt;EY$148),IF((FM124&lt;EY$148),(((FL124-FL123)^2)^0.5),(((((EY$148-FM123)*(FL124-FL123))/(FM124-FM123))^2)^0.5)),IF((FM124&lt;EY$148),(((((EY$148-FM124)*(FL124-FL123))/(FM123-FM124))^2)^0.5),0))))))</f>
        <v>0</v>
      </c>
      <c s="441" r="FU124">
        <f>IF((FQ124&gt;0),(MAX(FU$47:FU123)+1),0)</f>
        <v>0</v>
      </c>
      <c s="222" r="FV124"/>
      <c s="125" r="FW124"/>
      <c s="761" r="FX124"/>
      <c s="761" r="FY124"/>
      <c s="761" r="FZ124"/>
      <c s="761" r="GA124"/>
      <c s="761" r="GB124"/>
      <c s="125" r="GC124"/>
      <c s="125" r="GD124"/>
      <c s="125" r="GE124"/>
      <c s="125" r="GF124"/>
      <c s="125" r="GG124"/>
      <c s="125" r="GH124"/>
      <c s="761" r="GI124"/>
      <c s="761" r="GJ124"/>
      <c s="761" r="GK124"/>
      <c s="125" r="GL124"/>
      <c s="761" r="GM124"/>
      <c s="125" r="GN124"/>
      <c s="125" r="GO124"/>
      <c s="125" r="GP124"/>
      <c s="125" r="GQ124"/>
      <c s="125" r="GR124"/>
      <c s="125" r="GS124"/>
      <c s="125" r="GT124"/>
      <c s="125" r="GU124"/>
      <c s="761" r="GV124"/>
      <c s="761" r="GW124"/>
      <c s="761" r="GX124"/>
      <c s="761" r="GY124"/>
      <c s="761" r="GZ124"/>
      <c s="125" r="HA124"/>
      <c s="125" r="HB124"/>
    </row>
    <row r="125">
      <c s="125" r="A125"/>
      <c s="125" r="B125"/>
      <c s="125" r="C125"/>
      <c s="125" r="D125"/>
      <c s="125" r="E125"/>
      <c s="125" r="F125"/>
      <c s="125" r="G125"/>
      <c s="125" r="H125"/>
      <c s="125" r="I125"/>
      <c s="822" r="J125"/>
      <c s="406" r="K125"/>
      <c s="886" r="L125"/>
      <c s="886" r="M125"/>
      <c s="886" r="N125"/>
      <c s="886" r="O125"/>
      <c s="418" r="P125"/>
      <c s="550" r="Q125"/>
      <c s="550" r="R125"/>
      <c t="str" s="620" r="S125">
        <f>IF((COUNT(R125:R$146,T125:T$146)=0),NA(),IF(ISBLANK(R125),S124,(S124+(R125-T124))))</f>
        <v>#N/A:explicit</v>
      </c>
      <c s="550" r="T125"/>
      <c t="str" s="620" r="U125">
        <f>IF(OR(ISBLANK(T125),ISNUMBER(R126)),NA(),(S125-T125))</f>
        <v>#N/A:explicit</v>
      </c>
      <c t="b" s="895" r="V125">
        <v>0</v>
      </c>
      <c s="631" r="W125"/>
      <c t="str" s="309" r="X125">
        <f>IF((COUNT(Q125:Q$146)=0),NA(),IF(ISBLANK(Q125),IF(ISBLANK(Q124),MAX(Q$46:Q125),Q124),Q125))</f>
        <v>#N/A:explicit</v>
      </c>
      <c t="str" s="861" r="Y125">
        <f>IF(ISNA(U125),IF(ISNUMBER(X125),Y124,NA()),U125)</f>
        <v>#N/A:explicit</v>
      </c>
      <c s="861" r="Z125">
        <f>IF(ISNUMBER(Y125),Y125,(S$46+1000))</f>
        <v>1000</v>
      </c>
      <c t="str" s="588" r="AA125">
        <f>IF((V125=TRUE),NA(),IF((AA$44=(S$46-MAX(T$46:T$146))),NA(),AA$44))</f>
        <v>#N/A:explicit</v>
      </c>
      <c s="588" r="AB125">
        <f>IF((ISNA(((Y125*X125)*Y124))),0,(IF((X125&lt;X124),-1,1)*(IF((V124=FALSE),IF((V125=FALSE),IF(ISNA(Y125),0,IF((Y124&lt;AA$44),IF((Y125&lt;AA$44),(((X125-X124)^2)^0.5),(((((AA$44-Y124)*(X125-X124))/(Y125-Y124))^2)^0.5)),IF((Y125&lt;AA$44),(((((AA$44-Y125)*(X125-X124))/(Y124-Y125))^2)^0.5),0))),0),0))))</f>
        <v>0</v>
      </c>
      <c s="588" r="AC125">
        <f>IF(ISNA((Y125*Y124)),0,IF((V124=FALSE),IF((V125=FALSE),IF(ISNA(U125),0,IF((Y124&lt;AA$44),IF((Y125&lt;AA$44),((AA$44-((Y124+Y125)*0.5))*AB125),(((AA$44-Y124)*0.5)*AB125)),IF((Y125&lt;AA$44),(((AA$44-Y125)*0.5)*AB125),0))),0),0))</f>
        <v>0</v>
      </c>
      <c s="588" r="AD125">
        <f>IF(ISNA((Y125*Y124)),0,IF((V124=FALSE),IF((V125=FALSE),IF(ISNA(Y125),0,IF((Y124&lt;AA$44),IF((Y125&lt;AA$44),(((AB125^2)+((Y125-Y124)^2))^0.5),(((AB125^2)+((AA$44-Y124)^2))^0.5)),IF((Y125&lt;AA$44),(((AB125^2)+((AA$44-Y125)^2))^0.5),0))),0),0))</f>
        <v>0</v>
      </c>
      <c s="588" r="AE125">
        <f>IF(ISNUMBER((Y125*Y124)),IF((Y124&gt;=K$148),IF((Y125&lt;K$148),1,0),IF((Y125&gt;=K$148),IF((Y124&lt;K$148),1,0),0)),0)</f>
        <v>0</v>
      </c>
      <c s="588" r="AF125">
        <f>IF(ISNA((Y125*Y124)),0,(IF((X125&lt;X124),-1,1)*(IF(ISNA(Y125),0,IF((Y124&lt;K$148),IF((Y125&lt;K$148),(((X125-X124)^2)^0.5),(((((K$148-Y124)*(X125-X124))/(Y125-Y124))^2)^0.5)),IF((Y125&lt;K$148),(((((K$148-Y125)*(X125-X124))/(Y124-Y125))^2)^0.5),0))))))</f>
        <v>0</v>
      </c>
      <c s="441" r="AG125">
        <f>IF((AC125&gt;0),(MAX(AG$47:AG124)+1),0)</f>
        <v>0</v>
      </c>
      <c s="388" r="AH125"/>
      <c s="406" r="AI125"/>
      <c s="886" r="AJ125"/>
      <c s="886" r="AK125"/>
      <c s="886" r="AL125"/>
      <c s="886" r="AM125"/>
      <c s="418" r="AN125"/>
      <c s="550" r="AO125"/>
      <c s="550" r="AP125"/>
      <c t="str" s="620" r="AQ125">
        <f>IF((COUNT(AP125:AP$146,AR125:AR$146)=0),NA(),IF(ISBLANK(AP125),AQ124,(AQ124+(AP125-AR124))))</f>
        <v>#N/A:explicit</v>
      </c>
      <c s="550" r="AR125"/>
      <c t="str" s="620" r="AS125">
        <f>IF(OR(ISBLANK(AR125),ISNUMBER(AP126)),NA(),(AQ125-AR125))</f>
        <v>#N/A:explicit</v>
      </c>
      <c t="b" s="895" r="AT125">
        <v>0</v>
      </c>
      <c s="631" r="AU125"/>
      <c t="str" s="309" r="AV125">
        <f>IF((COUNT(AO125:AO$146)=0),NA(),IF(ISBLANK(AO125),IF(ISBLANK(AO124),MAX(AO$46:AO125),AO124),AO125))</f>
        <v>#N/A:explicit</v>
      </c>
      <c t="str" s="861" r="AW125">
        <f>IF(ISNA(AS125),IF(ISNUMBER(AV125),AW124,NA()),AS125)</f>
        <v>#N/A:explicit</v>
      </c>
      <c s="861" r="AX125">
        <f>IF(ISNUMBER(AW125),AW125,(AQ$46+1000))</f>
        <v>1000</v>
      </c>
      <c t="str" s="588" r="AY125">
        <f>IF((AT125=TRUE),NA(),IF((AY$44=(AQ$46-MAX(AR$46:AR$146))),NA(),AY$44))</f>
        <v>#N/A:explicit</v>
      </c>
      <c s="588" r="AZ125">
        <f>IF((ISNA(((AW125*AV125)*AW124))),0,(IF((AV125&lt;AV124),-1,1)*(IF((AT124=FALSE),IF((AT125=FALSE),IF(ISNA(AW125),0,IF((AW124&lt;AY$44),IF((AW125&lt;AY$44),(((AV125-AV124)^2)^0.5),(((((AY$44-AW124)*(AV125-AV124))/(AW125-AW124))^2)^0.5)),IF((AW125&lt;AY$44),(((((AY$44-AW125)*(AV125-AV124))/(AW124-AW125))^2)^0.5),0))),0),0))))</f>
        <v>0</v>
      </c>
      <c s="588" r="BA125">
        <f>IF(ISNA((AW125*AW124)),0,IF((AT124=FALSE),IF((AT125=FALSE),IF(ISNA(AS125),0,IF((AW124&lt;AY$44),IF((AW125&lt;AY$44),((AY$44-((AW124+AW125)*0.5))*AZ125),(((AY$44-AW124)*0.5)*AZ125)),IF((AW125&lt;AY$44),(((AY$44-AW125)*0.5)*AZ125),0))),0),0))</f>
        <v>0</v>
      </c>
      <c s="588" r="BB125">
        <f>IF(ISNA((AW125*AW124)),0,IF((AT124=FALSE),IF((AT125=FALSE),IF(ISNA(AW125),0,IF((AW124&lt;AY$44),IF((AW125&lt;AY$44),(((AZ125^2)+((AW125-AW124)^2))^0.5),(((AZ125^2)+((AY$44-AW124)^2))^0.5)),IF((AW125&lt;AY$44),(((AZ125^2)+((AY$44-AW125)^2))^0.5),0))),0),0))</f>
        <v>0</v>
      </c>
      <c s="588" r="BC125">
        <f>IF(ISNUMBER((AW125*AW124)),IF((AW124&gt;=AI$148),IF((AW125&lt;AI$148),1,0),IF((AW125&gt;=AI$148),IF((AW124&lt;AI$148),1,0),0)),0)</f>
        <v>0</v>
      </c>
      <c s="588" r="BD125">
        <f>IF(ISNA((AW125*AW124)),0,(IF((AV125&lt;AV124),-1,1)*(IF(ISNA(AW125),0,IF((AW124&lt;AI$148),IF((AW125&lt;AI$148),(((AV125-AV124)^2)^0.5),(((((AI$148-AW124)*(AV125-AV124))/(AW125-AW124))^2)^0.5)),IF((AW125&lt;AI$148),(((((AI$148-AW125)*(AV125-AV124))/(AW124-AW125))^2)^0.5),0))))))</f>
        <v>0</v>
      </c>
      <c s="441" r="BE125">
        <f>IF((BA125&gt;0),(MAX(BE$47:BE124)+1),0)</f>
        <v>0</v>
      </c>
      <c s="388" r="BF125"/>
      <c s="406" r="BG125"/>
      <c s="886" r="BH125"/>
      <c s="886" r="BI125"/>
      <c s="886" r="BJ125"/>
      <c s="886" r="BK125"/>
      <c s="418" r="BL125"/>
      <c s="550" r="BM125"/>
      <c s="550" r="BN125"/>
      <c t="str" s="620" r="BO125">
        <f>IF((COUNT(BN125:BN$146,BP125:BP$146)=0),NA(),IF(ISBLANK(BN125),BO124,(BO124+(BN125-BP124))))</f>
        <v>#N/A:explicit</v>
      </c>
      <c s="550" r="BP125"/>
      <c t="str" s="620" r="BQ125">
        <f>IF(OR(ISBLANK(BP125),ISNUMBER(BN126)),NA(),(BO125-BP125))</f>
        <v>#N/A:explicit</v>
      </c>
      <c t="b" s="895" r="BR125">
        <v>0</v>
      </c>
      <c s="631" r="BS125"/>
      <c t="str" s="309" r="BT125">
        <f>IF((COUNT(BM125:BM$146)=0),NA(),IF(ISBLANK(BM125),IF(ISBLANK(BM124),MAX(BM$46:BM125),BM124),BM125))</f>
        <v>#N/A:explicit</v>
      </c>
      <c t="str" s="861" r="BU125">
        <f>IF(ISNA(BQ125),IF(ISNUMBER(BT125),BU124,NA()),BQ125)</f>
        <v>#N/A:explicit</v>
      </c>
      <c s="861" r="BV125">
        <f>IF(ISNUMBER(BU125),BU125,(BO$46+1000))</f>
        <v>1000</v>
      </c>
      <c t="str" s="588" r="BW125">
        <f>IF((BR125=TRUE),NA(),IF((BW$44=(BO$46-MAX(BP$46:BP$146))),NA(),BW$44))</f>
        <v>#N/A:explicit</v>
      </c>
      <c s="588" r="BX125">
        <f>IF((ISNA(((BU125*BT125)*BU124))),0,(IF((BT125&lt;BT124),-1,1)*(IF((BR124=FALSE),IF((BR125=FALSE),IF(ISNA(BU125),0,IF((BU124&lt;BW$44),IF((BU125&lt;BW$44),(((BT125-BT124)^2)^0.5),(((((BW$44-BU124)*(BT125-BT124))/(BU125-BU124))^2)^0.5)),IF((BU125&lt;BW$44),(((((BW$44-BU125)*(BT125-BT124))/(BU124-BU125))^2)^0.5),0))),0),0))))</f>
        <v>0</v>
      </c>
      <c s="588" r="BY125">
        <f>IF(ISNA((BU125*BU124)),0,IF((BR124=FALSE),IF((BR125=FALSE),IF(ISNA(BQ125),0,IF((BU124&lt;BW$44),IF((BU125&lt;BW$44),((BW$44-((BU124+BU125)*0.5))*BX125),(((BW$44-BU124)*0.5)*BX125)),IF((BU125&lt;BW$44),(((BW$44-BU125)*0.5)*BX125),0))),0),0))</f>
        <v>0</v>
      </c>
      <c s="588" r="BZ125">
        <f>IF(ISNA((BU125*BU124)),0,IF((BR124=FALSE),IF((BR125=FALSE),IF(ISNA(BU125),0,IF((BU124&lt;BW$44),IF((BU125&lt;BW$44),(((BX125^2)+((BU125-BU124)^2))^0.5),(((BX125^2)+((BW$44-BU124)^2))^0.5)),IF((BU125&lt;BW$44),(((BX125^2)+((BW$44-BU125)^2))^0.5),0))),0),0))</f>
        <v>0</v>
      </c>
      <c s="588" r="CA125">
        <f>IF(ISNUMBER((BU125*BU124)),IF((BU124&gt;=BG$148),IF((BU125&lt;BG$148),1,0),IF((BU125&gt;=BG$148),IF((BU124&lt;BG$148),1,0),0)),0)</f>
        <v>0</v>
      </c>
      <c s="588" r="CB125">
        <f>IF(ISNA((BU125*BU124)),0,(IF((BT125&lt;BT124),-1,1)*(IF(ISNA(BU125),0,IF((BU124&lt;BG$148),IF((BU125&lt;BG$148),(((BT125-BT124)^2)^0.5),(((((BG$148-BU124)*(BT125-BT124))/(BU125-BU124))^2)^0.5)),IF((BU125&lt;BG$148),(((((BG$148-BU125)*(BT125-BT124))/(BU124-BU125))^2)^0.5),0))))))</f>
        <v>0</v>
      </c>
      <c s="441" r="CC125">
        <f>IF((BY125&gt;0),(MAX(CC$47:CC124)+1),0)</f>
        <v>0</v>
      </c>
      <c s="388" r="CD125"/>
      <c s="406" r="CE125"/>
      <c s="886" r="CF125"/>
      <c s="886" r="CG125"/>
      <c s="886" r="CH125"/>
      <c s="886" r="CI125"/>
      <c s="418" r="CJ125"/>
      <c s="550" r="CK125"/>
      <c s="550" r="CL125"/>
      <c t="str" s="620" r="CM125">
        <f>IF((COUNT(CL125:CL$146,CN125:CN$146)=0),NA(),IF(ISBLANK(CL125),CM124,(CM124+(CL125-CN124))))</f>
        <v>#N/A:explicit</v>
      </c>
      <c s="550" r="CN125"/>
      <c t="str" s="620" r="CO125">
        <f>IF(OR(ISBLANK(CN125),ISNUMBER(CL126)),NA(),(CM125-CN125))</f>
        <v>#N/A:explicit</v>
      </c>
      <c t="b" s="895" r="CP125">
        <v>0</v>
      </c>
      <c s="631" r="CQ125"/>
      <c t="str" s="309" r="CR125">
        <f>IF((COUNT(CK125:CK$146)=0),NA(),IF(ISBLANK(CK125),IF(ISBLANK(CK124),MAX(CK$46:CK125),CK124),CK125))</f>
        <v>#N/A:explicit</v>
      </c>
      <c t="str" s="861" r="CS125">
        <f>IF(ISNA(CO125),IF(ISNUMBER(CR125),CS124,NA()),CO125)</f>
        <v>#N/A:explicit</v>
      </c>
      <c s="861" r="CT125">
        <f>IF(ISNUMBER(CS125),CS125,(CM$46+1000))</f>
        <v>1000</v>
      </c>
      <c t="str" s="588" r="CU125">
        <f>IF((CP125=TRUE),NA(),IF((CU$44=(CM$46-MAX(CN$46:CN$146))),NA(),CU$44))</f>
        <v>#N/A:explicit</v>
      </c>
      <c s="588" r="CV125">
        <f>IF((ISNA(((CS125*CR125)*CS124))),0,(IF((CR125&lt;CR124),-1,1)*(IF((CP124=FALSE),IF((CP125=FALSE),IF(ISNA(CS125),0,IF((CS124&lt;CU$44),IF((CS125&lt;CU$44),(((CR125-CR124)^2)^0.5),(((((CU$44-CS124)*(CR125-CR124))/(CS125-CS124))^2)^0.5)),IF((CS125&lt;CU$44),(((((CU$44-CS125)*(CR125-CR124))/(CS124-CS125))^2)^0.5),0))),0),0))))</f>
        <v>0</v>
      </c>
      <c s="588" r="CW125">
        <f>IF(ISNA((CS125*CS124)),0,IF((CP124=FALSE),IF((CP125=FALSE),IF(ISNA(CO125),0,IF((CS124&lt;CU$44),IF((CS125&lt;CU$44),((CU$44-((CS124+CS125)*0.5))*CV125),(((CU$44-CS124)*0.5)*CV125)),IF((CS125&lt;CU$44),(((CU$44-CS125)*0.5)*CV125),0))),0),0))</f>
        <v>0</v>
      </c>
      <c s="588" r="CX125">
        <f>IF(ISNA((CS125*CS124)),0,IF((CP124=FALSE),IF((CP125=FALSE),IF(ISNA(CS125),0,IF((CS124&lt;CU$44),IF((CS125&lt;CU$44),(((CV125^2)+((CS125-CS124)^2))^0.5),(((CV125^2)+((CU$44-CS124)^2))^0.5)),IF((CS125&lt;CU$44),(((CV125^2)+((CU$44-CS125)^2))^0.5),0))),0),0))</f>
        <v>0</v>
      </c>
      <c s="588" r="CY125">
        <f>IF(ISNUMBER((CS125*CS124)),IF((CS124&gt;=CE$148),IF((CS125&lt;CE$148),1,0),IF((CS125&gt;=CE$148),IF((CS124&lt;CE$148),1,0),0)),0)</f>
        <v>0</v>
      </c>
      <c s="588" r="CZ125">
        <f>IF(ISNA((CS125*CS124)),0,(IF((CR125&lt;CR124),-1,1)*(IF(ISNA(CS125),0,IF((CS124&lt;CE$148),IF((CS125&lt;CE$148),(((CR125-CR124)^2)^0.5),(((((CE$148-CS124)*(CR125-CR124))/(CS125-CS124))^2)^0.5)),IF((CS125&lt;CE$148),(((((CE$148-CS125)*(CR125-CR124))/(CS124-CS125))^2)^0.5),0))))))</f>
        <v>0</v>
      </c>
      <c s="441" r="DA125">
        <f>IF((CW125&gt;0),(MAX(DA$47:DA124)+1),0)</f>
        <v>0</v>
      </c>
      <c s="388" r="DB125"/>
      <c s="406" r="DC125"/>
      <c s="886" r="DD125"/>
      <c s="886" r="DE125"/>
      <c s="886" r="DF125"/>
      <c s="886" r="DG125"/>
      <c s="418" r="DH125"/>
      <c s="550" r="DI125"/>
      <c s="550" r="DJ125"/>
      <c t="str" s="620" r="DK125">
        <f>IF((COUNT(DJ125:DJ$146,DL125:DL$146)=0),NA(),IF(ISBLANK(DJ125),DK124,(DK124+(DJ125-DL124))))</f>
        <v>#N/A:explicit</v>
      </c>
      <c s="550" r="DL125"/>
      <c t="str" s="620" r="DM125">
        <f>IF(OR(ISBLANK(DL125),ISNUMBER(DJ126)),NA(),(DK125-DL125))</f>
        <v>#N/A:explicit</v>
      </c>
      <c t="b" s="895" r="DN125">
        <v>0</v>
      </c>
      <c s="631" r="DO125"/>
      <c t="str" s="309" r="DP125">
        <f>IF((COUNT(DI125:DI$146)=0),NA(),IF(ISBLANK(DI125),IF(ISBLANK(DI124),MAX(DI$46:DI125),DI124),DI125))</f>
        <v>#N/A:explicit</v>
      </c>
      <c t="str" s="861" r="DQ125">
        <f>IF(ISNA(DM125),IF(ISNUMBER(DP125),DQ124,NA()),DM125)</f>
        <v>#N/A:explicit</v>
      </c>
      <c s="861" r="DR125">
        <f>IF(ISNUMBER(DQ125),DQ125,(DK$46+1000))</f>
        <v>1000</v>
      </c>
      <c t="str" s="588" r="DS125">
        <f>IF((DN125=TRUE),NA(),IF((DS$44=(DK$46-MAX(DL$46:DL$146))),NA(),DS$44))</f>
        <v>#N/A:explicit</v>
      </c>
      <c s="588" r="DT125">
        <f>IF((ISNA(((DQ125*DP125)*DQ124))),0,(IF((DP125&lt;DP124),-1,1)*(IF((DN124=FALSE),IF((DN125=FALSE),IF(ISNA(DQ125),0,IF((DQ124&lt;DS$44),IF((DQ125&lt;DS$44),(((DP125-DP124)^2)^0.5),(((((DS$44-DQ124)*(DP125-DP124))/(DQ125-DQ124))^2)^0.5)),IF((DQ125&lt;DS$44),(((((DS$44-DQ125)*(DP125-DP124))/(DQ124-DQ125))^2)^0.5),0))),0),0))))</f>
        <v>0</v>
      </c>
      <c s="588" r="DU125">
        <f>IF(ISNA((DQ125*DQ124)),0,IF((DN124=FALSE),IF((DN125=FALSE),IF(ISNA(DM125),0,IF((DQ124&lt;DS$44),IF((DQ125&lt;DS$44),((DS$44-((DQ124+DQ125)*0.5))*DT125),(((DS$44-DQ124)*0.5)*DT125)),IF((DQ125&lt;DS$44),(((DS$44-DQ125)*0.5)*DT125),0))),0),0))</f>
        <v>0</v>
      </c>
      <c s="588" r="DV125">
        <f>IF(ISNA((DQ125*DQ124)),0,IF((DN124=FALSE),IF((DN125=FALSE),IF(ISNA(DQ125),0,IF((DQ124&lt;DS$44),IF((DQ125&lt;DS$44),(((DT125^2)+((DQ125-DQ124)^2))^0.5),(((DT125^2)+((DS$44-DQ124)^2))^0.5)),IF((DQ125&lt;DS$44),(((DT125^2)+((DS$44-DQ125)^2))^0.5),0))),0),0))</f>
        <v>0</v>
      </c>
      <c s="588" r="DW125">
        <f>IF(ISNUMBER((DQ125*DQ124)),IF((DQ124&gt;=DC$148),IF((DQ125&lt;DC$148),1,0),IF((DQ125&gt;=DC$148),IF((DQ124&lt;DC$148),1,0),0)),0)</f>
        <v>0</v>
      </c>
      <c s="588" r="DX125">
        <f>IF(ISNA((DQ125*DQ124)),0,(IF((DP125&lt;DP124),-1,1)*(IF(ISNA(DQ125),0,IF((DQ124&lt;DC$148),IF((DQ125&lt;DC$148),(((DP125-DP124)^2)^0.5),(((((DC$148-DQ124)*(DP125-DP124))/(DQ125-DQ124))^2)^0.5)),IF((DQ125&lt;DC$148),(((((DC$148-DQ125)*(DP125-DP124))/(DQ124-DQ125))^2)^0.5),0))))))</f>
        <v>0</v>
      </c>
      <c s="441" r="DY125">
        <f>IF((DU125&gt;0),(MAX(DY$47:DY124)+1),0)</f>
        <v>0</v>
      </c>
      <c s="388" r="DZ125"/>
      <c s="406" r="EA125"/>
      <c s="886" r="EB125"/>
      <c s="886" r="EC125"/>
      <c s="886" r="ED125"/>
      <c s="886" r="EE125"/>
      <c s="418" r="EF125"/>
      <c s="550" r="EG125"/>
      <c s="550" r="EH125"/>
      <c t="str" s="620" r="EI125">
        <f>IF((COUNT(EH125:EH$146,EJ125:EJ$146)=0),NA(),IF(ISBLANK(EH125),EI124,(EI124+(EH125-EJ124))))</f>
        <v>#N/A:explicit</v>
      </c>
      <c s="550" r="EJ125"/>
      <c t="str" s="620" r="EK125">
        <f>IF(OR(ISBLANK(EJ125),ISNUMBER(EH126)),NA(),(EI125-EJ125))</f>
        <v>#N/A:explicit</v>
      </c>
      <c t="b" s="895" r="EL125">
        <v>0</v>
      </c>
      <c s="631" r="EM125"/>
      <c t="str" s="309" r="EN125">
        <f>IF((COUNT(EG125:EG$146)=0),NA(),IF(ISBLANK(EG125),IF(ISBLANK(EG124),MAX(EG$46:EG125),EG124),EG125))</f>
        <v>#N/A:explicit</v>
      </c>
      <c t="str" s="861" r="EO125">
        <f>IF(ISNA(EK125),IF(ISNUMBER(EN125),EO124,NA()),EK125)</f>
        <v>#N/A:explicit</v>
      </c>
      <c s="861" r="EP125">
        <f>IF(ISNUMBER(EO125),EO125,(EI$46+1000))</f>
        <v>1000</v>
      </c>
      <c t="str" s="588" r="EQ125">
        <f>IF((EL125=TRUE),NA(),IF((EQ$44=(EI$46-MAX(EJ$46:EJ$146))),NA(),EQ$44))</f>
        <v>#N/A:explicit</v>
      </c>
      <c s="588" r="ER125">
        <f>IF((ISNA(((EO125*EN125)*EO124))),0,(IF((EN125&lt;EN124),-1,1)*(IF((EL124=FALSE),IF((EL125=FALSE),IF(ISNA(EO125),0,IF((EO124&lt;EQ$44),IF((EO125&lt;EQ$44),(((EN125-EN124)^2)^0.5),(((((EQ$44-EO124)*(EN125-EN124))/(EO125-EO124))^2)^0.5)),IF((EO125&lt;EQ$44),(((((EQ$44-EO125)*(EN125-EN124))/(EO124-EO125))^2)^0.5),0))),0),0))))</f>
        <v>0</v>
      </c>
      <c s="588" r="ES125">
        <f>IF(ISNA((EO125*EO124)),0,IF((EL124=FALSE),IF((EL125=FALSE),IF(ISNA(EK125),0,IF((EO124&lt;EQ$44),IF((EO125&lt;EQ$44),((EQ$44-((EO124+EO125)*0.5))*ER125),(((EQ$44-EO124)*0.5)*ER125)),IF((EO125&lt;EQ$44),(((EQ$44-EO125)*0.5)*ER125),0))),0),0))</f>
        <v>0</v>
      </c>
      <c s="588" r="ET125">
        <f>IF(ISNA((EO125*EO124)),0,IF((EL124=FALSE),IF((EL125=FALSE),IF(ISNA(EO125),0,IF((EO124&lt;EQ$44),IF((EO125&lt;EQ$44),(((ER125^2)+((EO125-EO124)^2))^0.5),(((ER125^2)+((EQ$44-EO124)^2))^0.5)),IF((EO125&lt;EQ$44),(((ER125^2)+((EQ$44-EO125)^2))^0.5),0))),0),0))</f>
        <v>0</v>
      </c>
      <c s="588" r="EU125">
        <f>IF(ISNUMBER((EO125*EO124)),IF((EO124&gt;=EA$148),IF((EO125&lt;EA$148),1,0),IF((EO125&gt;=EA$148),IF((EO124&lt;EA$148),1,0),0)),0)</f>
        <v>0</v>
      </c>
      <c s="588" r="EV125">
        <f>IF(ISNA((EO125*EO124)),0,(IF((EN125&lt;EN124),-1,1)*(IF(ISNA(EO125),0,IF((EO124&lt;EA$148),IF((EO125&lt;EA$148),(((EN125-EN124)^2)^0.5),(((((EA$148-EO124)*(EN125-EN124))/(EO125-EO124))^2)^0.5)),IF((EO125&lt;EA$148),(((((EA$148-EO125)*(EN125-EN124))/(EO124-EO125))^2)^0.5),0))))))</f>
        <v>0</v>
      </c>
      <c s="441" r="EW125">
        <f>IF((ES125&gt;0),(MAX(EW$47:EW124)+1),0)</f>
        <v>0</v>
      </c>
      <c s="388" r="EX125"/>
      <c s="406" r="EY125"/>
      <c s="886" r="EZ125"/>
      <c s="886" r="FA125"/>
      <c s="886" r="FB125"/>
      <c s="886" r="FC125"/>
      <c s="418" r="FD125"/>
      <c s="550" r="FE125"/>
      <c s="550" r="FF125"/>
      <c t="str" s="620" r="FG125">
        <f>IF((COUNT(FF125:FF$146,FH125:FH$146)=0),NA(),IF(ISBLANK(FF125),FG124,(FG124+(FF125-FH124))))</f>
        <v>#N/A:explicit</v>
      </c>
      <c s="550" r="FH125"/>
      <c t="str" s="620" r="FI125">
        <f>IF(OR(ISBLANK(FH125),ISNUMBER(FF126)),NA(),(FG125-FH125))</f>
        <v>#N/A:explicit</v>
      </c>
      <c t="b" s="895" r="FJ125">
        <v>0</v>
      </c>
      <c s="631" r="FK125"/>
      <c t="str" s="309" r="FL125">
        <f>IF((COUNT(FE125:FE$146)=0),NA(),IF(ISBLANK(FE125),IF(ISBLANK(FE124),MAX(FE$46:FE125),FE124),FE125))</f>
        <v>#N/A:explicit</v>
      </c>
      <c t="str" s="861" r="FM125">
        <f>IF(ISNA(FI125),IF(ISNUMBER(FL125),FM124,NA()),FI125)</f>
        <v>#N/A:explicit</v>
      </c>
      <c s="861" r="FN125">
        <f>IF(ISNUMBER(FM125),FM125,(FG$46+1000))</f>
        <v>1000</v>
      </c>
      <c t="str" s="588" r="FO125">
        <f>IF((FJ125=TRUE),NA(),IF((FO$44=(FG$46-MAX(FH$46:FH$146))),NA(),FO$44))</f>
        <v>#N/A:explicit</v>
      </c>
      <c s="588" r="FP125">
        <f>IF((ISNA(((FM125*FL125)*FM124))),0,(IF((FL125&lt;FL124),-1,1)*(IF((FJ124=FALSE),IF((FJ125=FALSE),IF(ISNA(FM125),0,IF((FM124&lt;FO$44),IF((FM125&lt;FO$44),(((FL125-FL124)^2)^0.5),(((((FO$44-FM124)*(FL125-FL124))/(FM125-FM124))^2)^0.5)),IF((FM125&lt;FO$44),(((((FO$44-FM125)*(FL125-FL124))/(FM124-FM125))^2)^0.5),0))),0),0))))</f>
        <v>0</v>
      </c>
      <c s="588" r="FQ125">
        <f>IF(ISNA((FM125*FM124)),0,IF((FJ124=FALSE),IF((FJ125=FALSE),IF(ISNA(FI125),0,IF((FM124&lt;FO$44),IF((FM125&lt;FO$44),((FO$44-((FM124+FM125)*0.5))*FP125),(((FO$44-FM124)*0.5)*FP125)),IF((FM125&lt;FO$44),(((FO$44-FM125)*0.5)*FP125),0))),0),0))</f>
        <v>0</v>
      </c>
      <c s="588" r="FR125">
        <f>IF(ISNA((FM125*FM124)),0,IF((FJ124=FALSE),IF((FJ125=FALSE),IF(ISNA(FM125),0,IF((FM124&lt;FO$44),IF((FM125&lt;FO$44),(((FP125^2)+((FM125-FM124)^2))^0.5),(((FP125^2)+((FO$44-FM124)^2))^0.5)),IF((FM125&lt;FO$44),(((FP125^2)+((FO$44-FM125)^2))^0.5),0))),0),0))</f>
        <v>0</v>
      </c>
      <c s="588" r="FS125">
        <f>IF(ISNUMBER((FM125*FM124)),IF((FM124&gt;=EY$148),IF((FM125&lt;EY$148),1,0),IF((FM125&gt;=EY$148),IF((FM124&lt;EY$148),1,0),0)),0)</f>
        <v>0</v>
      </c>
      <c s="588" r="FT125">
        <f>IF(ISNA((FM125*FM124)),0,(IF((FL125&lt;FL124),-1,1)*(IF(ISNA(FM125),0,IF((FM124&lt;EY$148),IF((FM125&lt;EY$148),(((FL125-FL124)^2)^0.5),(((((EY$148-FM124)*(FL125-FL124))/(FM125-FM124))^2)^0.5)),IF((FM125&lt;EY$148),(((((EY$148-FM125)*(FL125-FL124))/(FM124-FM125))^2)^0.5),0))))))</f>
        <v>0</v>
      </c>
      <c s="441" r="FU125">
        <f>IF((FQ125&gt;0),(MAX(FU$47:FU124)+1),0)</f>
        <v>0</v>
      </c>
      <c s="222" r="FV125"/>
      <c s="125" r="FW125"/>
      <c s="761" r="FX125"/>
      <c s="125" r="FY125"/>
      <c s="125" r="FZ125"/>
      <c s="125" r="GA125"/>
      <c s="125" r="GB125"/>
      <c s="125" r="GC125"/>
      <c s="125" r="GD125"/>
      <c s="125" r="GE125"/>
      <c s="125" r="GF125"/>
      <c s="125" r="GG125"/>
      <c s="125" r="GH125"/>
      <c s="125" r="GI125"/>
      <c s="125" r="GJ125"/>
      <c s="125" r="GK125"/>
      <c s="125" r="GL125"/>
      <c s="125" r="GM125"/>
      <c s="125" r="GN125"/>
      <c s="125" r="GO125"/>
      <c s="125" r="GP125"/>
      <c s="125" r="GQ125"/>
      <c s="125" r="GR125"/>
      <c s="125" r="GS125"/>
      <c s="125" r="GT125"/>
      <c s="125" r="GU125"/>
      <c s="125" r="GV125"/>
      <c s="125" r="GW125"/>
      <c s="125" r="GX125"/>
      <c s="125" r="GY125"/>
      <c s="125" r="GZ125"/>
      <c s="125" r="HA125"/>
      <c s="125" r="HB125"/>
    </row>
    <row r="126">
      <c s="125" r="A126"/>
      <c s="125" r="B126"/>
      <c s="125" r="C126"/>
      <c s="125" r="D126"/>
      <c s="125" r="E126"/>
      <c s="125" r="F126"/>
      <c s="125" r="G126"/>
      <c s="125" r="H126"/>
      <c s="125" r="I126"/>
      <c s="822" r="J126"/>
      <c s="406" r="K126"/>
      <c s="886" r="L126"/>
      <c s="886" r="M126"/>
      <c s="886" r="N126"/>
      <c s="886" r="O126"/>
      <c s="418" r="P126"/>
      <c s="550" r="Q126"/>
      <c s="550" r="R126"/>
      <c t="str" s="620" r="S126">
        <f>IF((COUNT(R126:R$146,T126:T$146)=0),NA(),IF(ISBLANK(R126),S125,(S125+(R126-T125))))</f>
        <v>#N/A:explicit</v>
      </c>
      <c s="550" r="T126"/>
      <c t="str" s="620" r="U126">
        <f>IF(OR(ISBLANK(T126),ISNUMBER(R127)),NA(),(S126-T126))</f>
        <v>#N/A:explicit</v>
      </c>
      <c t="b" s="895" r="V126">
        <v>0</v>
      </c>
      <c s="631" r="W126"/>
      <c t="str" s="309" r="X126">
        <f>IF((COUNT(Q126:Q$146)=0),NA(),IF(ISBLANK(Q126),IF(ISBLANK(Q125),MAX(Q$46:Q126),Q125),Q126))</f>
        <v>#N/A:explicit</v>
      </c>
      <c t="str" s="861" r="Y126">
        <f>IF(ISNA(U126),IF(ISNUMBER(X126),Y125,NA()),U126)</f>
        <v>#N/A:explicit</v>
      </c>
      <c s="861" r="Z126">
        <f>IF(ISNUMBER(Y126),Y126,(S$46+1000))</f>
        <v>1000</v>
      </c>
      <c t="str" s="588" r="AA126">
        <f>IF((V126=TRUE),NA(),IF((AA$44=(S$46-MAX(T$46:T$146))),NA(),AA$44))</f>
        <v>#N/A:explicit</v>
      </c>
      <c s="588" r="AB126">
        <f>IF((ISNA(((Y126*X126)*Y125))),0,(IF((X126&lt;X125),-1,1)*(IF((V125=FALSE),IF((V126=FALSE),IF(ISNA(Y126),0,IF((Y125&lt;AA$44),IF((Y126&lt;AA$44),(((X126-X125)^2)^0.5),(((((AA$44-Y125)*(X126-X125))/(Y126-Y125))^2)^0.5)),IF((Y126&lt;AA$44),(((((AA$44-Y126)*(X126-X125))/(Y125-Y126))^2)^0.5),0))),0),0))))</f>
        <v>0</v>
      </c>
      <c s="588" r="AC126">
        <f>IF(ISNA((Y126*Y125)),0,IF((V125=FALSE),IF((V126=FALSE),IF(ISNA(U126),0,IF((Y125&lt;AA$44),IF((Y126&lt;AA$44),((AA$44-((Y125+Y126)*0.5))*AB126),(((AA$44-Y125)*0.5)*AB126)),IF((Y126&lt;AA$44),(((AA$44-Y126)*0.5)*AB126),0))),0),0))</f>
        <v>0</v>
      </c>
      <c s="588" r="AD126">
        <f>IF(ISNA((Y126*Y125)),0,IF((V125=FALSE),IF((V126=FALSE),IF(ISNA(Y126),0,IF((Y125&lt;AA$44),IF((Y126&lt;AA$44),(((AB126^2)+((Y126-Y125)^2))^0.5),(((AB126^2)+((AA$44-Y125)^2))^0.5)),IF((Y126&lt;AA$44),(((AB126^2)+((AA$44-Y126)^2))^0.5),0))),0),0))</f>
        <v>0</v>
      </c>
      <c s="588" r="AE126">
        <f>IF(ISNUMBER((Y126*Y125)),IF((Y125&gt;=K$148),IF((Y126&lt;K$148),1,0),IF((Y126&gt;=K$148),IF((Y125&lt;K$148),1,0),0)),0)</f>
        <v>0</v>
      </c>
      <c s="588" r="AF126">
        <f>IF(ISNA((Y126*Y125)),0,(IF((X126&lt;X125),-1,1)*(IF(ISNA(Y126),0,IF((Y125&lt;K$148),IF((Y126&lt;K$148),(((X126-X125)^2)^0.5),(((((K$148-Y125)*(X126-X125))/(Y126-Y125))^2)^0.5)),IF((Y126&lt;K$148),(((((K$148-Y126)*(X126-X125))/(Y125-Y126))^2)^0.5),0))))))</f>
        <v>0</v>
      </c>
      <c s="441" r="AG126">
        <f>IF((AC126&gt;0),(MAX(AG$47:AG125)+1),0)</f>
        <v>0</v>
      </c>
      <c s="388" r="AH126"/>
      <c s="406" r="AI126"/>
      <c s="886" r="AJ126"/>
      <c s="886" r="AK126"/>
      <c s="886" r="AL126"/>
      <c s="886" r="AM126"/>
      <c s="418" r="AN126"/>
      <c s="550" r="AO126"/>
      <c s="550" r="AP126"/>
      <c t="str" s="620" r="AQ126">
        <f>IF((COUNT(AP126:AP$146,AR126:AR$146)=0),NA(),IF(ISBLANK(AP126),AQ125,(AQ125+(AP126-AR125))))</f>
        <v>#N/A:explicit</v>
      </c>
      <c s="550" r="AR126"/>
      <c t="str" s="620" r="AS126">
        <f>IF(OR(ISBLANK(AR126),ISNUMBER(AP127)),NA(),(AQ126-AR126))</f>
        <v>#N/A:explicit</v>
      </c>
      <c t="b" s="895" r="AT126">
        <v>0</v>
      </c>
      <c s="631" r="AU126"/>
      <c t="str" s="309" r="AV126">
        <f>IF((COUNT(AO126:AO$146)=0),NA(),IF(ISBLANK(AO126),IF(ISBLANK(AO125),MAX(AO$46:AO126),AO125),AO126))</f>
        <v>#N/A:explicit</v>
      </c>
      <c t="str" s="861" r="AW126">
        <f>IF(ISNA(AS126),IF(ISNUMBER(AV126),AW125,NA()),AS126)</f>
        <v>#N/A:explicit</v>
      </c>
      <c s="861" r="AX126">
        <f>IF(ISNUMBER(AW126),AW126,(AQ$46+1000))</f>
        <v>1000</v>
      </c>
      <c t="str" s="588" r="AY126">
        <f>IF((AT126=TRUE),NA(),IF((AY$44=(AQ$46-MAX(AR$46:AR$146))),NA(),AY$44))</f>
        <v>#N/A:explicit</v>
      </c>
      <c s="588" r="AZ126">
        <f>IF((ISNA(((AW126*AV126)*AW125))),0,(IF((AV126&lt;AV125),-1,1)*(IF((AT125=FALSE),IF((AT126=FALSE),IF(ISNA(AW126),0,IF((AW125&lt;AY$44),IF((AW126&lt;AY$44),(((AV126-AV125)^2)^0.5),(((((AY$44-AW125)*(AV126-AV125))/(AW126-AW125))^2)^0.5)),IF((AW126&lt;AY$44),(((((AY$44-AW126)*(AV126-AV125))/(AW125-AW126))^2)^0.5),0))),0),0))))</f>
        <v>0</v>
      </c>
      <c s="588" r="BA126">
        <f>IF(ISNA((AW126*AW125)),0,IF((AT125=FALSE),IF((AT126=FALSE),IF(ISNA(AS126),0,IF((AW125&lt;AY$44),IF((AW126&lt;AY$44),((AY$44-((AW125+AW126)*0.5))*AZ126),(((AY$44-AW125)*0.5)*AZ126)),IF((AW126&lt;AY$44),(((AY$44-AW126)*0.5)*AZ126),0))),0),0))</f>
        <v>0</v>
      </c>
      <c s="588" r="BB126">
        <f>IF(ISNA((AW126*AW125)),0,IF((AT125=FALSE),IF((AT126=FALSE),IF(ISNA(AW126),0,IF((AW125&lt;AY$44),IF((AW126&lt;AY$44),(((AZ126^2)+((AW126-AW125)^2))^0.5),(((AZ126^2)+((AY$44-AW125)^2))^0.5)),IF((AW126&lt;AY$44),(((AZ126^2)+((AY$44-AW126)^2))^0.5),0))),0),0))</f>
        <v>0</v>
      </c>
      <c s="588" r="BC126">
        <f>IF(ISNUMBER((AW126*AW125)),IF((AW125&gt;=AI$148),IF((AW126&lt;AI$148),1,0),IF((AW126&gt;=AI$148),IF((AW125&lt;AI$148),1,0),0)),0)</f>
        <v>0</v>
      </c>
      <c s="588" r="BD126">
        <f>IF(ISNA((AW126*AW125)),0,(IF((AV126&lt;AV125),-1,1)*(IF(ISNA(AW126),0,IF((AW125&lt;AI$148),IF((AW126&lt;AI$148),(((AV126-AV125)^2)^0.5),(((((AI$148-AW125)*(AV126-AV125))/(AW126-AW125))^2)^0.5)),IF((AW126&lt;AI$148),(((((AI$148-AW126)*(AV126-AV125))/(AW125-AW126))^2)^0.5),0))))))</f>
        <v>0</v>
      </c>
      <c s="441" r="BE126">
        <f>IF((BA126&gt;0),(MAX(BE$47:BE125)+1),0)</f>
        <v>0</v>
      </c>
      <c s="388" r="BF126"/>
      <c s="406" r="BG126"/>
      <c s="886" r="BH126"/>
      <c s="886" r="BI126"/>
      <c s="886" r="BJ126"/>
      <c s="886" r="BK126"/>
      <c s="418" r="BL126"/>
      <c s="550" r="BM126"/>
      <c s="550" r="BN126"/>
      <c t="str" s="620" r="BO126">
        <f>IF((COUNT(BN126:BN$146,BP126:BP$146)=0),NA(),IF(ISBLANK(BN126),BO125,(BO125+(BN126-BP125))))</f>
        <v>#N/A:explicit</v>
      </c>
      <c s="550" r="BP126"/>
      <c t="str" s="620" r="BQ126">
        <f>IF(OR(ISBLANK(BP126),ISNUMBER(BN127)),NA(),(BO126-BP126))</f>
        <v>#N/A:explicit</v>
      </c>
      <c t="b" s="895" r="BR126">
        <v>0</v>
      </c>
      <c s="631" r="BS126"/>
      <c t="str" s="309" r="BT126">
        <f>IF((COUNT(BM126:BM$146)=0),NA(),IF(ISBLANK(BM126),IF(ISBLANK(BM125),MAX(BM$46:BM126),BM125),BM126))</f>
        <v>#N/A:explicit</v>
      </c>
      <c t="str" s="861" r="BU126">
        <f>IF(ISNA(BQ126),IF(ISNUMBER(BT126),BU125,NA()),BQ126)</f>
        <v>#N/A:explicit</v>
      </c>
      <c s="861" r="BV126">
        <f>IF(ISNUMBER(BU126),BU126,(BO$46+1000))</f>
        <v>1000</v>
      </c>
      <c t="str" s="588" r="BW126">
        <f>IF((BR126=TRUE),NA(),IF((BW$44=(BO$46-MAX(BP$46:BP$146))),NA(),BW$44))</f>
        <v>#N/A:explicit</v>
      </c>
      <c s="588" r="BX126">
        <f>IF((ISNA(((BU126*BT126)*BU125))),0,(IF((BT126&lt;BT125),-1,1)*(IF((BR125=FALSE),IF((BR126=FALSE),IF(ISNA(BU126),0,IF((BU125&lt;BW$44),IF((BU126&lt;BW$44),(((BT126-BT125)^2)^0.5),(((((BW$44-BU125)*(BT126-BT125))/(BU126-BU125))^2)^0.5)),IF((BU126&lt;BW$44),(((((BW$44-BU126)*(BT126-BT125))/(BU125-BU126))^2)^0.5),0))),0),0))))</f>
        <v>0</v>
      </c>
      <c s="588" r="BY126">
        <f>IF(ISNA((BU126*BU125)),0,IF((BR125=FALSE),IF((BR126=FALSE),IF(ISNA(BQ126),0,IF((BU125&lt;BW$44),IF((BU126&lt;BW$44),((BW$44-((BU125+BU126)*0.5))*BX126),(((BW$44-BU125)*0.5)*BX126)),IF((BU126&lt;BW$44),(((BW$44-BU126)*0.5)*BX126),0))),0),0))</f>
        <v>0</v>
      </c>
      <c s="588" r="BZ126">
        <f>IF(ISNA((BU126*BU125)),0,IF((BR125=FALSE),IF((BR126=FALSE),IF(ISNA(BU126),0,IF((BU125&lt;BW$44),IF((BU126&lt;BW$44),(((BX126^2)+((BU126-BU125)^2))^0.5),(((BX126^2)+((BW$44-BU125)^2))^0.5)),IF((BU126&lt;BW$44),(((BX126^2)+((BW$44-BU126)^2))^0.5),0))),0),0))</f>
        <v>0</v>
      </c>
      <c s="588" r="CA126">
        <f>IF(ISNUMBER((BU126*BU125)),IF((BU125&gt;=BG$148),IF((BU126&lt;BG$148),1,0),IF((BU126&gt;=BG$148),IF((BU125&lt;BG$148),1,0),0)),0)</f>
        <v>0</v>
      </c>
      <c s="588" r="CB126">
        <f>IF(ISNA((BU126*BU125)),0,(IF((BT126&lt;BT125),-1,1)*(IF(ISNA(BU126),0,IF((BU125&lt;BG$148),IF((BU126&lt;BG$148),(((BT126-BT125)^2)^0.5),(((((BG$148-BU125)*(BT126-BT125))/(BU126-BU125))^2)^0.5)),IF((BU126&lt;BG$148),(((((BG$148-BU126)*(BT126-BT125))/(BU125-BU126))^2)^0.5),0))))))</f>
        <v>0</v>
      </c>
      <c s="441" r="CC126">
        <f>IF((BY126&gt;0),(MAX(CC$47:CC125)+1),0)</f>
        <v>0</v>
      </c>
      <c s="388" r="CD126"/>
      <c s="406" r="CE126"/>
      <c s="886" r="CF126"/>
      <c s="886" r="CG126"/>
      <c s="886" r="CH126"/>
      <c s="886" r="CI126"/>
      <c s="418" r="CJ126"/>
      <c s="550" r="CK126"/>
      <c s="550" r="CL126"/>
      <c t="str" s="620" r="CM126">
        <f>IF((COUNT(CL126:CL$146,CN126:CN$146)=0),NA(),IF(ISBLANK(CL126),CM125,(CM125+(CL126-CN125))))</f>
        <v>#N/A:explicit</v>
      </c>
      <c s="550" r="CN126"/>
      <c t="str" s="620" r="CO126">
        <f>IF(OR(ISBLANK(CN126),ISNUMBER(CL127)),NA(),(CM126-CN126))</f>
        <v>#N/A:explicit</v>
      </c>
      <c t="b" s="895" r="CP126">
        <v>0</v>
      </c>
      <c s="631" r="CQ126"/>
      <c t="str" s="309" r="CR126">
        <f>IF((COUNT(CK126:CK$146)=0),NA(),IF(ISBLANK(CK126),IF(ISBLANK(CK125),MAX(CK$46:CK126),CK125),CK126))</f>
        <v>#N/A:explicit</v>
      </c>
      <c t="str" s="861" r="CS126">
        <f>IF(ISNA(CO126),IF(ISNUMBER(CR126),CS125,NA()),CO126)</f>
        <v>#N/A:explicit</v>
      </c>
      <c s="861" r="CT126">
        <f>IF(ISNUMBER(CS126),CS126,(CM$46+1000))</f>
        <v>1000</v>
      </c>
      <c t="str" s="588" r="CU126">
        <f>IF((CP126=TRUE),NA(),IF((CU$44=(CM$46-MAX(CN$46:CN$146))),NA(),CU$44))</f>
        <v>#N/A:explicit</v>
      </c>
      <c s="588" r="CV126">
        <f>IF((ISNA(((CS126*CR126)*CS125))),0,(IF((CR126&lt;CR125),-1,1)*(IF((CP125=FALSE),IF((CP126=FALSE),IF(ISNA(CS126),0,IF((CS125&lt;CU$44),IF((CS126&lt;CU$44),(((CR126-CR125)^2)^0.5),(((((CU$44-CS125)*(CR126-CR125))/(CS126-CS125))^2)^0.5)),IF((CS126&lt;CU$44),(((((CU$44-CS126)*(CR126-CR125))/(CS125-CS126))^2)^0.5),0))),0),0))))</f>
        <v>0</v>
      </c>
      <c s="588" r="CW126">
        <f>IF(ISNA((CS126*CS125)),0,IF((CP125=FALSE),IF((CP126=FALSE),IF(ISNA(CO126),0,IF((CS125&lt;CU$44),IF((CS126&lt;CU$44),((CU$44-((CS125+CS126)*0.5))*CV126),(((CU$44-CS125)*0.5)*CV126)),IF((CS126&lt;CU$44),(((CU$44-CS126)*0.5)*CV126),0))),0),0))</f>
        <v>0</v>
      </c>
      <c s="588" r="CX126">
        <f>IF(ISNA((CS126*CS125)),0,IF((CP125=FALSE),IF((CP126=FALSE),IF(ISNA(CS126),0,IF((CS125&lt;CU$44),IF((CS126&lt;CU$44),(((CV126^2)+((CS126-CS125)^2))^0.5),(((CV126^2)+((CU$44-CS125)^2))^0.5)),IF((CS126&lt;CU$44),(((CV126^2)+((CU$44-CS126)^2))^0.5),0))),0),0))</f>
        <v>0</v>
      </c>
      <c s="588" r="CY126">
        <f>IF(ISNUMBER((CS126*CS125)),IF((CS125&gt;=CE$148),IF((CS126&lt;CE$148),1,0),IF((CS126&gt;=CE$148),IF((CS125&lt;CE$148),1,0),0)),0)</f>
        <v>0</v>
      </c>
      <c s="588" r="CZ126">
        <f>IF(ISNA((CS126*CS125)),0,(IF((CR126&lt;CR125),-1,1)*(IF(ISNA(CS126),0,IF((CS125&lt;CE$148),IF((CS126&lt;CE$148),(((CR126-CR125)^2)^0.5),(((((CE$148-CS125)*(CR126-CR125))/(CS126-CS125))^2)^0.5)),IF((CS126&lt;CE$148),(((((CE$148-CS126)*(CR126-CR125))/(CS125-CS126))^2)^0.5),0))))))</f>
        <v>0</v>
      </c>
      <c s="441" r="DA126">
        <f>IF((CW126&gt;0),(MAX(DA$47:DA125)+1),0)</f>
        <v>0</v>
      </c>
      <c s="388" r="DB126"/>
      <c s="406" r="DC126"/>
      <c s="886" r="DD126"/>
      <c s="886" r="DE126"/>
      <c s="886" r="DF126"/>
      <c s="886" r="DG126"/>
      <c s="418" r="DH126"/>
      <c s="550" r="DI126"/>
      <c s="550" r="DJ126"/>
      <c t="str" s="620" r="DK126">
        <f>IF((COUNT(DJ126:DJ$146,DL126:DL$146)=0),NA(),IF(ISBLANK(DJ126),DK125,(DK125+(DJ126-DL125))))</f>
        <v>#N/A:explicit</v>
      </c>
      <c s="550" r="DL126"/>
      <c t="str" s="620" r="DM126">
        <f>IF(OR(ISBLANK(DL126),ISNUMBER(DJ127)),NA(),(DK126-DL126))</f>
        <v>#N/A:explicit</v>
      </c>
      <c t="b" s="895" r="DN126">
        <v>0</v>
      </c>
      <c s="631" r="DO126"/>
      <c t="str" s="309" r="DP126">
        <f>IF((COUNT(DI126:DI$146)=0),NA(),IF(ISBLANK(DI126),IF(ISBLANK(DI125),MAX(DI$46:DI126),DI125),DI126))</f>
        <v>#N/A:explicit</v>
      </c>
      <c t="str" s="861" r="DQ126">
        <f>IF(ISNA(DM126),IF(ISNUMBER(DP126),DQ125,NA()),DM126)</f>
        <v>#N/A:explicit</v>
      </c>
      <c s="861" r="DR126">
        <f>IF(ISNUMBER(DQ126),DQ126,(DK$46+1000))</f>
        <v>1000</v>
      </c>
      <c t="str" s="588" r="DS126">
        <f>IF((DN126=TRUE),NA(),IF((DS$44=(DK$46-MAX(DL$46:DL$146))),NA(),DS$44))</f>
        <v>#N/A:explicit</v>
      </c>
      <c s="588" r="DT126">
        <f>IF((ISNA(((DQ126*DP126)*DQ125))),0,(IF((DP126&lt;DP125),-1,1)*(IF((DN125=FALSE),IF((DN126=FALSE),IF(ISNA(DQ126),0,IF((DQ125&lt;DS$44),IF((DQ126&lt;DS$44),(((DP126-DP125)^2)^0.5),(((((DS$44-DQ125)*(DP126-DP125))/(DQ126-DQ125))^2)^0.5)),IF((DQ126&lt;DS$44),(((((DS$44-DQ126)*(DP126-DP125))/(DQ125-DQ126))^2)^0.5),0))),0),0))))</f>
        <v>0</v>
      </c>
      <c s="588" r="DU126">
        <f>IF(ISNA((DQ126*DQ125)),0,IF((DN125=FALSE),IF((DN126=FALSE),IF(ISNA(DM126),0,IF((DQ125&lt;DS$44),IF((DQ126&lt;DS$44),((DS$44-((DQ125+DQ126)*0.5))*DT126),(((DS$44-DQ125)*0.5)*DT126)),IF((DQ126&lt;DS$44),(((DS$44-DQ126)*0.5)*DT126),0))),0),0))</f>
        <v>0</v>
      </c>
      <c s="588" r="DV126">
        <f>IF(ISNA((DQ126*DQ125)),0,IF((DN125=FALSE),IF((DN126=FALSE),IF(ISNA(DQ126),0,IF((DQ125&lt;DS$44),IF((DQ126&lt;DS$44),(((DT126^2)+((DQ126-DQ125)^2))^0.5),(((DT126^2)+((DS$44-DQ125)^2))^0.5)),IF((DQ126&lt;DS$44),(((DT126^2)+((DS$44-DQ126)^2))^0.5),0))),0),0))</f>
        <v>0</v>
      </c>
      <c s="588" r="DW126">
        <f>IF(ISNUMBER((DQ126*DQ125)),IF((DQ125&gt;=DC$148),IF((DQ126&lt;DC$148),1,0),IF((DQ126&gt;=DC$148),IF((DQ125&lt;DC$148),1,0),0)),0)</f>
        <v>0</v>
      </c>
      <c s="588" r="DX126">
        <f>IF(ISNA((DQ126*DQ125)),0,(IF((DP126&lt;DP125),-1,1)*(IF(ISNA(DQ126),0,IF((DQ125&lt;DC$148),IF((DQ126&lt;DC$148),(((DP126-DP125)^2)^0.5),(((((DC$148-DQ125)*(DP126-DP125))/(DQ126-DQ125))^2)^0.5)),IF((DQ126&lt;DC$148),(((((DC$148-DQ126)*(DP126-DP125))/(DQ125-DQ126))^2)^0.5),0))))))</f>
        <v>0</v>
      </c>
      <c s="441" r="DY126">
        <f>IF((DU126&gt;0),(MAX(DY$47:DY125)+1),0)</f>
        <v>0</v>
      </c>
      <c s="388" r="DZ126"/>
      <c s="406" r="EA126"/>
      <c s="886" r="EB126"/>
      <c s="886" r="EC126"/>
      <c s="886" r="ED126"/>
      <c s="886" r="EE126"/>
      <c s="418" r="EF126"/>
      <c s="550" r="EG126"/>
      <c s="550" r="EH126"/>
      <c t="str" s="620" r="EI126">
        <f>IF((COUNT(EH126:EH$146,EJ126:EJ$146)=0),NA(),IF(ISBLANK(EH126),EI125,(EI125+(EH126-EJ125))))</f>
        <v>#N/A:explicit</v>
      </c>
      <c s="550" r="EJ126"/>
      <c t="str" s="620" r="EK126">
        <f>IF(OR(ISBLANK(EJ126),ISNUMBER(EH127)),NA(),(EI126-EJ126))</f>
        <v>#N/A:explicit</v>
      </c>
      <c t="b" s="895" r="EL126">
        <v>0</v>
      </c>
      <c s="631" r="EM126"/>
      <c t="str" s="309" r="EN126">
        <f>IF((COUNT(EG126:EG$146)=0),NA(),IF(ISBLANK(EG126),IF(ISBLANK(EG125),MAX(EG$46:EG126),EG125),EG126))</f>
        <v>#N/A:explicit</v>
      </c>
      <c t="str" s="861" r="EO126">
        <f>IF(ISNA(EK126),IF(ISNUMBER(EN126),EO125,NA()),EK126)</f>
        <v>#N/A:explicit</v>
      </c>
      <c s="861" r="EP126">
        <f>IF(ISNUMBER(EO126),EO126,(EI$46+1000))</f>
        <v>1000</v>
      </c>
      <c t="str" s="588" r="EQ126">
        <f>IF((EL126=TRUE),NA(),IF((EQ$44=(EI$46-MAX(EJ$46:EJ$146))),NA(),EQ$44))</f>
        <v>#N/A:explicit</v>
      </c>
      <c s="588" r="ER126">
        <f>IF((ISNA(((EO126*EN126)*EO125))),0,(IF((EN126&lt;EN125),-1,1)*(IF((EL125=FALSE),IF((EL126=FALSE),IF(ISNA(EO126),0,IF((EO125&lt;EQ$44),IF((EO126&lt;EQ$44),(((EN126-EN125)^2)^0.5),(((((EQ$44-EO125)*(EN126-EN125))/(EO126-EO125))^2)^0.5)),IF((EO126&lt;EQ$44),(((((EQ$44-EO126)*(EN126-EN125))/(EO125-EO126))^2)^0.5),0))),0),0))))</f>
        <v>0</v>
      </c>
      <c s="588" r="ES126">
        <f>IF(ISNA((EO126*EO125)),0,IF((EL125=FALSE),IF((EL126=FALSE),IF(ISNA(EK126),0,IF((EO125&lt;EQ$44),IF((EO126&lt;EQ$44),((EQ$44-((EO125+EO126)*0.5))*ER126),(((EQ$44-EO125)*0.5)*ER126)),IF((EO126&lt;EQ$44),(((EQ$44-EO126)*0.5)*ER126),0))),0),0))</f>
        <v>0</v>
      </c>
      <c s="588" r="ET126">
        <f>IF(ISNA((EO126*EO125)),0,IF((EL125=FALSE),IF((EL126=FALSE),IF(ISNA(EO126),0,IF((EO125&lt;EQ$44),IF((EO126&lt;EQ$44),(((ER126^2)+((EO126-EO125)^2))^0.5),(((ER126^2)+((EQ$44-EO125)^2))^0.5)),IF((EO126&lt;EQ$44),(((ER126^2)+((EQ$44-EO126)^2))^0.5),0))),0),0))</f>
        <v>0</v>
      </c>
      <c s="588" r="EU126">
        <f>IF(ISNUMBER((EO126*EO125)),IF((EO125&gt;=EA$148),IF((EO126&lt;EA$148),1,0),IF((EO126&gt;=EA$148),IF((EO125&lt;EA$148),1,0),0)),0)</f>
        <v>0</v>
      </c>
      <c s="588" r="EV126">
        <f>IF(ISNA((EO126*EO125)),0,(IF((EN126&lt;EN125),-1,1)*(IF(ISNA(EO126),0,IF((EO125&lt;EA$148),IF((EO126&lt;EA$148),(((EN126-EN125)^2)^0.5),(((((EA$148-EO125)*(EN126-EN125))/(EO126-EO125))^2)^0.5)),IF((EO126&lt;EA$148),(((((EA$148-EO126)*(EN126-EN125))/(EO125-EO126))^2)^0.5),0))))))</f>
        <v>0</v>
      </c>
      <c s="441" r="EW126">
        <f>IF((ES126&gt;0),(MAX(EW$47:EW125)+1),0)</f>
        <v>0</v>
      </c>
      <c s="388" r="EX126"/>
      <c s="406" r="EY126"/>
      <c s="886" r="EZ126"/>
      <c s="886" r="FA126"/>
      <c s="886" r="FB126"/>
      <c s="886" r="FC126"/>
      <c s="418" r="FD126"/>
      <c s="550" r="FE126"/>
      <c s="550" r="FF126"/>
      <c t="str" s="620" r="FG126">
        <f>IF((COUNT(FF126:FF$146,FH126:FH$146)=0),NA(),IF(ISBLANK(FF126),FG125,(FG125+(FF126-FH125))))</f>
        <v>#N/A:explicit</v>
      </c>
      <c s="550" r="FH126"/>
      <c t="str" s="620" r="FI126">
        <f>IF(OR(ISBLANK(FH126),ISNUMBER(FF127)),NA(),(FG126-FH126))</f>
        <v>#N/A:explicit</v>
      </c>
      <c t="b" s="895" r="FJ126">
        <v>0</v>
      </c>
      <c s="631" r="FK126"/>
      <c t="str" s="309" r="FL126">
        <f>IF((COUNT(FE126:FE$146)=0),NA(),IF(ISBLANK(FE126),IF(ISBLANK(FE125),MAX(FE$46:FE126),FE125),FE126))</f>
        <v>#N/A:explicit</v>
      </c>
      <c t="str" s="861" r="FM126">
        <f>IF(ISNA(FI126),IF(ISNUMBER(FL126),FM125,NA()),FI126)</f>
        <v>#N/A:explicit</v>
      </c>
      <c s="861" r="FN126">
        <f>IF(ISNUMBER(FM126),FM126,(FG$46+1000))</f>
        <v>1000</v>
      </c>
      <c t="str" s="588" r="FO126">
        <f>IF((FJ126=TRUE),NA(),IF((FO$44=(FG$46-MAX(FH$46:FH$146))),NA(),FO$44))</f>
        <v>#N/A:explicit</v>
      </c>
      <c s="588" r="FP126">
        <f>IF((ISNA(((FM126*FL126)*FM125))),0,(IF((FL126&lt;FL125),-1,1)*(IF((FJ125=FALSE),IF((FJ126=FALSE),IF(ISNA(FM126),0,IF((FM125&lt;FO$44),IF((FM126&lt;FO$44),(((FL126-FL125)^2)^0.5),(((((FO$44-FM125)*(FL126-FL125))/(FM126-FM125))^2)^0.5)),IF((FM126&lt;FO$44),(((((FO$44-FM126)*(FL126-FL125))/(FM125-FM126))^2)^0.5),0))),0),0))))</f>
        <v>0</v>
      </c>
      <c s="588" r="FQ126">
        <f>IF(ISNA((FM126*FM125)),0,IF((FJ125=FALSE),IF((FJ126=FALSE),IF(ISNA(FI126),0,IF((FM125&lt;FO$44),IF((FM126&lt;FO$44),((FO$44-((FM125+FM126)*0.5))*FP126),(((FO$44-FM125)*0.5)*FP126)),IF((FM126&lt;FO$44),(((FO$44-FM126)*0.5)*FP126),0))),0),0))</f>
        <v>0</v>
      </c>
      <c s="588" r="FR126">
        <f>IF(ISNA((FM126*FM125)),0,IF((FJ125=FALSE),IF((FJ126=FALSE),IF(ISNA(FM126),0,IF((FM125&lt;FO$44),IF((FM126&lt;FO$44),(((FP126^2)+((FM126-FM125)^2))^0.5),(((FP126^2)+((FO$44-FM125)^2))^0.5)),IF((FM126&lt;FO$44),(((FP126^2)+((FO$44-FM126)^2))^0.5),0))),0),0))</f>
        <v>0</v>
      </c>
      <c s="588" r="FS126">
        <f>IF(ISNUMBER((FM126*FM125)),IF((FM125&gt;=EY$148),IF((FM126&lt;EY$148),1,0),IF((FM126&gt;=EY$148),IF((FM125&lt;EY$148),1,0),0)),0)</f>
        <v>0</v>
      </c>
      <c s="588" r="FT126">
        <f>IF(ISNA((FM126*FM125)),0,(IF((FL126&lt;FL125),-1,1)*(IF(ISNA(FM126),0,IF((FM125&lt;EY$148),IF((FM126&lt;EY$148),(((FL126-FL125)^2)^0.5),(((((EY$148-FM125)*(FL126-FL125))/(FM126-FM125))^2)^0.5)),IF((FM126&lt;EY$148),(((((EY$148-FM126)*(FL126-FL125))/(FM125-FM126))^2)^0.5),0))))))</f>
        <v>0</v>
      </c>
      <c s="441" r="FU126">
        <f>IF((FQ126&gt;0),(MAX(FU$47:FU125)+1),0)</f>
        <v>0</v>
      </c>
      <c s="222" r="FV126"/>
      <c s="125" r="FW126"/>
      <c s="125" r="FX126"/>
      <c s="125" r="FY126"/>
      <c s="125" r="FZ126"/>
      <c s="125" r="GA126"/>
      <c s="125" r="GB126"/>
      <c s="125" r="GC126"/>
      <c s="125" r="GD126"/>
      <c s="125" r="GE126"/>
      <c s="125" r="GF126"/>
      <c s="125" r="GG126"/>
      <c s="125" r="GH126"/>
      <c s="125" r="GI126"/>
      <c s="125" r="GJ126"/>
      <c s="125" r="GK126"/>
      <c s="125" r="GL126"/>
      <c s="125" r="GM126"/>
      <c s="125" r="GN126"/>
      <c s="125" r="GO126"/>
      <c s="125" r="GP126"/>
      <c s="125" r="GQ126"/>
      <c s="125" r="GR126"/>
      <c s="125" r="GS126"/>
      <c s="125" r="GT126"/>
      <c s="125" r="GU126"/>
      <c s="125" r="GV126"/>
      <c s="125" r="GW126"/>
      <c s="125" r="GX126"/>
      <c s="125" r="GY126"/>
      <c s="125" r="GZ126"/>
      <c s="125" r="HA126"/>
      <c s="125" r="HB126"/>
    </row>
    <row r="127">
      <c s="125" r="A127"/>
      <c s="125" r="B127"/>
      <c s="125" r="C127"/>
      <c s="125" r="D127"/>
      <c s="125" r="E127"/>
      <c s="125" r="F127"/>
      <c s="125" r="G127"/>
      <c s="125" r="H127"/>
      <c s="125" r="I127"/>
      <c s="822" r="J127"/>
      <c s="406" r="K127"/>
      <c s="886" r="L127"/>
      <c s="886" r="M127"/>
      <c s="886" r="N127"/>
      <c s="886" r="O127"/>
      <c s="418" r="P127"/>
      <c s="550" r="Q127"/>
      <c s="550" r="R127"/>
      <c t="str" s="620" r="S127">
        <f>IF((COUNT(R127:R$146,T127:T$146)=0),NA(),IF(ISBLANK(R127),S126,(S126+(R127-T126))))</f>
        <v>#N/A:explicit</v>
      </c>
      <c s="550" r="T127"/>
      <c t="str" s="620" r="U127">
        <f>IF(OR(ISBLANK(T127),ISNUMBER(R128)),NA(),(S127-T127))</f>
        <v>#N/A:explicit</v>
      </c>
      <c t="b" s="895" r="V127">
        <v>0</v>
      </c>
      <c s="631" r="W127"/>
      <c t="str" s="309" r="X127">
        <f>IF((COUNT(Q127:Q$146)=0),NA(),IF(ISBLANK(Q127),IF(ISBLANK(Q126),MAX(Q$46:Q127),Q126),Q127))</f>
        <v>#N/A:explicit</v>
      </c>
      <c t="str" s="861" r="Y127">
        <f>IF(ISNA(U127),IF(ISNUMBER(X127),Y126,NA()),U127)</f>
        <v>#N/A:explicit</v>
      </c>
      <c s="861" r="Z127">
        <f>IF(ISNUMBER(Y127),Y127,(S$46+1000))</f>
        <v>1000</v>
      </c>
      <c t="str" s="588" r="AA127">
        <f>IF((V127=TRUE),NA(),IF((AA$44=(S$46-MAX(T$46:T$146))),NA(),AA$44))</f>
        <v>#N/A:explicit</v>
      </c>
      <c s="588" r="AB127">
        <f>IF((ISNA(((Y127*X127)*Y126))),0,(IF((X127&lt;X126),-1,1)*(IF((V126=FALSE),IF((V127=FALSE),IF(ISNA(Y127),0,IF((Y126&lt;AA$44),IF((Y127&lt;AA$44),(((X127-X126)^2)^0.5),(((((AA$44-Y126)*(X127-X126))/(Y127-Y126))^2)^0.5)),IF((Y127&lt;AA$44),(((((AA$44-Y127)*(X127-X126))/(Y126-Y127))^2)^0.5),0))),0),0))))</f>
        <v>0</v>
      </c>
      <c s="588" r="AC127">
        <f>IF(ISNA((Y127*Y126)),0,IF((V126=FALSE),IF((V127=FALSE),IF(ISNA(U127),0,IF((Y126&lt;AA$44),IF((Y127&lt;AA$44),((AA$44-((Y126+Y127)*0.5))*AB127),(((AA$44-Y126)*0.5)*AB127)),IF((Y127&lt;AA$44),(((AA$44-Y127)*0.5)*AB127),0))),0),0))</f>
        <v>0</v>
      </c>
      <c s="588" r="AD127">
        <f>IF(ISNA((Y127*Y126)),0,IF((V126=FALSE),IF((V127=FALSE),IF(ISNA(Y127),0,IF((Y126&lt;AA$44),IF((Y127&lt;AA$44),(((AB127^2)+((Y127-Y126)^2))^0.5),(((AB127^2)+((AA$44-Y126)^2))^0.5)),IF((Y127&lt;AA$44),(((AB127^2)+((AA$44-Y127)^2))^0.5),0))),0),0))</f>
        <v>0</v>
      </c>
      <c s="588" r="AE127">
        <f>IF(ISNUMBER((Y127*Y126)),IF((Y126&gt;=K$148),IF((Y127&lt;K$148),1,0),IF((Y127&gt;=K$148),IF((Y126&lt;K$148),1,0),0)),0)</f>
        <v>0</v>
      </c>
      <c s="588" r="AF127">
        <f>IF(ISNA((Y127*Y126)),0,(IF((X127&lt;X126),-1,1)*(IF(ISNA(Y127),0,IF((Y126&lt;K$148),IF((Y127&lt;K$148),(((X127-X126)^2)^0.5),(((((K$148-Y126)*(X127-X126))/(Y127-Y126))^2)^0.5)),IF((Y127&lt;K$148),(((((K$148-Y127)*(X127-X126))/(Y126-Y127))^2)^0.5),0))))))</f>
        <v>0</v>
      </c>
      <c s="441" r="AG127">
        <f>IF((AC127&gt;0),(MAX(AG$47:AG126)+1),0)</f>
        <v>0</v>
      </c>
      <c s="388" r="AH127"/>
      <c s="406" r="AI127"/>
      <c s="886" r="AJ127"/>
      <c s="886" r="AK127"/>
      <c s="886" r="AL127"/>
      <c s="886" r="AM127"/>
      <c s="418" r="AN127"/>
      <c s="550" r="AO127"/>
      <c s="550" r="AP127"/>
      <c t="str" s="620" r="AQ127">
        <f>IF((COUNT(AP127:AP$146,AR127:AR$146)=0),NA(),IF(ISBLANK(AP127),AQ126,(AQ126+(AP127-AR126))))</f>
        <v>#N/A:explicit</v>
      </c>
      <c s="550" r="AR127"/>
      <c t="str" s="620" r="AS127">
        <f>IF(OR(ISBLANK(AR127),ISNUMBER(AP128)),NA(),(AQ127-AR127))</f>
        <v>#N/A:explicit</v>
      </c>
      <c t="b" s="895" r="AT127">
        <v>0</v>
      </c>
      <c s="631" r="AU127"/>
      <c t="str" s="309" r="AV127">
        <f>IF((COUNT(AO127:AO$146)=0),NA(),IF(ISBLANK(AO127),IF(ISBLANK(AO126),MAX(AO$46:AO127),AO126),AO127))</f>
        <v>#N/A:explicit</v>
      </c>
      <c t="str" s="861" r="AW127">
        <f>IF(ISNA(AS127),IF(ISNUMBER(AV127),AW126,NA()),AS127)</f>
        <v>#N/A:explicit</v>
      </c>
      <c s="861" r="AX127">
        <f>IF(ISNUMBER(AW127),AW127,(AQ$46+1000))</f>
        <v>1000</v>
      </c>
      <c t="str" s="588" r="AY127">
        <f>IF((AT127=TRUE),NA(),IF((AY$44=(AQ$46-MAX(AR$46:AR$146))),NA(),AY$44))</f>
        <v>#N/A:explicit</v>
      </c>
      <c s="588" r="AZ127">
        <f>IF((ISNA(((AW127*AV127)*AW126))),0,(IF((AV127&lt;AV126),-1,1)*(IF((AT126=FALSE),IF((AT127=FALSE),IF(ISNA(AW127),0,IF((AW126&lt;AY$44),IF((AW127&lt;AY$44),(((AV127-AV126)^2)^0.5),(((((AY$44-AW126)*(AV127-AV126))/(AW127-AW126))^2)^0.5)),IF((AW127&lt;AY$44),(((((AY$44-AW127)*(AV127-AV126))/(AW126-AW127))^2)^0.5),0))),0),0))))</f>
        <v>0</v>
      </c>
      <c s="588" r="BA127">
        <f>IF(ISNA((AW127*AW126)),0,IF((AT126=FALSE),IF((AT127=FALSE),IF(ISNA(AS127),0,IF((AW126&lt;AY$44),IF((AW127&lt;AY$44),((AY$44-((AW126+AW127)*0.5))*AZ127),(((AY$44-AW126)*0.5)*AZ127)),IF((AW127&lt;AY$44),(((AY$44-AW127)*0.5)*AZ127),0))),0),0))</f>
        <v>0</v>
      </c>
      <c s="588" r="BB127">
        <f>IF(ISNA((AW127*AW126)),0,IF((AT126=FALSE),IF((AT127=FALSE),IF(ISNA(AW127),0,IF((AW126&lt;AY$44),IF((AW127&lt;AY$44),(((AZ127^2)+((AW127-AW126)^2))^0.5),(((AZ127^2)+((AY$44-AW126)^2))^0.5)),IF((AW127&lt;AY$44),(((AZ127^2)+((AY$44-AW127)^2))^0.5),0))),0),0))</f>
        <v>0</v>
      </c>
      <c s="588" r="BC127">
        <f>IF(ISNUMBER((AW127*AW126)),IF((AW126&gt;=AI$148),IF((AW127&lt;AI$148),1,0),IF((AW127&gt;=AI$148),IF((AW126&lt;AI$148),1,0),0)),0)</f>
        <v>0</v>
      </c>
      <c s="588" r="BD127">
        <f>IF(ISNA((AW127*AW126)),0,(IF((AV127&lt;AV126),-1,1)*(IF(ISNA(AW127),0,IF((AW126&lt;AI$148),IF((AW127&lt;AI$148),(((AV127-AV126)^2)^0.5),(((((AI$148-AW126)*(AV127-AV126))/(AW127-AW126))^2)^0.5)),IF((AW127&lt;AI$148),(((((AI$148-AW127)*(AV127-AV126))/(AW126-AW127))^2)^0.5),0))))))</f>
        <v>0</v>
      </c>
      <c s="441" r="BE127">
        <f>IF((BA127&gt;0),(MAX(BE$47:BE126)+1),0)</f>
        <v>0</v>
      </c>
      <c s="388" r="BF127"/>
      <c s="406" r="BG127"/>
      <c s="886" r="BH127"/>
      <c s="886" r="BI127"/>
      <c s="886" r="BJ127"/>
      <c s="886" r="BK127"/>
      <c s="418" r="BL127"/>
      <c s="550" r="BM127"/>
      <c s="550" r="BN127"/>
      <c t="str" s="620" r="BO127">
        <f>IF((COUNT(BN127:BN$146,BP127:BP$146)=0),NA(),IF(ISBLANK(BN127),BO126,(BO126+(BN127-BP126))))</f>
        <v>#N/A:explicit</v>
      </c>
      <c s="550" r="BP127"/>
      <c t="str" s="620" r="BQ127">
        <f>IF(OR(ISBLANK(BP127),ISNUMBER(BN128)),NA(),(BO127-BP127))</f>
        <v>#N/A:explicit</v>
      </c>
      <c t="b" s="895" r="BR127">
        <v>0</v>
      </c>
      <c s="631" r="BS127"/>
      <c t="str" s="309" r="BT127">
        <f>IF((COUNT(BM127:BM$146)=0),NA(),IF(ISBLANK(BM127),IF(ISBLANK(BM126),MAX(BM$46:BM127),BM126),BM127))</f>
        <v>#N/A:explicit</v>
      </c>
      <c t="str" s="861" r="BU127">
        <f>IF(ISNA(BQ127),IF(ISNUMBER(BT127),BU126,NA()),BQ127)</f>
        <v>#N/A:explicit</v>
      </c>
      <c s="861" r="BV127">
        <f>IF(ISNUMBER(BU127),BU127,(BO$46+1000))</f>
        <v>1000</v>
      </c>
      <c t="str" s="588" r="BW127">
        <f>IF((BR127=TRUE),NA(),IF((BW$44=(BO$46-MAX(BP$46:BP$146))),NA(),BW$44))</f>
        <v>#N/A:explicit</v>
      </c>
      <c s="588" r="BX127">
        <f>IF((ISNA(((BU127*BT127)*BU126))),0,(IF((BT127&lt;BT126),-1,1)*(IF((BR126=FALSE),IF((BR127=FALSE),IF(ISNA(BU127),0,IF((BU126&lt;BW$44),IF((BU127&lt;BW$44),(((BT127-BT126)^2)^0.5),(((((BW$44-BU126)*(BT127-BT126))/(BU127-BU126))^2)^0.5)),IF((BU127&lt;BW$44),(((((BW$44-BU127)*(BT127-BT126))/(BU126-BU127))^2)^0.5),0))),0),0))))</f>
        <v>0</v>
      </c>
      <c s="588" r="BY127">
        <f>IF(ISNA((BU127*BU126)),0,IF((BR126=FALSE),IF((BR127=FALSE),IF(ISNA(BQ127),0,IF((BU126&lt;BW$44),IF((BU127&lt;BW$44),((BW$44-((BU126+BU127)*0.5))*BX127),(((BW$44-BU126)*0.5)*BX127)),IF((BU127&lt;BW$44),(((BW$44-BU127)*0.5)*BX127),0))),0),0))</f>
        <v>0</v>
      </c>
      <c s="588" r="BZ127">
        <f>IF(ISNA((BU127*BU126)),0,IF((BR126=FALSE),IF((BR127=FALSE),IF(ISNA(BU127),0,IF((BU126&lt;BW$44),IF((BU127&lt;BW$44),(((BX127^2)+((BU127-BU126)^2))^0.5),(((BX127^2)+((BW$44-BU126)^2))^0.5)),IF((BU127&lt;BW$44),(((BX127^2)+((BW$44-BU127)^2))^0.5),0))),0),0))</f>
        <v>0</v>
      </c>
      <c s="588" r="CA127">
        <f>IF(ISNUMBER((BU127*BU126)),IF((BU126&gt;=BG$148),IF((BU127&lt;BG$148),1,0),IF((BU127&gt;=BG$148),IF((BU126&lt;BG$148),1,0),0)),0)</f>
        <v>0</v>
      </c>
      <c s="588" r="CB127">
        <f>IF(ISNA((BU127*BU126)),0,(IF((BT127&lt;BT126),-1,1)*(IF(ISNA(BU127),0,IF((BU126&lt;BG$148),IF((BU127&lt;BG$148),(((BT127-BT126)^2)^0.5),(((((BG$148-BU126)*(BT127-BT126))/(BU127-BU126))^2)^0.5)),IF((BU127&lt;BG$148),(((((BG$148-BU127)*(BT127-BT126))/(BU126-BU127))^2)^0.5),0))))))</f>
        <v>0</v>
      </c>
      <c s="441" r="CC127">
        <f>IF((BY127&gt;0),(MAX(CC$47:CC126)+1),0)</f>
        <v>0</v>
      </c>
      <c s="388" r="CD127"/>
      <c s="406" r="CE127"/>
      <c s="886" r="CF127"/>
      <c s="886" r="CG127"/>
      <c s="886" r="CH127"/>
      <c s="886" r="CI127"/>
      <c s="418" r="CJ127"/>
      <c s="550" r="CK127"/>
      <c s="550" r="CL127"/>
      <c t="str" s="620" r="CM127">
        <f>IF((COUNT(CL127:CL$146,CN127:CN$146)=0),NA(),IF(ISBLANK(CL127),CM126,(CM126+(CL127-CN126))))</f>
        <v>#N/A:explicit</v>
      </c>
      <c s="550" r="CN127"/>
      <c t="str" s="620" r="CO127">
        <f>IF(OR(ISBLANK(CN127),ISNUMBER(CL128)),NA(),(CM127-CN127))</f>
        <v>#N/A:explicit</v>
      </c>
      <c t="b" s="895" r="CP127">
        <v>0</v>
      </c>
      <c s="631" r="CQ127"/>
      <c t="str" s="309" r="CR127">
        <f>IF((COUNT(CK127:CK$146)=0),NA(),IF(ISBLANK(CK127),IF(ISBLANK(CK126),MAX(CK$46:CK127),CK126),CK127))</f>
        <v>#N/A:explicit</v>
      </c>
      <c t="str" s="861" r="CS127">
        <f>IF(ISNA(CO127),IF(ISNUMBER(CR127),CS126,NA()),CO127)</f>
        <v>#N/A:explicit</v>
      </c>
      <c s="861" r="CT127">
        <f>IF(ISNUMBER(CS127),CS127,(CM$46+1000))</f>
        <v>1000</v>
      </c>
      <c t="str" s="588" r="CU127">
        <f>IF((CP127=TRUE),NA(),IF((CU$44=(CM$46-MAX(CN$46:CN$146))),NA(),CU$44))</f>
        <v>#N/A:explicit</v>
      </c>
      <c s="588" r="CV127">
        <f>IF((ISNA(((CS127*CR127)*CS126))),0,(IF((CR127&lt;CR126),-1,1)*(IF((CP126=FALSE),IF((CP127=FALSE),IF(ISNA(CS127),0,IF((CS126&lt;CU$44),IF((CS127&lt;CU$44),(((CR127-CR126)^2)^0.5),(((((CU$44-CS126)*(CR127-CR126))/(CS127-CS126))^2)^0.5)),IF((CS127&lt;CU$44),(((((CU$44-CS127)*(CR127-CR126))/(CS126-CS127))^2)^0.5),0))),0),0))))</f>
        <v>0</v>
      </c>
      <c s="588" r="CW127">
        <f>IF(ISNA((CS127*CS126)),0,IF((CP126=FALSE),IF((CP127=FALSE),IF(ISNA(CO127),0,IF((CS126&lt;CU$44),IF((CS127&lt;CU$44),((CU$44-((CS126+CS127)*0.5))*CV127),(((CU$44-CS126)*0.5)*CV127)),IF((CS127&lt;CU$44),(((CU$44-CS127)*0.5)*CV127),0))),0),0))</f>
        <v>0</v>
      </c>
      <c s="588" r="CX127">
        <f>IF(ISNA((CS127*CS126)),0,IF((CP126=FALSE),IF((CP127=FALSE),IF(ISNA(CS127),0,IF((CS126&lt;CU$44),IF((CS127&lt;CU$44),(((CV127^2)+((CS127-CS126)^2))^0.5),(((CV127^2)+((CU$44-CS126)^2))^0.5)),IF((CS127&lt;CU$44),(((CV127^2)+((CU$44-CS127)^2))^0.5),0))),0),0))</f>
        <v>0</v>
      </c>
      <c s="588" r="CY127">
        <f>IF(ISNUMBER((CS127*CS126)),IF((CS126&gt;=CE$148),IF((CS127&lt;CE$148),1,0),IF((CS127&gt;=CE$148),IF((CS126&lt;CE$148),1,0),0)),0)</f>
        <v>0</v>
      </c>
      <c s="588" r="CZ127">
        <f>IF(ISNA((CS127*CS126)),0,(IF((CR127&lt;CR126),-1,1)*(IF(ISNA(CS127),0,IF((CS126&lt;CE$148),IF((CS127&lt;CE$148),(((CR127-CR126)^2)^0.5),(((((CE$148-CS126)*(CR127-CR126))/(CS127-CS126))^2)^0.5)),IF((CS127&lt;CE$148),(((((CE$148-CS127)*(CR127-CR126))/(CS126-CS127))^2)^0.5),0))))))</f>
        <v>0</v>
      </c>
      <c s="441" r="DA127">
        <f>IF((CW127&gt;0),(MAX(DA$47:DA126)+1),0)</f>
        <v>0</v>
      </c>
      <c s="388" r="DB127"/>
      <c s="406" r="DC127"/>
      <c s="886" r="DD127"/>
      <c s="886" r="DE127"/>
      <c s="886" r="DF127"/>
      <c s="886" r="DG127"/>
      <c s="418" r="DH127"/>
      <c s="550" r="DI127"/>
      <c s="550" r="DJ127"/>
      <c t="str" s="620" r="DK127">
        <f>IF((COUNT(DJ127:DJ$146,DL127:DL$146)=0),NA(),IF(ISBLANK(DJ127),DK126,(DK126+(DJ127-DL126))))</f>
        <v>#N/A:explicit</v>
      </c>
      <c s="550" r="DL127"/>
      <c t="str" s="620" r="DM127">
        <f>IF(OR(ISBLANK(DL127),ISNUMBER(DJ128)),NA(),(DK127-DL127))</f>
        <v>#N/A:explicit</v>
      </c>
      <c t="b" s="895" r="DN127">
        <v>0</v>
      </c>
      <c s="631" r="DO127"/>
      <c t="str" s="309" r="DP127">
        <f>IF((COUNT(DI127:DI$146)=0),NA(),IF(ISBLANK(DI127),IF(ISBLANK(DI126),MAX(DI$46:DI127),DI126),DI127))</f>
        <v>#N/A:explicit</v>
      </c>
      <c t="str" s="861" r="DQ127">
        <f>IF(ISNA(DM127),IF(ISNUMBER(DP127),DQ126,NA()),DM127)</f>
        <v>#N/A:explicit</v>
      </c>
      <c s="861" r="DR127">
        <f>IF(ISNUMBER(DQ127),DQ127,(DK$46+1000))</f>
        <v>1000</v>
      </c>
      <c t="str" s="588" r="DS127">
        <f>IF((DN127=TRUE),NA(),IF((DS$44=(DK$46-MAX(DL$46:DL$146))),NA(),DS$44))</f>
        <v>#N/A:explicit</v>
      </c>
      <c s="588" r="DT127">
        <f>IF((ISNA(((DQ127*DP127)*DQ126))),0,(IF((DP127&lt;DP126),-1,1)*(IF((DN126=FALSE),IF((DN127=FALSE),IF(ISNA(DQ127),0,IF((DQ126&lt;DS$44),IF((DQ127&lt;DS$44),(((DP127-DP126)^2)^0.5),(((((DS$44-DQ126)*(DP127-DP126))/(DQ127-DQ126))^2)^0.5)),IF((DQ127&lt;DS$44),(((((DS$44-DQ127)*(DP127-DP126))/(DQ126-DQ127))^2)^0.5),0))),0),0))))</f>
        <v>0</v>
      </c>
      <c s="588" r="DU127">
        <f>IF(ISNA((DQ127*DQ126)),0,IF((DN126=FALSE),IF((DN127=FALSE),IF(ISNA(DM127),0,IF((DQ126&lt;DS$44),IF((DQ127&lt;DS$44),((DS$44-((DQ126+DQ127)*0.5))*DT127),(((DS$44-DQ126)*0.5)*DT127)),IF((DQ127&lt;DS$44),(((DS$44-DQ127)*0.5)*DT127),0))),0),0))</f>
        <v>0</v>
      </c>
      <c s="588" r="DV127">
        <f>IF(ISNA((DQ127*DQ126)),0,IF((DN126=FALSE),IF((DN127=FALSE),IF(ISNA(DQ127),0,IF((DQ126&lt;DS$44),IF((DQ127&lt;DS$44),(((DT127^2)+((DQ127-DQ126)^2))^0.5),(((DT127^2)+((DS$44-DQ126)^2))^0.5)),IF((DQ127&lt;DS$44),(((DT127^2)+((DS$44-DQ127)^2))^0.5),0))),0),0))</f>
        <v>0</v>
      </c>
      <c s="588" r="DW127">
        <f>IF(ISNUMBER((DQ127*DQ126)),IF((DQ126&gt;=DC$148),IF((DQ127&lt;DC$148),1,0),IF((DQ127&gt;=DC$148),IF((DQ126&lt;DC$148),1,0),0)),0)</f>
        <v>0</v>
      </c>
      <c s="588" r="DX127">
        <f>IF(ISNA((DQ127*DQ126)),0,(IF((DP127&lt;DP126),-1,1)*(IF(ISNA(DQ127),0,IF((DQ126&lt;DC$148),IF((DQ127&lt;DC$148),(((DP127-DP126)^2)^0.5),(((((DC$148-DQ126)*(DP127-DP126))/(DQ127-DQ126))^2)^0.5)),IF((DQ127&lt;DC$148),(((((DC$148-DQ127)*(DP127-DP126))/(DQ126-DQ127))^2)^0.5),0))))))</f>
        <v>0</v>
      </c>
      <c s="441" r="DY127">
        <f>IF((DU127&gt;0),(MAX(DY$47:DY126)+1),0)</f>
        <v>0</v>
      </c>
      <c s="388" r="DZ127"/>
      <c s="406" r="EA127"/>
      <c s="886" r="EB127"/>
      <c s="886" r="EC127"/>
      <c s="886" r="ED127"/>
      <c s="886" r="EE127"/>
      <c s="418" r="EF127"/>
      <c s="550" r="EG127"/>
      <c s="550" r="EH127"/>
      <c t="str" s="620" r="EI127">
        <f>IF((COUNT(EH127:EH$146,EJ127:EJ$146)=0),NA(),IF(ISBLANK(EH127),EI126,(EI126+(EH127-EJ126))))</f>
        <v>#N/A:explicit</v>
      </c>
      <c s="550" r="EJ127"/>
      <c t="str" s="620" r="EK127">
        <f>IF(OR(ISBLANK(EJ127),ISNUMBER(EH128)),NA(),(EI127-EJ127))</f>
        <v>#N/A:explicit</v>
      </c>
      <c t="b" s="895" r="EL127">
        <v>0</v>
      </c>
      <c s="631" r="EM127"/>
      <c t="str" s="309" r="EN127">
        <f>IF((COUNT(EG127:EG$146)=0),NA(),IF(ISBLANK(EG127),IF(ISBLANK(EG126),MAX(EG$46:EG127),EG126),EG127))</f>
        <v>#N/A:explicit</v>
      </c>
      <c t="str" s="861" r="EO127">
        <f>IF(ISNA(EK127),IF(ISNUMBER(EN127),EO126,NA()),EK127)</f>
        <v>#N/A:explicit</v>
      </c>
      <c s="861" r="EP127">
        <f>IF(ISNUMBER(EO127),EO127,(EI$46+1000))</f>
        <v>1000</v>
      </c>
      <c t="str" s="588" r="EQ127">
        <f>IF((EL127=TRUE),NA(),IF((EQ$44=(EI$46-MAX(EJ$46:EJ$146))),NA(),EQ$44))</f>
        <v>#N/A:explicit</v>
      </c>
      <c s="588" r="ER127">
        <f>IF((ISNA(((EO127*EN127)*EO126))),0,(IF((EN127&lt;EN126),-1,1)*(IF((EL126=FALSE),IF((EL127=FALSE),IF(ISNA(EO127),0,IF((EO126&lt;EQ$44),IF((EO127&lt;EQ$44),(((EN127-EN126)^2)^0.5),(((((EQ$44-EO126)*(EN127-EN126))/(EO127-EO126))^2)^0.5)),IF((EO127&lt;EQ$44),(((((EQ$44-EO127)*(EN127-EN126))/(EO126-EO127))^2)^0.5),0))),0),0))))</f>
        <v>0</v>
      </c>
      <c s="588" r="ES127">
        <f>IF(ISNA((EO127*EO126)),0,IF((EL126=FALSE),IF((EL127=FALSE),IF(ISNA(EK127),0,IF((EO126&lt;EQ$44),IF((EO127&lt;EQ$44),((EQ$44-((EO126+EO127)*0.5))*ER127),(((EQ$44-EO126)*0.5)*ER127)),IF((EO127&lt;EQ$44),(((EQ$44-EO127)*0.5)*ER127),0))),0),0))</f>
        <v>0</v>
      </c>
      <c s="588" r="ET127">
        <f>IF(ISNA((EO127*EO126)),0,IF((EL126=FALSE),IF((EL127=FALSE),IF(ISNA(EO127),0,IF((EO126&lt;EQ$44),IF((EO127&lt;EQ$44),(((ER127^2)+((EO127-EO126)^2))^0.5),(((ER127^2)+((EQ$44-EO126)^2))^0.5)),IF((EO127&lt;EQ$44),(((ER127^2)+((EQ$44-EO127)^2))^0.5),0))),0),0))</f>
        <v>0</v>
      </c>
      <c s="588" r="EU127">
        <f>IF(ISNUMBER((EO127*EO126)),IF((EO126&gt;=EA$148),IF((EO127&lt;EA$148),1,0),IF((EO127&gt;=EA$148),IF((EO126&lt;EA$148),1,0),0)),0)</f>
        <v>0</v>
      </c>
      <c s="588" r="EV127">
        <f>IF(ISNA((EO127*EO126)),0,(IF((EN127&lt;EN126),-1,1)*(IF(ISNA(EO127),0,IF((EO126&lt;EA$148),IF((EO127&lt;EA$148),(((EN127-EN126)^2)^0.5),(((((EA$148-EO126)*(EN127-EN126))/(EO127-EO126))^2)^0.5)),IF((EO127&lt;EA$148),(((((EA$148-EO127)*(EN127-EN126))/(EO126-EO127))^2)^0.5),0))))))</f>
        <v>0</v>
      </c>
      <c s="441" r="EW127">
        <f>IF((ES127&gt;0),(MAX(EW$47:EW126)+1),0)</f>
        <v>0</v>
      </c>
      <c s="388" r="EX127"/>
      <c s="406" r="EY127"/>
      <c s="886" r="EZ127"/>
      <c s="886" r="FA127"/>
      <c s="886" r="FB127"/>
      <c s="886" r="FC127"/>
      <c s="418" r="FD127"/>
      <c s="550" r="FE127"/>
      <c s="550" r="FF127"/>
      <c t="str" s="620" r="FG127">
        <f>IF((COUNT(FF127:FF$146,FH127:FH$146)=0),NA(),IF(ISBLANK(FF127),FG126,(FG126+(FF127-FH126))))</f>
        <v>#N/A:explicit</v>
      </c>
      <c s="550" r="FH127"/>
      <c t="str" s="620" r="FI127">
        <f>IF(OR(ISBLANK(FH127),ISNUMBER(FF128)),NA(),(FG127-FH127))</f>
        <v>#N/A:explicit</v>
      </c>
      <c t="b" s="895" r="FJ127">
        <v>0</v>
      </c>
      <c s="631" r="FK127"/>
      <c t="str" s="309" r="FL127">
        <f>IF((COUNT(FE127:FE$146)=0),NA(),IF(ISBLANK(FE127),IF(ISBLANK(FE126),MAX(FE$46:FE127),FE126),FE127))</f>
        <v>#N/A:explicit</v>
      </c>
      <c t="str" s="861" r="FM127">
        <f>IF(ISNA(FI127),IF(ISNUMBER(FL127),FM126,NA()),FI127)</f>
        <v>#N/A:explicit</v>
      </c>
      <c s="861" r="FN127">
        <f>IF(ISNUMBER(FM127),FM127,(FG$46+1000))</f>
        <v>1000</v>
      </c>
      <c t="str" s="588" r="FO127">
        <f>IF((FJ127=TRUE),NA(),IF((FO$44=(FG$46-MAX(FH$46:FH$146))),NA(),FO$44))</f>
        <v>#N/A:explicit</v>
      </c>
      <c s="588" r="FP127">
        <f>IF((ISNA(((FM127*FL127)*FM126))),0,(IF((FL127&lt;FL126),-1,1)*(IF((FJ126=FALSE),IF((FJ127=FALSE),IF(ISNA(FM127),0,IF((FM126&lt;FO$44),IF((FM127&lt;FO$44),(((FL127-FL126)^2)^0.5),(((((FO$44-FM126)*(FL127-FL126))/(FM127-FM126))^2)^0.5)),IF((FM127&lt;FO$44),(((((FO$44-FM127)*(FL127-FL126))/(FM126-FM127))^2)^0.5),0))),0),0))))</f>
        <v>0</v>
      </c>
      <c s="588" r="FQ127">
        <f>IF(ISNA((FM127*FM126)),0,IF((FJ126=FALSE),IF((FJ127=FALSE),IF(ISNA(FI127),0,IF((FM126&lt;FO$44),IF((FM127&lt;FO$44),((FO$44-((FM126+FM127)*0.5))*FP127),(((FO$44-FM126)*0.5)*FP127)),IF((FM127&lt;FO$44),(((FO$44-FM127)*0.5)*FP127),0))),0),0))</f>
        <v>0</v>
      </c>
      <c s="588" r="FR127">
        <f>IF(ISNA((FM127*FM126)),0,IF((FJ126=FALSE),IF((FJ127=FALSE),IF(ISNA(FM127),0,IF((FM126&lt;FO$44),IF((FM127&lt;FO$44),(((FP127^2)+((FM127-FM126)^2))^0.5),(((FP127^2)+((FO$44-FM126)^2))^0.5)),IF((FM127&lt;FO$44),(((FP127^2)+((FO$44-FM127)^2))^0.5),0))),0),0))</f>
        <v>0</v>
      </c>
      <c s="588" r="FS127">
        <f>IF(ISNUMBER((FM127*FM126)),IF((FM126&gt;=EY$148),IF((FM127&lt;EY$148),1,0),IF((FM127&gt;=EY$148),IF((FM126&lt;EY$148),1,0),0)),0)</f>
        <v>0</v>
      </c>
      <c s="588" r="FT127">
        <f>IF(ISNA((FM127*FM126)),0,(IF((FL127&lt;FL126),-1,1)*(IF(ISNA(FM127),0,IF((FM126&lt;EY$148),IF((FM127&lt;EY$148),(((FL127-FL126)^2)^0.5),(((((EY$148-FM126)*(FL127-FL126))/(FM127-FM126))^2)^0.5)),IF((FM127&lt;EY$148),(((((EY$148-FM127)*(FL127-FL126))/(FM126-FM127))^2)^0.5),0))))))</f>
        <v>0</v>
      </c>
      <c s="441" r="FU127">
        <f>IF((FQ127&gt;0),(MAX(FU$47:FU126)+1),0)</f>
        <v>0</v>
      </c>
      <c s="222" r="FV127"/>
      <c s="125" r="FW127"/>
      <c s="125" r="FX127"/>
      <c s="125" r="FY127"/>
      <c s="125" r="FZ127"/>
      <c s="125" r="GA127"/>
      <c s="125" r="GB127"/>
      <c s="125" r="GC127"/>
      <c s="125" r="GD127"/>
      <c s="125" r="GE127"/>
      <c s="125" r="GF127"/>
      <c s="125" r="GG127"/>
      <c s="125" r="GH127"/>
      <c s="125" r="GI127"/>
      <c s="125" r="GJ127"/>
      <c s="125" r="GK127"/>
      <c s="125" r="GL127"/>
      <c s="125" r="GM127"/>
      <c s="125" r="GN127"/>
      <c s="125" r="GO127"/>
      <c s="125" r="GP127"/>
      <c s="125" r="GQ127"/>
      <c s="125" r="GR127"/>
      <c s="125" r="GS127"/>
      <c s="125" r="GT127"/>
      <c s="125" r="GU127"/>
      <c s="125" r="GV127"/>
      <c s="125" r="GW127"/>
      <c s="125" r="GX127"/>
      <c s="125" r="GY127"/>
      <c s="125" r="GZ127"/>
      <c s="125" r="HA127"/>
      <c s="125" r="HB127"/>
    </row>
    <row r="128">
      <c s="125" r="A128"/>
      <c s="125" r="B128"/>
      <c s="125" r="C128"/>
      <c s="125" r="D128"/>
      <c s="125" r="E128"/>
      <c s="125" r="F128"/>
      <c s="125" r="G128"/>
      <c s="125" r="H128"/>
      <c s="125" r="I128"/>
      <c s="822" r="J128"/>
      <c s="406" r="K128"/>
      <c s="886" r="L128"/>
      <c s="886" r="M128"/>
      <c s="886" r="N128"/>
      <c s="886" r="O128"/>
      <c s="418" r="P128"/>
      <c s="550" r="Q128"/>
      <c s="550" r="R128"/>
      <c t="str" s="620" r="S128">
        <f>IF((COUNT(R128:R$146,T128:T$146)=0),NA(),IF(ISBLANK(R128),S127,(S127+(R128-T127))))</f>
        <v>#N/A:explicit</v>
      </c>
      <c s="550" r="T128"/>
      <c t="str" s="620" r="U128">
        <f>IF(OR(ISBLANK(T128),ISNUMBER(R129)),NA(),(S128-T128))</f>
        <v>#N/A:explicit</v>
      </c>
      <c t="b" s="895" r="V128">
        <v>0</v>
      </c>
      <c s="631" r="W128"/>
      <c t="str" s="309" r="X128">
        <f>IF((COUNT(Q128:Q$146)=0),NA(),IF(ISBLANK(Q128),IF(ISBLANK(Q127),MAX(Q$46:Q128),Q127),Q128))</f>
        <v>#N/A:explicit</v>
      </c>
      <c t="str" s="861" r="Y128">
        <f>IF(ISNA(U128),IF(ISNUMBER(X128),Y127,NA()),U128)</f>
        <v>#N/A:explicit</v>
      </c>
      <c s="861" r="Z128">
        <f>IF(ISNUMBER(Y128),Y128,(S$46+1000))</f>
        <v>1000</v>
      </c>
      <c t="str" s="588" r="AA128">
        <f>IF((V128=TRUE),NA(),IF((AA$44=(S$46-MAX(T$46:T$146))),NA(),AA$44))</f>
        <v>#N/A:explicit</v>
      </c>
      <c s="588" r="AB128">
        <f>IF((ISNA(((Y128*X128)*Y127))),0,(IF((X128&lt;X127),-1,1)*(IF((V127=FALSE),IF((V128=FALSE),IF(ISNA(Y128),0,IF((Y127&lt;AA$44),IF((Y128&lt;AA$44),(((X128-X127)^2)^0.5),(((((AA$44-Y127)*(X128-X127))/(Y128-Y127))^2)^0.5)),IF((Y128&lt;AA$44),(((((AA$44-Y128)*(X128-X127))/(Y127-Y128))^2)^0.5),0))),0),0))))</f>
        <v>0</v>
      </c>
      <c s="588" r="AC128">
        <f>IF(ISNA((Y128*Y127)),0,IF((V127=FALSE),IF((V128=FALSE),IF(ISNA(U128),0,IF((Y127&lt;AA$44),IF((Y128&lt;AA$44),((AA$44-((Y127+Y128)*0.5))*AB128),(((AA$44-Y127)*0.5)*AB128)),IF((Y128&lt;AA$44),(((AA$44-Y128)*0.5)*AB128),0))),0),0))</f>
        <v>0</v>
      </c>
      <c s="588" r="AD128">
        <f>IF(ISNA((Y128*Y127)),0,IF((V127=FALSE),IF((V128=FALSE),IF(ISNA(Y128),0,IF((Y127&lt;AA$44),IF((Y128&lt;AA$44),(((AB128^2)+((Y128-Y127)^2))^0.5),(((AB128^2)+((AA$44-Y127)^2))^0.5)),IF((Y128&lt;AA$44),(((AB128^2)+((AA$44-Y128)^2))^0.5),0))),0),0))</f>
        <v>0</v>
      </c>
      <c s="588" r="AE128">
        <f>IF(ISNUMBER((Y128*Y127)),IF((Y127&gt;=K$148),IF((Y128&lt;K$148),1,0),IF((Y128&gt;=K$148),IF((Y127&lt;K$148),1,0),0)),0)</f>
        <v>0</v>
      </c>
      <c s="588" r="AF128">
        <f>IF(ISNA((Y128*Y127)),0,(IF((X128&lt;X127),-1,1)*(IF(ISNA(Y128),0,IF((Y127&lt;K$148),IF((Y128&lt;K$148),(((X128-X127)^2)^0.5),(((((K$148-Y127)*(X128-X127))/(Y128-Y127))^2)^0.5)),IF((Y128&lt;K$148),(((((K$148-Y128)*(X128-X127))/(Y127-Y128))^2)^0.5),0))))))</f>
        <v>0</v>
      </c>
      <c s="441" r="AG128">
        <f>IF((AC128&gt;0),(MAX(AG$47:AG127)+1),0)</f>
        <v>0</v>
      </c>
      <c s="388" r="AH128"/>
      <c s="406" r="AI128"/>
      <c s="886" r="AJ128"/>
      <c s="886" r="AK128"/>
      <c s="886" r="AL128"/>
      <c s="886" r="AM128"/>
      <c s="418" r="AN128"/>
      <c s="550" r="AO128"/>
      <c s="550" r="AP128"/>
      <c t="str" s="620" r="AQ128">
        <f>IF((COUNT(AP128:AP$146,AR128:AR$146)=0),NA(),IF(ISBLANK(AP128),AQ127,(AQ127+(AP128-AR127))))</f>
        <v>#N/A:explicit</v>
      </c>
      <c s="550" r="AR128"/>
      <c t="str" s="620" r="AS128">
        <f>IF(OR(ISBLANK(AR128),ISNUMBER(AP129)),NA(),(AQ128-AR128))</f>
        <v>#N/A:explicit</v>
      </c>
      <c t="b" s="895" r="AT128">
        <v>0</v>
      </c>
      <c s="631" r="AU128"/>
      <c t="str" s="309" r="AV128">
        <f>IF((COUNT(AO128:AO$146)=0),NA(),IF(ISBLANK(AO128),IF(ISBLANK(AO127),MAX(AO$46:AO128),AO127),AO128))</f>
        <v>#N/A:explicit</v>
      </c>
      <c t="str" s="861" r="AW128">
        <f>IF(ISNA(AS128),IF(ISNUMBER(AV128),AW127,NA()),AS128)</f>
        <v>#N/A:explicit</v>
      </c>
      <c s="861" r="AX128">
        <f>IF(ISNUMBER(AW128),AW128,(AQ$46+1000))</f>
        <v>1000</v>
      </c>
      <c t="str" s="588" r="AY128">
        <f>IF((AT128=TRUE),NA(),IF((AY$44=(AQ$46-MAX(AR$46:AR$146))),NA(),AY$44))</f>
        <v>#N/A:explicit</v>
      </c>
      <c s="588" r="AZ128">
        <f>IF((ISNA(((AW128*AV128)*AW127))),0,(IF((AV128&lt;AV127),-1,1)*(IF((AT127=FALSE),IF((AT128=FALSE),IF(ISNA(AW128),0,IF((AW127&lt;AY$44),IF((AW128&lt;AY$44),(((AV128-AV127)^2)^0.5),(((((AY$44-AW127)*(AV128-AV127))/(AW128-AW127))^2)^0.5)),IF((AW128&lt;AY$44),(((((AY$44-AW128)*(AV128-AV127))/(AW127-AW128))^2)^0.5),0))),0),0))))</f>
        <v>0</v>
      </c>
      <c s="588" r="BA128">
        <f>IF(ISNA((AW128*AW127)),0,IF((AT127=FALSE),IF((AT128=FALSE),IF(ISNA(AS128),0,IF((AW127&lt;AY$44),IF((AW128&lt;AY$44),((AY$44-((AW127+AW128)*0.5))*AZ128),(((AY$44-AW127)*0.5)*AZ128)),IF((AW128&lt;AY$44),(((AY$44-AW128)*0.5)*AZ128),0))),0),0))</f>
        <v>0</v>
      </c>
      <c s="588" r="BB128">
        <f>IF(ISNA((AW128*AW127)),0,IF((AT127=FALSE),IF((AT128=FALSE),IF(ISNA(AW128),0,IF((AW127&lt;AY$44),IF((AW128&lt;AY$44),(((AZ128^2)+((AW128-AW127)^2))^0.5),(((AZ128^2)+((AY$44-AW127)^2))^0.5)),IF((AW128&lt;AY$44),(((AZ128^2)+((AY$44-AW128)^2))^0.5),0))),0),0))</f>
        <v>0</v>
      </c>
      <c s="588" r="BC128">
        <f>IF(ISNUMBER((AW128*AW127)),IF((AW127&gt;=AI$148),IF((AW128&lt;AI$148),1,0),IF((AW128&gt;=AI$148),IF((AW127&lt;AI$148),1,0),0)),0)</f>
        <v>0</v>
      </c>
      <c s="588" r="BD128">
        <f>IF(ISNA((AW128*AW127)),0,(IF((AV128&lt;AV127),-1,1)*(IF(ISNA(AW128),0,IF((AW127&lt;AI$148),IF((AW128&lt;AI$148),(((AV128-AV127)^2)^0.5),(((((AI$148-AW127)*(AV128-AV127))/(AW128-AW127))^2)^0.5)),IF((AW128&lt;AI$148),(((((AI$148-AW128)*(AV128-AV127))/(AW127-AW128))^2)^0.5),0))))))</f>
        <v>0</v>
      </c>
      <c s="441" r="BE128">
        <f>IF((BA128&gt;0),(MAX(BE$47:BE127)+1),0)</f>
        <v>0</v>
      </c>
      <c s="388" r="BF128"/>
      <c s="406" r="BG128"/>
      <c s="886" r="BH128"/>
      <c s="886" r="BI128"/>
      <c s="886" r="BJ128"/>
      <c s="886" r="BK128"/>
      <c s="418" r="BL128"/>
      <c s="550" r="BM128"/>
      <c s="550" r="BN128"/>
      <c t="str" s="620" r="BO128">
        <f>IF((COUNT(BN128:BN$146,BP128:BP$146)=0),NA(),IF(ISBLANK(BN128),BO127,(BO127+(BN128-BP127))))</f>
        <v>#N/A:explicit</v>
      </c>
      <c s="550" r="BP128"/>
      <c t="str" s="620" r="BQ128">
        <f>IF(OR(ISBLANK(BP128),ISNUMBER(BN129)),NA(),(BO128-BP128))</f>
        <v>#N/A:explicit</v>
      </c>
      <c t="b" s="895" r="BR128">
        <v>0</v>
      </c>
      <c s="631" r="BS128"/>
      <c t="str" s="309" r="BT128">
        <f>IF((COUNT(BM128:BM$146)=0),NA(),IF(ISBLANK(BM128),IF(ISBLANK(BM127),MAX(BM$46:BM128),BM127),BM128))</f>
        <v>#N/A:explicit</v>
      </c>
      <c t="str" s="861" r="BU128">
        <f>IF(ISNA(BQ128),IF(ISNUMBER(BT128),BU127,NA()),BQ128)</f>
        <v>#N/A:explicit</v>
      </c>
      <c s="861" r="BV128">
        <f>IF(ISNUMBER(BU128),BU128,(BO$46+1000))</f>
        <v>1000</v>
      </c>
      <c t="str" s="588" r="BW128">
        <f>IF((BR128=TRUE),NA(),IF((BW$44=(BO$46-MAX(BP$46:BP$146))),NA(),BW$44))</f>
        <v>#N/A:explicit</v>
      </c>
      <c s="588" r="BX128">
        <f>IF((ISNA(((BU128*BT128)*BU127))),0,(IF((BT128&lt;BT127),-1,1)*(IF((BR127=FALSE),IF((BR128=FALSE),IF(ISNA(BU128),0,IF((BU127&lt;BW$44),IF((BU128&lt;BW$44),(((BT128-BT127)^2)^0.5),(((((BW$44-BU127)*(BT128-BT127))/(BU128-BU127))^2)^0.5)),IF((BU128&lt;BW$44),(((((BW$44-BU128)*(BT128-BT127))/(BU127-BU128))^2)^0.5),0))),0),0))))</f>
        <v>0</v>
      </c>
      <c s="588" r="BY128">
        <f>IF(ISNA((BU128*BU127)),0,IF((BR127=FALSE),IF((BR128=FALSE),IF(ISNA(BQ128),0,IF((BU127&lt;BW$44),IF((BU128&lt;BW$44),((BW$44-((BU127+BU128)*0.5))*BX128),(((BW$44-BU127)*0.5)*BX128)),IF((BU128&lt;BW$44),(((BW$44-BU128)*0.5)*BX128),0))),0),0))</f>
        <v>0</v>
      </c>
      <c s="588" r="BZ128">
        <f>IF(ISNA((BU128*BU127)),0,IF((BR127=FALSE),IF((BR128=FALSE),IF(ISNA(BU128),0,IF((BU127&lt;BW$44),IF((BU128&lt;BW$44),(((BX128^2)+((BU128-BU127)^2))^0.5),(((BX128^2)+((BW$44-BU127)^2))^0.5)),IF((BU128&lt;BW$44),(((BX128^2)+((BW$44-BU128)^2))^0.5),0))),0),0))</f>
        <v>0</v>
      </c>
      <c s="588" r="CA128">
        <f>IF(ISNUMBER((BU128*BU127)),IF((BU127&gt;=BG$148),IF((BU128&lt;BG$148),1,0),IF((BU128&gt;=BG$148),IF((BU127&lt;BG$148),1,0),0)),0)</f>
        <v>0</v>
      </c>
      <c s="588" r="CB128">
        <f>IF(ISNA((BU128*BU127)),0,(IF((BT128&lt;BT127),-1,1)*(IF(ISNA(BU128),0,IF((BU127&lt;BG$148),IF((BU128&lt;BG$148),(((BT128-BT127)^2)^0.5),(((((BG$148-BU127)*(BT128-BT127))/(BU128-BU127))^2)^0.5)),IF((BU128&lt;BG$148),(((((BG$148-BU128)*(BT128-BT127))/(BU127-BU128))^2)^0.5),0))))))</f>
        <v>0</v>
      </c>
      <c s="441" r="CC128">
        <f>IF((BY128&gt;0),(MAX(CC$47:CC127)+1),0)</f>
        <v>0</v>
      </c>
      <c s="388" r="CD128"/>
      <c s="406" r="CE128"/>
      <c s="886" r="CF128"/>
      <c s="886" r="CG128"/>
      <c s="886" r="CH128"/>
      <c s="886" r="CI128"/>
      <c s="418" r="CJ128"/>
      <c s="550" r="CK128"/>
      <c s="550" r="CL128"/>
      <c t="str" s="620" r="CM128">
        <f>IF((COUNT(CL128:CL$146,CN128:CN$146)=0),NA(),IF(ISBLANK(CL128),CM127,(CM127+(CL128-CN127))))</f>
        <v>#N/A:explicit</v>
      </c>
      <c s="550" r="CN128"/>
      <c t="str" s="620" r="CO128">
        <f>IF(OR(ISBLANK(CN128),ISNUMBER(CL129)),NA(),(CM128-CN128))</f>
        <v>#N/A:explicit</v>
      </c>
      <c t="b" s="895" r="CP128">
        <v>0</v>
      </c>
      <c s="631" r="CQ128"/>
      <c t="str" s="309" r="CR128">
        <f>IF((COUNT(CK128:CK$146)=0),NA(),IF(ISBLANK(CK128),IF(ISBLANK(CK127),MAX(CK$46:CK128),CK127),CK128))</f>
        <v>#N/A:explicit</v>
      </c>
      <c t="str" s="861" r="CS128">
        <f>IF(ISNA(CO128),IF(ISNUMBER(CR128),CS127,NA()),CO128)</f>
        <v>#N/A:explicit</v>
      </c>
      <c s="861" r="CT128">
        <f>IF(ISNUMBER(CS128),CS128,(CM$46+1000))</f>
        <v>1000</v>
      </c>
      <c t="str" s="588" r="CU128">
        <f>IF((CP128=TRUE),NA(),IF((CU$44=(CM$46-MAX(CN$46:CN$146))),NA(),CU$44))</f>
        <v>#N/A:explicit</v>
      </c>
      <c s="588" r="CV128">
        <f>IF((ISNA(((CS128*CR128)*CS127))),0,(IF((CR128&lt;CR127),-1,1)*(IF((CP127=FALSE),IF((CP128=FALSE),IF(ISNA(CS128),0,IF((CS127&lt;CU$44),IF((CS128&lt;CU$44),(((CR128-CR127)^2)^0.5),(((((CU$44-CS127)*(CR128-CR127))/(CS128-CS127))^2)^0.5)),IF((CS128&lt;CU$44),(((((CU$44-CS128)*(CR128-CR127))/(CS127-CS128))^2)^0.5),0))),0),0))))</f>
        <v>0</v>
      </c>
      <c s="588" r="CW128">
        <f>IF(ISNA((CS128*CS127)),0,IF((CP127=FALSE),IF((CP128=FALSE),IF(ISNA(CO128),0,IF((CS127&lt;CU$44),IF((CS128&lt;CU$44),((CU$44-((CS127+CS128)*0.5))*CV128),(((CU$44-CS127)*0.5)*CV128)),IF((CS128&lt;CU$44),(((CU$44-CS128)*0.5)*CV128),0))),0),0))</f>
        <v>0</v>
      </c>
      <c s="588" r="CX128">
        <f>IF(ISNA((CS128*CS127)),0,IF((CP127=FALSE),IF((CP128=FALSE),IF(ISNA(CS128),0,IF((CS127&lt;CU$44),IF((CS128&lt;CU$44),(((CV128^2)+((CS128-CS127)^2))^0.5),(((CV128^2)+((CU$44-CS127)^2))^0.5)),IF((CS128&lt;CU$44),(((CV128^2)+((CU$44-CS128)^2))^0.5),0))),0),0))</f>
        <v>0</v>
      </c>
      <c s="588" r="CY128">
        <f>IF(ISNUMBER((CS128*CS127)),IF((CS127&gt;=CE$148),IF((CS128&lt;CE$148),1,0),IF((CS128&gt;=CE$148),IF((CS127&lt;CE$148),1,0),0)),0)</f>
        <v>0</v>
      </c>
      <c s="588" r="CZ128">
        <f>IF(ISNA((CS128*CS127)),0,(IF((CR128&lt;CR127),-1,1)*(IF(ISNA(CS128),0,IF((CS127&lt;CE$148),IF((CS128&lt;CE$148),(((CR128-CR127)^2)^0.5),(((((CE$148-CS127)*(CR128-CR127))/(CS128-CS127))^2)^0.5)),IF((CS128&lt;CE$148),(((((CE$148-CS128)*(CR128-CR127))/(CS127-CS128))^2)^0.5),0))))))</f>
        <v>0</v>
      </c>
      <c s="441" r="DA128">
        <f>IF((CW128&gt;0),(MAX(DA$47:DA127)+1),0)</f>
        <v>0</v>
      </c>
      <c s="388" r="DB128"/>
      <c s="406" r="DC128"/>
      <c s="886" r="DD128"/>
      <c s="886" r="DE128"/>
      <c s="886" r="DF128"/>
      <c s="886" r="DG128"/>
      <c s="418" r="DH128"/>
      <c s="550" r="DI128"/>
      <c s="550" r="DJ128"/>
      <c t="str" s="620" r="DK128">
        <f>IF((COUNT(DJ128:DJ$146,DL128:DL$146)=0),NA(),IF(ISBLANK(DJ128),DK127,(DK127+(DJ128-DL127))))</f>
        <v>#N/A:explicit</v>
      </c>
      <c s="550" r="DL128"/>
      <c t="str" s="620" r="DM128">
        <f>IF(OR(ISBLANK(DL128),ISNUMBER(DJ129)),NA(),(DK128-DL128))</f>
        <v>#N/A:explicit</v>
      </c>
      <c t="b" s="895" r="DN128">
        <v>0</v>
      </c>
      <c s="631" r="DO128"/>
      <c t="str" s="309" r="DP128">
        <f>IF((COUNT(DI128:DI$146)=0),NA(),IF(ISBLANK(DI128),IF(ISBLANK(DI127),MAX(DI$46:DI128),DI127),DI128))</f>
        <v>#N/A:explicit</v>
      </c>
      <c t="str" s="861" r="DQ128">
        <f>IF(ISNA(DM128),IF(ISNUMBER(DP128),DQ127,NA()),DM128)</f>
        <v>#N/A:explicit</v>
      </c>
      <c s="861" r="DR128">
        <f>IF(ISNUMBER(DQ128),DQ128,(DK$46+1000))</f>
        <v>1000</v>
      </c>
      <c t="str" s="588" r="DS128">
        <f>IF((DN128=TRUE),NA(),IF((DS$44=(DK$46-MAX(DL$46:DL$146))),NA(),DS$44))</f>
        <v>#N/A:explicit</v>
      </c>
      <c s="588" r="DT128">
        <f>IF((ISNA(((DQ128*DP128)*DQ127))),0,(IF((DP128&lt;DP127),-1,1)*(IF((DN127=FALSE),IF((DN128=FALSE),IF(ISNA(DQ128),0,IF((DQ127&lt;DS$44),IF((DQ128&lt;DS$44),(((DP128-DP127)^2)^0.5),(((((DS$44-DQ127)*(DP128-DP127))/(DQ128-DQ127))^2)^0.5)),IF((DQ128&lt;DS$44),(((((DS$44-DQ128)*(DP128-DP127))/(DQ127-DQ128))^2)^0.5),0))),0),0))))</f>
        <v>0</v>
      </c>
      <c s="588" r="DU128">
        <f>IF(ISNA((DQ128*DQ127)),0,IF((DN127=FALSE),IF((DN128=FALSE),IF(ISNA(DM128),0,IF((DQ127&lt;DS$44),IF((DQ128&lt;DS$44),((DS$44-((DQ127+DQ128)*0.5))*DT128),(((DS$44-DQ127)*0.5)*DT128)),IF((DQ128&lt;DS$44),(((DS$44-DQ128)*0.5)*DT128),0))),0),0))</f>
        <v>0</v>
      </c>
      <c s="588" r="DV128">
        <f>IF(ISNA((DQ128*DQ127)),0,IF((DN127=FALSE),IF((DN128=FALSE),IF(ISNA(DQ128),0,IF((DQ127&lt;DS$44),IF((DQ128&lt;DS$44),(((DT128^2)+((DQ128-DQ127)^2))^0.5),(((DT128^2)+((DS$44-DQ127)^2))^0.5)),IF((DQ128&lt;DS$44),(((DT128^2)+((DS$44-DQ128)^2))^0.5),0))),0),0))</f>
        <v>0</v>
      </c>
      <c s="588" r="DW128">
        <f>IF(ISNUMBER((DQ128*DQ127)),IF((DQ127&gt;=DC$148),IF((DQ128&lt;DC$148),1,0),IF((DQ128&gt;=DC$148),IF((DQ127&lt;DC$148),1,0),0)),0)</f>
        <v>0</v>
      </c>
      <c s="588" r="DX128">
        <f>IF(ISNA((DQ128*DQ127)),0,(IF((DP128&lt;DP127),-1,1)*(IF(ISNA(DQ128),0,IF((DQ127&lt;DC$148),IF((DQ128&lt;DC$148),(((DP128-DP127)^2)^0.5),(((((DC$148-DQ127)*(DP128-DP127))/(DQ128-DQ127))^2)^0.5)),IF((DQ128&lt;DC$148),(((((DC$148-DQ128)*(DP128-DP127))/(DQ127-DQ128))^2)^0.5),0))))))</f>
        <v>0</v>
      </c>
      <c s="441" r="DY128">
        <f>IF((DU128&gt;0),(MAX(DY$47:DY127)+1),0)</f>
        <v>0</v>
      </c>
      <c s="388" r="DZ128"/>
      <c s="406" r="EA128"/>
      <c s="886" r="EB128"/>
      <c s="886" r="EC128"/>
      <c s="886" r="ED128"/>
      <c s="886" r="EE128"/>
      <c s="418" r="EF128"/>
      <c s="550" r="EG128"/>
      <c s="550" r="EH128"/>
      <c t="str" s="620" r="EI128">
        <f>IF((COUNT(EH128:EH$146,EJ128:EJ$146)=0),NA(),IF(ISBLANK(EH128),EI127,(EI127+(EH128-EJ127))))</f>
        <v>#N/A:explicit</v>
      </c>
      <c s="550" r="EJ128"/>
      <c t="str" s="620" r="EK128">
        <f>IF(OR(ISBLANK(EJ128),ISNUMBER(EH129)),NA(),(EI128-EJ128))</f>
        <v>#N/A:explicit</v>
      </c>
      <c t="b" s="895" r="EL128">
        <v>0</v>
      </c>
      <c s="631" r="EM128"/>
      <c t="str" s="309" r="EN128">
        <f>IF((COUNT(EG128:EG$146)=0),NA(),IF(ISBLANK(EG128),IF(ISBLANK(EG127),MAX(EG$46:EG128),EG127),EG128))</f>
        <v>#N/A:explicit</v>
      </c>
      <c t="str" s="861" r="EO128">
        <f>IF(ISNA(EK128),IF(ISNUMBER(EN128),EO127,NA()),EK128)</f>
        <v>#N/A:explicit</v>
      </c>
      <c s="861" r="EP128">
        <f>IF(ISNUMBER(EO128),EO128,(EI$46+1000))</f>
        <v>1000</v>
      </c>
      <c t="str" s="588" r="EQ128">
        <f>IF((EL128=TRUE),NA(),IF((EQ$44=(EI$46-MAX(EJ$46:EJ$146))),NA(),EQ$44))</f>
        <v>#N/A:explicit</v>
      </c>
      <c s="588" r="ER128">
        <f>IF((ISNA(((EO128*EN128)*EO127))),0,(IF((EN128&lt;EN127),-1,1)*(IF((EL127=FALSE),IF((EL128=FALSE),IF(ISNA(EO128),0,IF((EO127&lt;EQ$44),IF((EO128&lt;EQ$44),(((EN128-EN127)^2)^0.5),(((((EQ$44-EO127)*(EN128-EN127))/(EO128-EO127))^2)^0.5)),IF((EO128&lt;EQ$44),(((((EQ$44-EO128)*(EN128-EN127))/(EO127-EO128))^2)^0.5),0))),0),0))))</f>
        <v>0</v>
      </c>
      <c s="588" r="ES128">
        <f>IF(ISNA((EO128*EO127)),0,IF((EL127=FALSE),IF((EL128=FALSE),IF(ISNA(EK128),0,IF((EO127&lt;EQ$44),IF((EO128&lt;EQ$44),((EQ$44-((EO127+EO128)*0.5))*ER128),(((EQ$44-EO127)*0.5)*ER128)),IF((EO128&lt;EQ$44),(((EQ$44-EO128)*0.5)*ER128),0))),0),0))</f>
        <v>0</v>
      </c>
      <c s="588" r="ET128">
        <f>IF(ISNA((EO128*EO127)),0,IF((EL127=FALSE),IF((EL128=FALSE),IF(ISNA(EO128),0,IF((EO127&lt;EQ$44),IF((EO128&lt;EQ$44),(((ER128^2)+((EO128-EO127)^2))^0.5),(((ER128^2)+((EQ$44-EO127)^2))^0.5)),IF((EO128&lt;EQ$44),(((ER128^2)+((EQ$44-EO128)^2))^0.5),0))),0),0))</f>
        <v>0</v>
      </c>
      <c s="588" r="EU128">
        <f>IF(ISNUMBER((EO128*EO127)),IF((EO127&gt;=EA$148),IF((EO128&lt;EA$148),1,0),IF((EO128&gt;=EA$148),IF((EO127&lt;EA$148),1,0),0)),0)</f>
        <v>0</v>
      </c>
      <c s="588" r="EV128">
        <f>IF(ISNA((EO128*EO127)),0,(IF((EN128&lt;EN127),-1,1)*(IF(ISNA(EO128),0,IF((EO127&lt;EA$148),IF((EO128&lt;EA$148),(((EN128-EN127)^2)^0.5),(((((EA$148-EO127)*(EN128-EN127))/(EO128-EO127))^2)^0.5)),IF((EO128&lt;EA$148),(((((EA$148-EO128)*(EN128-EN127))/(EO127-EO128))^2)^0.5),0))))))</f>
        <v>0</v>
      </c>
      <c s="441" r="EW128">
        <f>IF((ES128&gt;0),(MAX(EW$47:EW127)+1),0)</f>
        <v>0</v>
      </c>
      <c s="388" r="EX128"/>
      <c s="406" r="EY128"/>
      <c s="886" r="EZ128"/>
      <c s="886" r="FA128"/>
      <c s="886" r="FB128"/>
      <c s="886" r="FC128"/>
      <c s="418" r="FD128"/>
      <c s="550" r="FE128"/>
      <c s="550" r="FF128"/>
      <c t="str" s="620" r="FG128">
        <f>IF((COUNT(FF128:FF$146,FH128:FH$146)=0),NA(),IF(ISBLANK(FF128),FG127,(FG127+(FF128-FH127))))</f>
        <v>#N/A:explicit</v>
      </c>
      <c s="550" r="FH128"/>
      <c t="str" s="620" r="FI128">
        <f>IF(OR(ISBLANK(FH128),ISNUMBER(FF129)),NA(),(FG128-FH128))</f>
        <v>#N/A:explicit</v>
      </c>
      <c t="b" s="895" r="FJ128">
        <v>0</v>
      </c>
      <c s="631" r="FK128"/>
      <c t="str" s="309" r="FL128">
        <f>IF((COUNT(FE128:FE$146)=0),NA(),IF(ISBLANK(FE128),IF(ISBLANK(FE127),MAX(FE$46:FE128),FE127),FE128))</f>
        <v>#N/A:explicit</v>
      </c>
      <c t="str" s="861" r="FM128">
        <f>IF(ISNA(FI128),IF(ISNUMBER(FL128),FM127,NA()),FI128)</f>
        <v>#N/A:explicit</v>
      </c>
      <c s="861" r="FN128">
        <f>IF(ISNUMBER(FM128),FM128,(FG$46+1000))</f>
        <v>1000</v>
      </c>
      <c t="str" s="588" r="FO128">
        <f>IF((FJ128=TRUE),NA(),IF((FO$44=(FG$46-MAX(FH$46:FH$146))),NA(),FO$44))</f>
        <v>#N/A:explicit</v>
      </c>
      <c s="588" r="FP128">
        <f>IF((ISNA(((FM128*FL128)*FM127))),0,(IF((FL128&lt;FL127),-1,1)*(IF((FJ127=FALSE),IF((FJ128=FALSE),IF(ISNA(FM128),0,IF((FM127&lt;FO$44),IF((FM128&lt;FO$44),(((FL128-FL127)^2)^0.5),(((((FO$44-FM127)*(FL128-FL127))/(FM128-FM127))^2)^0.5)),IF((FM128&lt;FO$44),(((((FO$44-FM128)*(FL128-FL127))/(FM127-FM128))^2)^0.5),0))),0),0))))</f>
        <v>0</v>
      </c>
      <c s="588" r="FQ128">
        <f>IF(ISNA((FM128*FM127)),0,IF((FJ127=FALSE),IF((FJ128=FALSE),IF(ISNA(FI128),0,IF((FM127&lt;FO$44),IF((FM128&lt;FO$44),((FO$44-((FM127+FM128)*0.5))*FP128),(((FO$44-FM127)*0.5)*FP128)),IF((FM128&lt;FO$44),(((FO$44-FM128)*0.5)*FP128),0))),0),0))</f>
        <v>0</v>
      </c>
      <c s="588" r="FR128">
        <f>IF(ISNA((FM128*FM127)),0,IF((FJ127=FALSE),IF((FJ128=FALSE),IF(ISNA(FM128),0,IF((FM127&lt;FO$44),IF((FM128&lt;FO$44),(((FP128^2)+((FM128-FM127)^2))^0.5),(((FP128^2)+((FO$44-FM127)^2))^0.5)),IF((FM128&lt;FO$44),(((FP128^2)+((FO$44-FM128)^2))^0.5),0))),0),0))</f>
        <v>0</v>
      </c>
      <c s="588" r="FS128">
        <f>IF(ISNUMBER((FM128*FM127)),IF((FM127&gt;=EY$148),IF((FM128&lt;EY$148),1,0),IF((FM128&gt;=EY$148),IF((FM127&lt;EY$148),1,0),0)),0)</f>
        <v>0</v>
      </c>
      <c s="588" r="FT128">
        <f>IF(ISNA((FM128*FM127)),0,(IF((FL128&lt;FL127),-1,1)*(IF(ISNA(FM128),0,IF((FM127&lt;EY$148),IF((FM128&lt;EY$148),(((FL128-FL127)^2)^0.5),(((((EY$148-FM127)*(FL128-FL127))/(FM128-FM127))^2)^0.5)),IF((FM128&lt;EY$148),(((((EY$148-FM128)*(FL128-FL127))/(FM127-FM128))^2)^0.5),0))))))</f>
        <v>0</v>
      </c>
      <c s="441" r="FU128">
        <f>IF((FQ128&gt;0),(MAX(FU$47:FU127)+1),0)</f>
        <v>0</v>
      </c>
      <c s="222" r="FV128"/>
      <c s="125" r="FW128"/>
      <c s="125" r="FX128"/>
      <c s="125" r="FY128"/>
      <c s="125" r="FZ128"/>
      <c s="125" r="GA128"/>
      <c s="125" r="GB128"/>
      <c s="125" r="GC128"/>
      <c s="125" r="GD128"/>
      <c s="125" r="GE128"/>
      <c s="125" r="GF128"/>
      <c s="125" r="GG128"/>
      <c s="125" r="GH128"/>
      <c s="125" r="GI128"/>
      <c s="125" r="GJ128"/>
      <c s="125" r="GK128"/>
      <c s="125" r="GL128"/>
      <c s="125" r="GM128"/>
      <c s="125" r="GN128"/>
      <c s="125" r="GO128"/>
      <c s="125" r="GP128"/>
      <c s="125" r="GQ128"/>
      <c s="125" r="GR128"/>
      <c s="125" r="GS128"/>
      <c s="125" r="GT128"/>
      <c s="125" r="GU128"/>
      <c s="125" r="GV128"/>
      <c s="125" r="GW128"/>
      <c s="125" r="GX128"/>
      <c s="125" r="GY128"/>
      <c s="125" r="GZ128"/>
      <c s="125" r="HA128"/>
      <c s="125" r="HB128"/>
    </row>
    <row r="129">
      <c s="125" r="A129"/>
      <c s="125" r="B129"/>
      <c s="125" r="C129"/>
      <c s="125" r="D129"/>
      <c s="125" r="E129"/>
      <c s="125" r="F129"/>
      <c s="125" r="G129"/>
      <c s="125" r="H129"/>
      <c s="125" r="I129"/>
      <c s="822" r="J129"/>
      <c s="406" r="K129"/>
      <c s="886" r="L129"/>
      <c s="886" r="M129"/>
      <c s="886" r="N129"/>
      <c s="886" r="O129"/>
      <c s="418" r="P129"/>
      <c s="550" r="Q129"/>
      <c s="550" r="R129"/>
      <c t="str" s="620" r="S129">
        <f>IF((COUNT(R129:R$146,T129:T$146)=0),NA(),IF(ISBLANK(R129),S128,(S128+(R129-T128))))</f>
        <v>#N/A:explicit</v>
      </c>
      <c s="550" r="T129"/>
      <c t="str" s="620" r="U129">
        <f>IF(OR(ISBLANK(T129),ISNUMBER(R130)),NA(),(S129-T129))</f>
        <v>#N/A:explicit</v>
      </c>
      <c t="b" s="895" r="V129">
        <v>0</v>
      </c>
      <c s="631" r="W129"/>
      <c t="str" s="309" r="X129">
        <f>IF((COUNT(Q129:Q$146)=0),NA(),IF(ISBLANK(Q129),IF(ISBLANK(Q128),MAX(Q$46:Q129),Q128),Q129))</f>
        <v>#N/A:explicit</v>
      </c>
      <c t="str" s="861" r="Y129">
        <f>IF(ISNA(U129),IF(ISNUMBER(X129),Y128,NA()),U129)</f>
        <v>#N/A:explicit</v>
      </c>
      <c s="861" r="Z129">
        <f>IF(ISNUMBER(Y129),Y129,(S$46+1000))</f>
        <v>1000</v>
      </c>
      <c t="str" s="588" r="AA129">
        <f>IF((V129=TRUE),NA(),IF((AA$44=(S$46-MAX(T$46:T$146))),NA(),AA$44))</f>
        <v>#N/A:explicit</v>
      </c>
      <c s="588" r="AB129">
        <f>IF((ISNA(((Y129*X129)*Y128))),0,(IF((X129&lt;X128),-1,1)*(IF((V128=FALSE),IF((V129=FALSE),IF(ISNA(Y129),0,IF((Y128&lt;AA$44),IF((Y129&lt;AA$44),(((X129-X128)^2)^0.5),(((((AA$44-Y128)*(X129-X128))/(Y129-Y128))^2)^0.5)),IF((Y129&lt;AA$44),(((((AA$44-Y129)*(X129-X128))/(Y128-Y129))^2)^0.5),0))),0),0))))</f>
        <v>0</v>
      </c>
      <c s="588" r="AC129">
        <f>IF(ISNA((Y129*Y128)),0,IF((V128=FALSE),IF((V129=FALSE),IF(ISNA(U129),0,IF((Y128&lt;AA$44),IF((Y129&lt;AA$44),((AA$44-((Y128+Y129)*0.5))*AB129),(((AA$44-Y128)*0.5)*AB129)),IF((Y129&lt;AA$44),(((AA$44-Y129)*0.5)*AB129),0))),0),0))</f>
        <v>0</v>
      </c>
      <c s="588" r="AD129">
        <f>IF(ISNA((Y129*Y128)),0,IF((V128=FALSE),IF((V129=FALSE),IF(ISNA(Y129),0,IF((Y128&lt;AA$44),IF((Y129&lt;AA$44),(((AB129^2)+((Y129-Y128)^2))^0.5),(((AB129^2)+((AA$44-Y128)^2))^0.5)),IF((Y129&lt;AA$44),(((AB129^2)+((AA$44-Y129)^2))^0.5),0))),0),0))</f>
        <v>0</v>
      </c>
      <c s="588" r="AE129">
        <f>IF(ISNUMBER((Y129*Y128)),IF((Y128&gt;=K$148),IF((Y129&lt;K$148),1,0),IF((Y129&gt;=K$148),IF((Y128&lt;K$148),1,0),0)),0)</f>
        <v>0</v>
      </c>
      <c s="588" r="AF129">
        <f>IF(ISNA((Y129*Y128)),0,(IF((X129&lt;X128),-1,1)*(IF(ISNA(Y129),0,IF((Y128&lt;K$148),IF((Y129&lt;K$148),(((X129-X128)^2)^0.5),(((((K$148-Y128)*(X129-X128))/(Y129-Y128))^2)^0.5)),IF((Y129&lt;K$148),(((((K$148-Y129)*(X129-X128))/(Y128-Y129))^2)^0.5),0))))))</f>
        <v>0</v>
      </c>
      <c s="441" r="AG129">
        <f>IF((AC129&gt;0),(MAX(AG$47:AG128)+1),0)</f>
        <v>0</v>
      </c>
      <c s="388" r="AH129"/>
      <c s="406" r="AI129"/>
      <c s="886" r="AJ129"/>
      <c s="886" r="AK129"/>
      <c s="886" r="AL129"/>
      <c s="886" r="AM129"/>
      <c s="418" r="AN129"/>
      <c s="550" r="AO129"/>
      <c s="550" r="AP129"/>
      <c t="str" s="620" r="AQ129">
        <f>IF((COUNT(AP129:AP$146,AR129:AR$146)=0),NA(),IF(ISBLANK(AP129),AQ128,(AQ128+(AP129-AR128))))</f>
        <v>#N/A:explicit</v>
      </c>
      <c s="550" r="AR129"/>
      <c t="str" s="620" r="AS129">
        <f>IF(OR(ISBLANK(AR129),ISNUMBER(AP130)),NA(),(AQ129-AR129))</f>
        <v>#N/A:explicit</v>
      </c>
      <c t="b" s="895" r="AT129">
        <v>0</v>
      </c>
      <c s="631" r="AU129"/>
      <c t="str" s="309" r="AV129">
        <f>IF((COUNT(AO129:AO$146)=0),NA(),IF(ISBLANK(AO129),IF(ISBLANK(AO128),MAX(AO$46:AO129),AO128),AO129))</f>
        <v>#N/A:explicit</v>
      </c>
      <c t="str" s="861" r="AW129">
        <f>IF(ISNA(AS129),IF(ISNUMBER(AV129),AW128,NA()),AS129)</f>
        <v>#N/A:explicit</v>
      </c>
      <c s="861" r="AX129">
        <f>IF(ISNUMBER(AW129),AW129,(AQ$46+1000))</f>
        <v>1000</v>
      </c>
      <c t="str" s="588" r="AY129">
        <f>IF((AT129=TRUE),NA(),IF((AY$44=(AQ$46-MAX(AR$46:AR$146))),NA(),AY$44))</f>
        <v>#N/A:explicit</v>
      </c>
      <c s="588" r="AZ129">
        <f>IF((ISNA(((AW129*AV129)*AW128))),0,(IF((AV129&lt;AV128),-1,1)*(IF((AT128=FALSE),IF((AT129=FALSE),IF(ISNA(AW129),0,IF((AW128&lt;AY$44),IF((AW129&lt;AY$44),(((AV129-AV128)^2)^0.5),(((((AY$44-AW128)*(AV129-AV128))/(AW129-AW128))^2)^0.5)),IF((AW129&lt;AY$44),(((((AY$44-AW129)*(AV129-AV128))/(AW128-AW129))^2)^0.5),0))),0),0))))</f>
        <v>0</v>
      </c>
      <c s="588" r="BA129">
        <f>IF(ISNA((AW129*AW128)),0,IF((AT128=FALSE),IF((AT129=FALSE),IF(ISNA(AS129),0,IF((AW128&lt;AY$44),IF((AW129&lt;AY$44),((AY$44-((AW128+AW129)*0.5))*AZ129),(((AY$44-AW128)*0.5)*AZ129)),IF((AW129&lt;AY$44),(((AY$44-AW129)*0.5)*AZ129),0))),0),0))</f>
        <v>0</v>
      </c>
      <c s="588" r="BB129">
        <f>IF(ISNA((AW129*AW128)),0,IF((AT128=FALSE),IF((AT129=FALSE),IF(ISNA(AW129),0,IF((AW128&lt;AY$44),IF((AW129&lt;AY$44),(((AZ129^2)+((AW129-AW128)^2))^0.5),(((AZ129^2)+((AY$44-AW128)^2))^0.5)),IF((AW129&lt;AY$44),(((AZ129^2)+((AY$44-AW129)^2))^0.5),0))),0),0))</f>
        <v>0</v>
      </c>
      <c s="588" r="BC129">
        <f>IF(ISNUMBER((AW129*AW128)),IF((AW128&gt;=AI$148),IF((AW129&lt;AI$148),1,0),IF((AW129&gt;=AI$148),IF((AW128&lt;AI$148),1,0),0)),0)</f>
        <v>0</v>
      </c>
      <c s="588" r="BD129">
        <f>IF(ISNA((AW129*AW128)),0,(IF((AV129&lt;AV128),-1,1)*(IF(ISNA(AW129),0,IF((AW128&lt;AI$148),IF((AW129&lt;AI$148),(((AV129-AV128)^2)^0.5),(((((AI$148-AW128)*(AV129-AV128))/(AW129-AW128))^2)^0.5)),IF((AW129&lt;AI$148),(((((AI$148-AW129)*(AV129-AV128))/(AW128-AW129))^2)^0.5),0))))))</f>
        <v>0</v>
      </c>
      <c s="441" r="BE129">
        <f>IF((BA129&gt;0),(MAX(BE$47:BE128)+1),0)</f>
        <v>0</v>
      </c>
      <c s="388" r="BF129"/>
      <c s="406" r="BG129"/>
      <c s="886" r="BH129"/>
      <c s="886" r="BI129"/>
      <c s="886" r="BJ129"/>
      <c s="886" r="BK129"/>
      <c s="418" r="BL129"/>
      <c s="550" r="BM129"/>
      <c s="550" r="BN129"/>
      <c t="str" s="620" r="BO129">
        <f>IF((COUNT(BN129:BN$146,BP129:BP$146)=0),NA(),IF(ISBLANK(BN129),BO128,(BO128+(BN129-BP128))))</f>
        <v>#N/A:explicit</v>
      </c>
      <c s="550" r="BP129"/>
      <c t="str" s="620" r="BQ129">
        <f>IF(OR(ISBLANK(BP129),ISNUMBER(BN130)),NA(),(BO129-BP129))</f>
        <v>#N/A:explicit</v>
      </c>
      <c t="b" s="895" r="BR129">
        <v>0</v>
      </c>
      <c s="631" r="BS129"/>
      <c t="str" s="309" r="BT129">
        <f>IF((COUNT(BM129:BM$146)=0),NA(),IF(ISBLANK(BM129),IF(ISBLANK(BM128),MAX(BM$46:BM129),BM128),BM129))</f>
        <v>#N/A:explicit</v>
      </c>
      <c t="str" s="861" r="BU129">
        <f>IF(ISNA(BQ129),IF(ISNUMBER(BT129),BU128,NA()),BQ129)</f>
        <v>#N/A:explicit</v>
      </c>
      <c s="861" r="BV129">
        <f>IF(ISNUMBER(BU129),BU129,(BO$46+1000))</f>
        <v>1000</v>
      </c>
      <c t="str" s="588" r="BW129">
        <f>IF((BR129=TRUE),NA(),IF((BW$44=(BO$46-MAX(BP$46:BP$146))),NA(),BW$44))</f>
        <v>#N/A:explicit</v>
      </c>
      <c s="588" r="BX129">
        <f>IF((ISNA(((BU129*BT129)*BU128))),0,(IF((BT129&lt;BT128),-1,1)*(IF((BR128=FALSE),IF((BR129=FALSE),IF(ISNA(BU129),0,IF((BU128&lt;BW$44),IF((BU129&lt;BW$44),(((BT129-BT128)^2)^0.5),(((((BW$44-BU128)*(BT129-BT128))/(BU129-BU128))^2)^0.5)),IF((BU129&lt;BW$44),(((((BW$44-BU129)*(BT129-BT128))/(BU128-BU129))^2)^0.5),0))),0),0))))</f>
        <v>0</v>
      </c>
      <c s="588" r="BY129">
        <f>IF(ISNA((BU129*BU128)),0,IF((BR128=FALSE),IF((BR129=FALSE),IF(ISNA(BQ129),0,IF((BU128&lt;BW$44),IF((BU129&lt;BW$44),((BW$44-((BU128+BU129)*0.5))*BX129),(((BW$44-BU128)*0.5)*BX129)),IF((BU129&lt;BW$44),(((BW$44-BU129)*0.5)*BX129),0))),0),0))</f>
        <v>0</v>
      </c>
      <c s="588" r="BZ129">
        <f>IF(ISNA((BU129*BU128)),0,IF((BR128=FALSE),IF((BR129=FALSE),IF(ISNA(BU129),0,IF((BU128&lt;BW$44),IF((BU129&lt;BW$44),(((BX129^2)+((BU129-BU128)^2))^0.5),(((BX129^2)+((BW$44-BU128)^2))^0.5)),IF((BU129&lt;BW$44),(((BX129^2)+((BW$44-BU129)^2))^0.5),0))),0),0))</f>
        <v>0</v>
      </c>
      <c s="588" r="CA129">
        <f>IF(ISNUMBER((BU129*BU128)),IF((BU128&gt;=BG$148),IF((BU129&lt;BG$148),1,0),IF((BU129&gt;=BG$148),IF((BU128&lt;BG$148),1,0),0)),0)</f>
        <v>0</v>
      </c>
      <c s="588" r="CB129">
        <f>IF(ISNA((BU129*BU128)),0,(IF((BT129&lt;BT128),-1,1)*(IF(ISNA(BU129),0,IF((BU128&lt;BG$148),IF((BU129&lt;BG$148),(((BT129-BT128)^2)^0.5),(((((BG$148-BU128)*(BT129-BT128))/(BU129-BU128))^2)^0.5)),IF((BU129&lt;BG$148),(((((BG$148-BU129)*(BT129-BT128))/(BU128-BU129))^2)^0.5),0))))))</f>
        <v>0</v>
      </c>
      <c s="441" r="CC129">
        <f>IF((BY129&gt;0),(MAX(CC$47:CC128)+1),0)</f>
        <v>0</v>
      </c>
      <c s="388" r="CD129"/>
      <c s="406" r="CE129"/>
      <c s="886" r="CF129"/>
      <c s="886" r="CG129"/>
      <c s="886" r="CH129"/>
      <c s="886" r="CI129"/>
      <c s="418" r="CJ129"/>
      <c s="550" r="CK129"/>
      <c s="550" r="CL129"/>
      <c t="str" s="620" r="CM129">
        <f>IF((COUNT(CL129:CL$146,CN129:CN$146)=0),NA(),IF(ISBLANK(CL129),CM128,(CM128+(CL129-CN128))))</f>
        <v>#N/A:explicit</v>
      </c>
      <c s="550" r="CN129"/>
      <c t="str" s="620" r="CO129">
        <f>IF(OR(ISBLANK(CN129),ISNUMBER(CL130)),NA(),(CM129-CN129))</f>
        <v>#N/A:explicit</v>
      </c>
      <c t="b" s="895" r="CP129">
        <v>0</v>
      </c>
      <c s="631" r="CQ129"/>
      <c t="str" s="309" r="CR129">
        <f>IF((COUNT(CK129:CK$146)=0),NA(),IF(ISBLANK(CK129),IF(ISBLANK(CK128),MAX(CK$46:CK129),CK128),CK129))</f>
        <v>#N/A:explicit</v>
      </c>
      <c t="str" s="861" r="CS129">
        <f>IF(ISNA(CO129),IF(ISNUMBER(CR129),CS128,NA()),CO129)</f>
        <v>#N/A:explicit</v>
      </c>
      <c s="861" r="CT129">
        <f>IF(ISNUMBER(CS129),CS129,(CM$46+1000))</f>
        <v>1000</v>
      </c>
      <c t="str" s="588" r="CU129">
        <f>IF((CP129=TRUE),NA(),IF((CU$44=(CM$46-MAX(CN$46:CN$146))),NA(),CU$44))</f>
        <v>#N/A:explicit</v>
      </c>
      <c s="588" r="CV129">
        <f>IF((ISNA(((CS129*CR129)*CS128))),0,(IF((CR129&lt;CR128),-1,1)*(IF((CP128=FALSE),IF((CP129=FALSE),IF(ISNA(CS129),0,IF((CS128&lt;CU$44),IF((CS129&lt;CU$44),(((CR129-CR128)^2)^0.5),(((((CU$44-CS128)*(CR129-CR128))/(CS129-CS128))^2)^0.5)),IF((CS129&lt;CU$44),(((((CU$44-CS129)*(CR129-CR128))/(CS128-CS129))^2)^0.5),0))),0),0))))</f>
        <v>0</v>
      </c>
      <c s="588" r="CW129">
        <f>IF(ISNA((CS129*CS128)),0,IF((CP128=FALSE),IF((CP129=FALSE),IF(ISNA(CO129),0,IF((CS128&lt;CU$44),IF((CS129&lt;CU$44),((CU$44-((CS128+CS129)*0.5))*CV129),(((CU$44-CS128)*0.5)*CV129)),IF((CS129&lt;CU$44),(((CU$44-CS129)*0.5)*CV129),0))),0),0))</f>
        <v>0</v>
      </c>
      <c s="588" r="CX129">
        <f>IF(ISNA((CS129*CS128)),0,IF((CP128=FALSE),IF((CP129=FALSE),IF(ISNA(CS129),0,IF((CS128&lt;CU$44),IF((CS129&lt;CU$44),(((CV129^2)+((CS129-CS128)^2))^0.5),(((CV129^2)+((CU$44-CS128)^2))^0.5)),IF((CS129&lt;CU$44),(((CV129^2)+((CU$44-CS129)^2))^0.5),0))),0),0))</f>
        <v>0</v>
      </c>
      <c s="588" r="CY129">
        <f>IF(ISNUMBER((CS129*CS128)),IF((CS128&gt;=CE$148),IF((CS129&lt;CE$148),1,0),IF((CS129&gt;=CE$148),IF((CS128&lt;CE$148),1,0),0)),0)</f>
        <v>0</v>
      </c>
      <c s="588" r="CZ129">
        <f>IF(ISNA((CS129*CS128)),0,(IF((CR129&lt;CR128),-1,1)*(IF(ISNA(CS129),0,IF((CS128&lt;CE$148),IF((CS129&lt;CE$148),(((CR129-CR128)^2)^0.5),(((((CE$148-CS128)*(CR129-CR128))/(CS129-CS128))^2)^0.5)),IF((CS129&lt;CE$148),(((((CE$148-CS129)*(CR129-CR128))/(CS128-CS129))^2)^0.5),0))))))</f>
        <v>0</v>
      </c>
      <c s="441" r="DA129">
        <f>IF((CW129&gt;0),(MAX(DA$47:DA128)+1),0)</f>
        <v>0</v>
      </c>
      <c s="388" r="DB129"/>
      <c s="406" r="DC129"/>
      <c s="886" r="DD129"/>
      <c s="886" r="DE129"/>
      <c s="886" r="DF129"/>
      <c s="886" r="DG129"/>
      <c s="418" r="DH129"/>
      <c s="550" r="DI129"/>
      <c s="550" r="DJ129"/>
      <c t="str" s="620" r="DK129">
        <f>IF((COUNT(DJ129:DJ$146,DL129:DL$146)=0),NA(),IF(ISBLANK(DJ129),DK128,(DK128+(DJ129-DL128))))</f>
        <v>#N/A:explicit</v>
      </c>
      <c s="550" r="DL129"/>
      <c t="str" s="620" r="DM129">
        <f>IF(OR(ISBLANK(DL129),ISNUMBER(DJ130)),NA(),(DK129-DL129))</f>
        <v>#N/A:explicit</v>
      </c>
      <c t="b" s="895" r="DN129">
        <v>0</v>
      </c>
      <c s="631" r="DO129"/>
      <c t="str" s="309" r="DP129">
        <f>IF((COUNT(DI129:DI$146)=0),NA(),IF(ISBLANK(DI129),IF(ISBLANK(DI128),MAX(DI$46:DI129),DI128),DI129))</f>
        <v>#N/A:explicit</v>
      </c>
      <c t="str" s="861" r="DQ129">
        <f>IF(ISNA(DM129),IF(ISNUMBER(DP129),DQ128,NA()),DM129)</f>
        <v>#N/A:explicit</v>
      </c>
      <c s="861" r="DR129">
        <f>IF(ISNUMBER(DQ129),DQ129,(DK$46+1000))</f>
        <v>1000</v>
      </c>
      <c t="str" s="588" r="DS129">
        <f>IF((DN129=TRUE),NA(),IF((DS$44=(DK$46-MAX(DL$46:DL$146))),NA(),DS$44))</f>
        <v>#N/A:explicit</v>
      </c>
      <c s="588" r="DT129">
        <f>IF((ISNA(((DQ129*DP129)*DQ128))),0,(IF((DP129&lt;DP128),-1,1)*(IF((DN128=FALSE),IF((DN129=FALSE),IF(ISNA(DQ129),0,IF((DQ128&lt;DS$44),IF((DQ129&lt;DS$44),(((DP129-DP128)^2)^0.5),(((((DS$44-DQ128)*(DP129-DP128))/(DQ129-DQ128))^2)^0.5)),IF((DQ129&lt;DS$44),(((((DS$44-DQ129)*(DP129-DP128))/(DQ128-DQ129))^2)^0.5),0))),0),0))))</f>
        <v>0</v>
      </c>
      <c s="588" r="DU129">
        <f>IF(ISNA((DQ129*DQ128)),0,IF((DN128=FALSE),IF((DN129=FALSE),IF(ISNA(DM129),0,IF((DQ128&lt;DS$44),IF((DQ129&lt;DS$44),((DS$44-((DQ128+DQ129)*0.5))*DT129),(((DS$44-DQ128)*0.5)*DT129)),IF((DQ129&lt;DS$44),(((DS$44-DQ129)*0.5)*DT129),0))),0),0))</f>
        <v>0</v>
      </c>
      <c s="588" r="DV129">
        <f>IF(ISNA((DQ129*DQ128)),0,IF((DN128=FALSE),IF((DN129=FALSE),IF(ISNA(DQ129),0,IF((DQ128&lt;DS$44),IF((DQ129&lt;DS$44),(((DT129^2)+((DQ129-DQ128)^2))^0.5),(((DT129^2)+((DS$44-DQ128)^2))^0.5)),IF((DQ129&lt;DS$44),(((DT129^2)+((DS$44-DQ129)^2))^0.5),0))),0),0))</f>
        <v>0</v>
      </c>
      <c s="588" r="DW129">
        <f>IF(ISNUMBER((DQ129*DQ128)),IF((DQ128&gt;=DC$148),IF((DQ129&lt;DC$148),1,0),IF((DQ129&gt;=DC$148),IF((DQ128&lt;DC$148),1,0),0)),0)</f>
        <v>0</v>
      </c>
      <c s="588" r="DX129">
        <f>IF(ISNA((DQ129*DQ128)),0,(IF((DP129&lt;DP128),-1,1)*(IF(ISNA(DQ129),0,IF((DQ128&lt;DC$148),IF((DQ129&lt;DC$148),(((DP129-DP128)^2)^0.5),(((((DC$148-DQ128)*(DP129-DP128))/(DQ129-DQ128))^2)^0.5)),IF((DQ129&lt;DC$148),(((((DC$148-DQ129)*(DP129-DP128))/(DQ128-DQ129))^2)^0.5),0))))))</f>
        <v>0</v>
      </c>
      <c s="441" r="DY129">
        <f>IF((DU129&gt;0),(MAX(DY$47:DY128)+1),0)</f>
        <v>0</v>
      </c>
      <c s="388" r="DZ129"/>
      <c s="406" r="EA129"/>
      <c s="886" r="EB129"/>
      <c s="886" r="EC129"/>
      <c s="886" r="ED129"/>
      <c s="886" r="EE129"/>
      <c s="418" r="EF129"/>
      <c s="550" r="EG129"/>
      <c s="550" r="EH129"/>
      <c t="str" s="620" r="EI129">
        <f>IF((COUNT(EH129:EH$146,EJ129:EJ$146)=0),NA(),IF(ISBLANK(EH129),EI128,(EI128+(EH129-EJ128))))</f>
        <v>#N/A:explicit</v>
      </c>
      <c s="550" r="EJ129"/>
      <c t="str" s="620" r="EK129">
        <f>IF(OR(ISBLANK(EJ129),ISNUMBER(EH130)),NA(),(EI129-EJ129))</f>
        <v>#N/A:explicit</v>
      </c>
      <c t="b" s="895" r="EL129">
        <v>0</v>
      </c>
      <c s="631" r="EM129"/>
      <c t="str" s="309" r="EN129">
        <f>IF((COUNT(EG129:EG$146)=0),NA(),IF(ISBLANK(EG129),IF(ISBLANK(EG128),MAX(EG$46:EG129),EG128),EG129))</f>
        <v>#N/A:explicit</v>
      </c>
      <c t="str" s="861" r="EO129">
        <f>IF(ISNA(EK129),IF(ISNUMBER(EN129),EO128,NA()),EK129)</f>
        <v>#N/A:explicit</v>
      </c>
      <c s="861" r="EP129">
        <f>IF(ISNUMBER(EO129),EO129,(EI$46+1000))</f>
        <v>1000</v>
      </c>
      <c t="str" s="588" r="EQ129">
        <f>IF((EL129=TRUE),NA(),IF((EQ$44=(EI$46-MAX(EJ$46:EJ$146))),NA(),EQ$44))</f>
        <v>#N/A:explicit</v>
      </c>
      <c s="588" r="ER129">
        <f>IF((ISNA(((EO129*EN129)*EO128))),0,(IF((EN129&lt;EN128),-1,1)*(IF((EL128=FALSE),IF((EL129=FALSE),IF(ISNA(EO129),0,IF((EO128&lt;EQ$44),IF((EO129&lt;EQ$44),(((EN129-EN128)^2)^0.5),(((((EQ$44-EO128)*(EN129-EN128))/(EO129-EO128))^2)^0.5)),IF((EO129&lt;EQ$44),(((((EQ$44-EO129)*(EN129-EN128))/(EO128-EO129))^2)^0.5),0))),0),0))))</f>
        <v>0</v>
      </c>
      <c s="588" r="ES129">
        <f>IF(ISNA((EO129*EO128)),0,IF((EL128=FALSE),IF((EL129=FALSE),IF(ISNA(EK129),0,IF((EO128&lt;EQ$44),IF((EO129&lt;EQ$44),((EQ$44-((EO128+EO129)*0.5))*ER129),(((EQ$44-EO128)*0.5)*ER129)),IF((EO129&lt;EQ$44),(((EQ$44-EO129)*0.5)*ER129),0))),0),0))</f>
        <v>0</v>
      </c>
      <c s="588" r="ET129">
        <f>IF(ISNA((EO129*EO128)),0,IF((EL128=FALSE),IF((EL129=FALSE),IF(ISNA(EO129),0,IF((EO128&lt;EQ$44),IF((EO129&lt;EQ$44),(((ER129^2)+((EO129-EO128)^2))^0.5),(((ER129^2)+((EQ$44-EO128)^2))^0.5)),IF((EO129&lt;EQ$44),(((ER129^2)+((EQ$44-EO129)^2))^0.5),0))),0),0))</f>
        <v>0</v>
      </c>
      <c s="588" r="EU129">
        <f>IF(ISNUMBER((EO129*EO128)),IF((EO128&gt;=EA$148),IF((EO129&lt;EA$148),1,0),IF((EO129&gt;=EA$148),IF((EO128&lt;EA$148),1,0),0)),0)</f>
        <v>0</v>
      </c>
      <c s="588" r="EV129">
        <f>IF(ISNA((EO129*EO128)),0,(IF((EN129&lt;EN128),-1,1)*(IF(ISNA(EO129),0,IF((EO128&lt;EA$148),IF((EO129&lt;EA$148),(((EN129-EN128)^2)^0.5),(((((EA$148-EO128)*(EN129-EN128))/(EO129-EO128))^2)^0.5)),IF((EO129&lt;EA$148),(((((EA$148-EO129)*(EN129-EN128))/(EO128-EO129))^2)^0.5),0))))))</f>
        <v>0</v>
      </c>
      <c s="441" r="EW129">
        <f>IF((ES129&gt;0),(MAX(EW$47:EW128)+1),0)</f>
        <v>0</v>
      </c>
      <c s="388" r="EX129"/>
      <c s="406" r="EY129"/>
      <c s="886" r="EZ129"/>
      <c s="886" r="FA129"/>
      <c s="886" r="FB129"/>
      <c s="886" r="FC129"/>
      <c s="418" r="FD129"/>
      <c s="550" r="FE129"/>
      <c s="550" r="FF129"/>
      <c t="str" s="620" r="FG129">
        <f>IF((COUNT(FF129:FF$146,FH129:FH$146)=0),NA(),IF(ISBLANK(FF129),FG128,(FG128+(FF129-FH128))))</f>
        <v>#N/A:explicit</v>
      </c>
      <c s="550" r="FH129"/>
      <c t="str" s="620" r="FI129">
        <f>IF(OR(ISBLANK(FH129),ISNUMBER(FF130)),NA(),(FG129-FH129))</f>
        <v>#N/A:explicit</v>
      </c>
      <c t="b" s="895" r="FJ129">
        <v>0</v>
      </c>
      <c s="631" r="FK129"/>
      <c t="str" s="309" r="FL129">
        <f>IF((COUNT(FE129:FE$146)=0),NA(),IF(ISBLANK(FE129),IF(ISBLANK(FE128),MAX(FE$46:FE129),FE128),FE129))</f>
        <v>#N/A:explicit</v>
      </c>
      <c t="str" s="861" r="FM129">
        <f>IF(ISNA(FI129),IF(ISNUMBER(FL129),FM128,NA()),FI129)</f>
        <v>#N/A:explicit</v>
      </c>
      <c s="861" r="FN129">
        <f>IF(ISNUMBER(FM129),FM129,(FG$46+1000))</f>
        <v>1000</v>
      </c>
      <c t="str" s="588" r="FO129">
        <f>IF((FJ129=TRUE),NA(),IF((FO$44=(FG$46-MAX(FH$46:FH$146))),NA(),FO$44))</f>
        <v>#N/A:explicit</v>
      </c>
      <c s="588" r="FP129">
        <f>IF((ISNA(((FM129*FL129)*FM128))),0,(IF((FL129&lt;FL128),-1,1)*(IF((FJ128=FALSE),IF((FJ129=FALSE),IF(ISNA(FM129),0,IF((FM128&lt;FO$44),IF((FM129&lt;FO$44),(((FL129-FL128)^2)^0.5),(((((FO$44-FM128)*(FL129-FL128))/(FM129-FM128))^2)^0.5)),IF((FM129&lt;FO$44),(((((FO$44-FM129)*(FL129-FL128))/(FM128-FM129))^2)^0.5),0))),0),0))))</f>
        <v>0</v>
      </c>
      <c s="588" r="FQ129">
        <f>IF(ISNA((FM129*FM128)),0,IF((FJ128=FALSE),IF((FJ129=FALSE),IF(ISNA(FI129),0,IF((FM128&lt;FO$44),IF((FM129&lt;FO$44),((FO$44-((FM128+FM129)*0.5))*FP129),(((FO$44-FM128)*0.5)*FP129)),IF((FM129&lt;FO$44),(((FO$44-FM129)*0.5)*FP129),0))),0),0))</f>
        <v>0</v>
      </c>
      <c s="588" r="FR129">
        <f>IF(ISNA((FM129*FM128)),0,IF((FJ128=FALSE),IF((FJ129=FALSE),IF(ISNA(FM129),0,IF((FM128&lt;FO$44),IF((FM129&lt;FO$44),(((FP129^2)+((FM129-FM128)^2))^0.5),(((FP129^2)+((FO$44-FM128)^2))^0.5)),IF((FM129&lt;FO$44),(((FP129^2)+((FO$44-FM129)^2))^0.5),0))),0),0))</f>
        <v>0</v>
      </c>
      <c s="588" r="FS129">
        <f>IF(ISNUMBER((FM129*FM128)),IF((FM128&gt;=EY$148),IF((FM129&lt;EY$148),1,0),IF((FM129&gt;=EY$148),IF((FM128&lt;EY$148),1,0),0)),0)</f>
        <v>0</v>
      </c>
      <c s="588" r="FT129">
        <f>IF(ISNA((FM129*FM128)),0,(IF((FL129&lt;FL128),-1,1)*(IF(ISNA(FM129),0,IF((FM128&lt;EY$148),IF((FM129&lt;EY$148),(((FL129-FL128)^2)^0.5),(((((EY$148-FM128)*(FL129-FL128))/(FM129-FM128))^2)^0.5)),IF((FM129&lt;EY$148),(((((EY$148-FM129)*(FL129-FL128))/(FM128-FM129))^2)^0.5),0))))))</f>
        <v>0</v>
      </c>
      <c s="441" r="FU129">
        <f>IF((FQ129&gt;0),(MAX(FU$47:FU128)+1),0)</f>
        <v>0</v>
      </c>
      <c s="222" r="FV129"/>
      <c s="125" r="FW129"/>
      <c s="125" r="FX129"/>
      <c s="125" r="FY129"/>
      <c s="125" r="FZ129"/>
      <c s="125" r="GA129"/>
      <c s="125" r="GB129"/>
      <c s="125" r="GC129"/>
      <c s="125" r="GD129"/>
      <c s="125" r="GE129"/>
      <c s="125" r="GF129"/>
      <c s="125" r="GG129"/>
      <c s="125" r="GH129"/>
      <c s="125" r="GI129"/>
      <c s="125" r="GJ129"/>
      <c s="125" r="GK129"/>
      <c s="125" r="GL129"/>
      <c s="125" r="GM129"/>
      <c s="125" r="GN129"/>
      <c s="125" r="GO129"/>
      <c s="125" r="GP129"/>
      <c s="125" r="GQ129"/>
      <c s="125" r="GR129"/>
      <c s="125" r="GS129"/>
      <c s="125" r="GT129"/>
      <c s="125" r="GU129"/>
      <c s="125" r="GV129"/>
      <c s="125" r="GW129"/>
      <c s="125" r="GX129"/>
      <c s="125" r="GY129"/>
      <c s="125" r="GZ129"/>
      <c s="125" r="HA129"/>
      <c s="125" r="HB129"/>
    </row>
    <row r="130">
      <c s="125" r="A130"/>
      <c s="125" r="B130"/>
      <c s="125" r="C130"/>
      <c s="125" r="D130"/>
      <c s="125" r="E130"/>
      <c s="125" r="F130"/>
      <c s="125" r="G130"/>
      <c s="125" r="H130"/>
      <c s="125" r="I130"/>
      <c s="822" r="J130"/>
      <c s="406" r="K130"/>
      <c s="886" r="L130"/>
      <c s="886" r="M130"/>
      <c s="886" r="N130"/>
      <c s="886" r="O130"/>
      <c s="418" r="P130"/>
      <c s="550" r="Q130"/>
      <c s="550" r="R130"/>
      <c t="str" s="620" r="S130">
        <f>IF((COUNT(R130:R$146,T130:T$146)=0),NA(),IF(ISBLANK(R130),S129,(S129+(R130-T129))))</f>
        <v>#N/A:explicit</v>
      </c>
      <c s="550" r="T130"/>
      <c t="str" s="620" r="U130">
        <f>IF(OR(ISBLANK(T130),ISNUMBER(R131)),NA(),(S130-T130))</f>
        <v>#N/A:explicit</v>
      </c>
      <c t="b" s="895" r="V130">
        <v>0</v>
      </c>
      <c s="631" r="W130"/>
      <c t="str" s="309" r="X130">
        <f>IF((COUNT(Q130:Q$146)=0),NA(),IF(ISBLANK(Q130),IF(ISBLANK(Q129),MAX(Q$46:Q130),Q129),Q130))</f>
        <v>#N/A:explicit</v>
      </c>
      <c t="str" s="861" r="Y130">
        <f>IF(ISNA(U130),IF(ISNUMBER(X130),Y129,NA()),U130)</f>
        <v>#N/A:explicit</v>
      </c>
      <c s="861" r="Z130">
        <f>IF(ISNUMBER(Y130),Y130,(S$46+1000))</f>
        <v>1000</v>
      </c>
      <c t="str" s="588" r="AA130">
        <f>IF((V130=TRUE),NA(),IF((AA$44=(S$46-MAX(T$46:T$146))),NA(),AA$44))</f>
        <v>#N/A:explicit</v>
      </c>
      <c s="588" r="AB130">
        <f>IF((ISNA(((Y130*X130)*Y129))),0,(IF((X130&lt;X129),-1,1)*(IF((V129=FALSE),IF((V130=FALSE),IF(ISNA(Y130),0,IF((Y129&lt;AA$44),IF((Y130&lt;AA$44),(((X130-X129)^2)^0.5),(((((AA$44-Y129)*(X130-X129))/(Y130-Y129))^2)^0.5)),IF((Y130&lt;AA$44),(((((AA$44-Y130)*(X130-X129))/(Y129-Y130))^2)^0.5),0))),0),0))))</f>
        <v>0</v>
      </c>
      <c s="588" r="AC130">
        <f>IF(ISNA((Y130*Y129)),0,IF((V129=FALSE),IF((V130=FALSE),IF(ISNA(U130),0,IF((Y129&lt;AA$44),IF((Y130&lt;AA$44),((AA$44-((Y129+Y130)*0.5))*AB130),(((AA$44-Y129)*0.5)*AB130)),IF((Y130&lt;AA$44),(((AA$44-Y130)*0.5)*AB130),0))),0),0))</f>
        <v>0</v>
      </c>
      <c s="588" r="AD130">
        <f>IF(ISNA((Y130*Y129)),0,IF((V129=FALSE),IF((V130=FALSE),IF(ISNA(Y130),0,IF((Y129&lt;AA$44),IF((Y130&lt;AA$44),(((AB130^2)+((Y130-Y129)^2))^0.5),(((AB130^2)+((AA$44-Y129)^2))^0.5)),IF((Y130&lt;AA$44),(((AB130^2)+((AA$44-Y130)^2))^0.5),0))),0),0))</f>
        <v>0</v>
      </c>
      <c s="588" r="AE130">
        <f>IF(ISNUMBER((Y130*Y129)),IF((Y129&gt;=K$148),IF((Y130&lt;K$148),1,0),IF((Y130&gt;=K$148),IF((Y129&lt;K$148),1,0),0)),0)</f>
        <v>0</v>
      </c>
      <c s="588" r="AF130">
        <f>IF(ISNA((Y130*Y129)),0,(IF((X130&lt;X129),-1,1)*(IF(ISNA(Y130),0,IF((Y129&lt;K$148),IF((Y130&lt;K$148),(((X130-X129)^2)^0.5),(((((K$148-Y129)*(X130-X129))/(Y130-Y129))^2)^0.5)),IF((Y130&lt;K$148),(((((K$148-Y130)*(X130-X129))/(Y129-Y130))^2)^0.5),0))))))</f>
        <v>0</v>
      </c>
      <c s="441" r="AG130">
        <f>IF((AC130&gt;0),(MAX(AG$47:AG129)+1),0)</f>
        <v>0</v>
      </c>
      <c s="388" r="AH130"/>
      <c s="406" r="AI130"/>
      <c s="886" r="AJ130"/>
      <c s="886" r="AK130"/>
      <c s="886" r="AL130"/>
      <c s="886" r="AM130"/>
      <c s="418" r="AN130"/>
      <c s="550" r="AO130"/>
      <c s="550" r="AP130"/>
      <c t="str" s="620" r="AQ130">
        <f>IF((COUNT(AP130:AP$146,AR130:AR$146)=0),NA(),IF(ISBLANK(AP130),AQ129,(AQ129+(AP130-AR129))))</f>
        <v>#N/A:explicit</v>
      </c>
      <c s="550" r="AR130"/>
      <c t="str" s="620" r="AS130">
        <f>IF(OR(ISBLANK(AR130),ISNUMBER(AP131)),NA(),(AQ130-AR130))</f>
        <v>#N/A:explicit</v>
      </c>
      <c t="b" s="895" r="AT130">
        <v>0</v>
      </c>
      <c s="631" r="AU130"/>
      <c t="str" s="309" r="AV130">
        <f>IF((COUNT(AO130:AO$146)=0),NA(),IF(ISBLANK(AO130),IF(ISBLANK(AO129),MAX(AO$46:AO130),AO129),AO130))</f>
        <v>#N/A:explicit</v>
      </c>
      <c t="str" s="861" r="AW130">
        <f>IF(ISNA(AS130),IF(ISNUMBER(AV130),AW129,NA()),AS130)</f>
        <v>#N/A:explicit</v>
      </c>
      <c s="861" r="AX130">
        <f>IF(ISNUMBER(AW130),AW130,(AQ$46+1000))</f>
        <v>1000</v>
      </c>
      <c t="str" s="588" r="AY130">
        <f>IF((AT130=TRUE),NA(),IF((AY$44=(AQ$46-MAX(AR$46:AR$146))),NA(),AY$44))</f>
        <v>#N/A:explicit</v>
      </c>
      <c s="588" r="AZ130">
        <f>IF((ISNA(((AW130*AV130)*AW129))),0,(IF((AV130&lt;AV129),-1,1)*(IF((AT129=FALSE),IF((AT130=FALSE),IF(ISNA(AW130),0,IF((AW129&lt;AY$44),IF((AW130&lt;AY$44),(((AV130-AV129)^2)^0.5),(((((AY$44-AW129)*(AV130-AV129))/(AW130-AW129))^2)^0.5)),IF((AW130&lt;AY$44),(((((AY$44-AW130)*(AV130-AV129))/(AW129-AW130))^2)^0.5),0))),0),0))))</f>
        <v>0</v>
      </c>
      <c s="588" r="BA130">
        <f>IF(ISNA((AW130*AW129)),0,IF((AT129=FALSE),IF((AT130=FALSE),IF(ISNA(AS130),0,IF((AW129&lt;AY$44),IF((AW130&lt;AY$44),((AY$44-((AW129+AW130)*0.5))*AZ130),(((AY$44-AW129)*0.5)*AZ130)),IF((AW130&lt;AY$44),(((AY$44-AW130)*0.5)*AZ130),0))),0),0))</f>
        <v>0</v>
      </c>
      <c s="588" r="BB130">
        <f>IF(ISNA((AW130*AW129)),0,IF((AT129=FALSE),IF((AT130=FALSE),IF(ISNA(AW130),0,IF((AW129&lt;AY$44),IF((AW130&lt;AY$44),(((AZ130^2)+((AW130-AW129)^2))^0.5),(((AZ130^2)+((AY$44-AW129)^2))^0.5)),IF((AW130&lt;AY$44),(((AZ130^2)+((AY$44-AW130)^2))^0.5),0))),0),0))</f>
        <v>0</v>
      </c>
      <c s="588" r="BC130">
        <f>IF(ISNUMBER((AW130*AW129)),IF((AW129&gt;=AI$148),IF((AW130&lt;AI$148),1,0),IF((AW130&gt;=AI$148),IF((AW129&lt;AI$148),1,0),0)),0)</f>
        <v>0</v>
      </c>
      <c s="588" r="BD130">
        <f>IF(ISNA((AW130*AW129)),0,(IF((AV130&lt;AV129),-1,1)*(IF(ISNA(AW130),0,IF((AW129&lt;AI$148),IF((AW130&lt;AI$148),(((AV130-AV129)^2)^0.5),(((((AI$148-AW129)*(AV130-AV129))/(AW130-AW129))^2)^0.5)),IF((AW130&lt;AI$148),(((((AI$148-AW130)*(AV130-AV129))/(AW129-AW130))^2)^0.5),0))))))</f>
        <v>0</v>
      </c>
      <c s="441" r="BE130">
        <f>IF((BA130&gt;0),(MAX(BE$47:BE129)+1),0)</f>
        <v>0</v>
      </c>
      <c s="388" r="BF130"/>
      <c s="406" r="BG130"/>
      <c s="886" r="BH130"/>
      <c s="886" r="BI130"/>
      <c s="886" r="BJ130"/>
      <c s="886" r="BK130"/>
      <c s="418" r="BL130"/>
      <c s="550" r="BM130"/>
      <c s="550" r="BN130"/>
      <c t="str" s="620" r="BO130">
        <f>IF((COUNT(BN130:BN$146,BP130:BP$146)=0),NA(),IF(ISBLANK(BN130),BO129,(BO129+(BN130-BP129))))</f>
        <v>#N/A:explicit</v>
      </c>
      <c s="550" r="BP130"/>
      <c t="str" s="620" r="BQ130">
        <f>IF(OR(ISBLANK(BP130),ISNUMBER(BN131)),NA(),(BO130-BP130))</f>
        <v>#N/A:explicit</v>
      </c>
      <c t="b" s="895" r="BR130">
        <v>0</v>
      </c>
      <c s="631" r="BS130"/>
      <c t="str" s="309" r="BT130">
        <f>IF((COUNT(BM130:BM$146)=0),NA(),IF(ISBLANK(BM130),IF(ISBLANK(BM129),MAX(BM$46:BM130),BM129),BM130))</f>
        <v>#N/A:explicit</v>
      </c>
      <c t="str" s="861" r="BU130">
        <f>IF(ISNA(BQ130),IF(ISNUMBER(BT130),BU129,NA()),BQ130)</f>
        <v>#N/A:explicit</v>
      </c>
      <c s="861" r="BV130">
        <f>IF(ISNUMBER(BU130),BU130,(BO$46+1000))</f>
        <v>1000</v>
      </c>
      <c t="str" s="588" r="BW130">
        <f>IF((BR130=TRUE),NA(),IF((BW$44=(BO$46-MAX(BP$46:BP$146))),NA(),BW$44))</f>
        <v>#N/A:explicit</v>
      </c>
      <c s="588" r="BX130">
        <f>IF((ISNA(((BU130*BT130)*BU129))),0,(IF((BT130&lt;BT129),-1,1)*(IF((BR129=FALSE),IF((BR130=FALSE),IF(ISNA(BU130),0,IF((BU129&lt;BW$44),IF((BU130&lt;BW$44),(((BT130-BT129)^2)^0.5),(((((BW$44-BU129)*(BT130-BT129))/(BU130-BU129))^2)^0.5)),IF((BU130&lt;BW$44),(((((BW$44-BU130)*(BT130-BT129))/(BU129-BU130))^2)^0.5),0))),0),0))))</f>
        <v>0</v>
      </c>
      <c s="588" r="BY130">
        <f>IF(ISNA((BU130*BU129)),0,IF((BR129=FALSE),IF((BR130=FALSE),IF(ISNA(BQ130),0,IF((BU129&lt;BW$44),IF((BU130&lt;BW$44),((BW$44-((BU129+BU130)*0.5))*BX130),(((BW$44-BU129)*0.5)*BX130)),IF((BU130&lt;BW$44),(((BW$44-BU130)*0.5)*BX130),0))),0),0))</f>
        <v>0</v>
      </c>
      <c s="588" r="BZ130">
        <f>IF(ISNA((BU130*BU129)),0,IF((BR129=FALSE),IF((BR130=FALSE),IF(ISNA(BU130),0,IF((BU129&lt;BW$44),IF((BU130&lt;BW$44),(((BX130^2)+((BU130-BU129)^2))^0.5),(((BX130^2)+((BW$44-BU129)^2))^0.5)),IF((BU130&lt;BW$44),(((BX130^2)+((BW$44-BU130)^2))^0.5),0))),0),0))</f>
        <v>0</v>
      </c>
      <c s="588" r="CA130">
        <f>IF(ISNUMBER((BU130*BU129)),IF((BU129&gt;=BG$148),IF((BU130&lt;BG$148),1,0),IF((BU130&gt;=BG$148),IF((BU129&lt;BG$148),1,0),0)),0)</f>
        <v>0</v>
      </c>
      <c s="588" r="CB130">
        <f>IF(ISNA((BU130*BU129)),0,(IF((BT130&lt;BT129),-1,1)*(IF(ISNA(BU130),0,IF((BU129&lt;BG$148),IF((BU130&lt;BG$148),(((BT130-BT129)^2)^0.5),(((((BG$148-BU129)*(BT130-BT129))/(BU130-BU129))^2)^0.5)),IF((BU130&lt;BG$148),(((((BG$148-BU130)*(BT130-BT129))/(BU129-BU130))^2)^0.5),0))))))</f>
        <v>0</v>
      </c>
      <c s="441" r="CC130">
        <f>IF((BY130&gt;0),(MAX(CC$47:CC129)+1),0)</f>
        <v>0</v>
      </c>
      <c s="388" r="CD130"/>
      <c s="406" r="CE130"/>
      <c s="886" r="CF130"/>
      <c s="886" r="CG130"/>
      <c s="886" r="CH130"/>
      <c s="886" r="CI130"/>
      <c s="418" r="CJ130"/>
      <c s="550" r="CK130"/>
      <c s="550" r="CL130"/>
      <c t="str" s="620" r="CM130">
        <f>IF((COUNT(CL130:CL$146,CN130:CN$146)=0),NA(),IF(ISBLANK(CL130),CM129,(CM129+(CL130-CN129))))</f>
        <v>#N/A:explicit</v>
      </c>
      <c s="550" r="CN130"/>
      <c t="str" s="620" r="CO130">
        <f>IF(OR(ISBLANK(CN130),ISNUMBER(CL131)),NA(),(CM130-CN130))</f>
        <v>#N/A:explicit</v>
      </c>
      <c t="b" s="895" r="CP130">
        <v>0</v>
      </c>
      <c s="631" r="CQ130"/>
      <c t="str" s="309" r="CR130">
        <f>IF((COUNT(CK130:CK$146)=0),NA(),IF(ISBLANK(CK130),IF(ISBLANK(CK129),MAX(CK$46:CK130),CK129),CK130))</f>
        <v>#N/A:explicit</v>
      </c>
      <c t="str" s="861" r="CS130">
        <f>IF(ISNA(CO130),IF(ISNUMBER(CR130),CS129,NA()),CO130)</f>
        <v>#N/A:explicit</v>
      </c>
      <c s="861" r="CT130">
        <f>IF(ISNUMBER(CS130),CS130,(CM$46+1000))</f>
        <v>1000</v>
      </c>
      <c t="str" s="588" r="CU130">
        <f>IF((CP130=TRUE),NA(),IF((CU$44=(CM$46-MAX(CN$46:CN$146))),NA(),CU$44))</f>
        <v>#N/A:explicit</v>
      </c>
      <c s="588" r="CV130">
        <f>IF((ISNA(((CS130*CR130)*CS129))),0,(IF((CR130&lt;CR129),-1,1)*(IF((CP129=FALSE),IF((CP130=FALSE),IF(ISNA(CS130),0,IF((CS129&lt;CU$44),IF((CS130&lt;CU$44),(((CR130-CR129)^2)^0.5),(((((CU$44-CS129)*(CR130-CR129))/(CS130-CS129))^2)^0.5)),IF((CS130&lt;CU$44),(((((CU$44-CS130)*(CR130-CR129))/(CS129-CS130))^2)^0.5),0))),0),0))))</f>
        <v>0</v>
      </c>
      <c s="588" r="CW130">
        <f>IF(ISNA((CS130*CS129)),0,IF((CP129=FALSE),IF((CP130=FALSE),IF(ISNA(CO130),0,IF((CS129&lt;CU$44),IF((CS130&lt;CU$44),((CU$44-((CS129+CS130)*0.5))*CV130),(((CU$44-CS129)*0.5)*CV130)),IF((CS130&lt;CU$44),(((CU$44-CS130)*0.5)*CV130),0))),0),0))</f>
        <v>0</v>
      </c>
      <c s="588" r="CX130">
        <f>IF(ISNA((CS130*CS129)),0,IF((CP129=FALSE),IF((CP130=FALSE),IF(ISNA(CS130),0,IF((CS129&lt;CU$44),IF((CS130&lt;CU$44),(((CV130^2)+((CS130-CS129)^2))^0.5),(((CV130^2)+((CU$44-CS129)^2))^0.5)),IF((CS130&lt;CU$44),(((CV130^2)+((CU$44-CS130)^2))^0.5),0))),0),0))</f>
        <v>0</v>
      </c>
      <c s="588" r="CY130">
        <f>IF(ISNUMBER((CS130*CS129)),IF((CS129&gt;=CE$148),IF((CS130&lt;CE$148),1,0),IF((CS130&gt;=CE$148),IF((CS129&lt;CE$148),1,0),0)),0)</f>
        <v>0</v>
      </c>
      <c s="588" r="CZ130">
        <f>IF(ISNA((CS130*CS129)),0,(IF((CR130&lt;CR129),-1,1)*(IF(ISNA(CS130),0,IF((CS129&lt;CE$148),IF((CS130&lt;CE$148),(((CR130-CR129)^2)^0.5),(((((CE$148-CS129)*(CR130-CR129))/(CS130-CS129))^2)^0.5)),IF((CS130&lt;CE$148),(((((CE$148-CS130)*(CR130-CR129))/(CS129-CS130))^2)^0.5),0))))))</f>
        <v>0</v>
      </c>
      <c s="441" r="DA130">
        <f>IF((CW130&gt;0),(MAX(DA$47:DA129)+1),0)</f>
        <v>0</v>
      </c>
      <c s="388" r="DB130"/>
      <c s="406" r="DC130"/>
      <c s="886" r="DD130"/>
      <c s="886" r="DE130"/>
      <c s="886" r="DF130"/>
      <c s="886" r="DG130"/>
      <c s="418" r="DH130"/>
      <c s="550" r="DI130"/>
      <c s="550" r="DJ130"/>
      <c t="str" s="620" r="DK130">
        <f>IF((COUNT(DJ130:DJ$146,DL130:DL$146)=0),NA(),IF(ISBLANK(DJ130),DK129,(DK129+(DJ130-DL129))))</f>
        <v>#N/A:explicit</v>
      </c>
      <c s="550" r="DL130"/>
      <c t="str" s="620" r="DM130">
        <f>IF(OR(ISBLANK(DL130),ISNUMBER(DJ131)),NA(),(DK130-DL130))</f>
        <v>#N/A:explicit</v>
      </c>
      <c t="b" s="895" r="DN130">
        <v>0</v>
      </c>
      <c s="631" r="DO130"/>
      <c t="str" s="309" r="DP130">
        <f>IF((COUNT(DI130:DI$146)=0),NA(),IF(ISBLANK(DI130),IF(ISBLANK(DI129),MAX(DI$46:DI130),DI129),DI130))</f>
        <v>#N/A:explicit</v>
      </c>
      <c t="str" s="861" r="DQ130">
        <f>IF(ISNA(DM130),IF(ISNUMBER(DP130),DQ129,NA()),DM130)</f>
        <v>#N/A:explicit</v>
      </c>
      <c s="861" r="DR130">
        <f>IF(ISNUMBER(DQ130),DQ130,(DK$46+1000))</f>
        <v>1000</v>
      </c>
      <c t="str" s="588" r="DS130">
        <f>IF((DN130=TRUE),NA(),IF((DS$44=(DK$46-MAX(DL$46:DL$146))),NA(),DS$44))</f>
        <v>#N/A:explicit</v>
      </c>
      <c s="588" r="DT130">
        <f>IF((ISNA(((DQ130*DP130)*DQ129))),0,(IF((DP130&lt;DP129),-1,1)*(IF((DN129=FALSE),IF((DN130=FALSE),IF(ISNA(DQ130),0,IF((DQ129&lt;DS$44),IF((DQ130&lt;DS$44),(((DP130-DP129)^2)^0.5),(((((DS$44-DQ129)*(DP130-DP129))/(DQ130-DQ129))^2)^0.5)),IF((DQ130&lt;DS$44),(((((DS$44-DQ130)*(DP130-DP129))/(DQ129-DQ130))^2)^0.5),0))),0),0))))</f>
        <v>0</v>
      </c>
      <c s="588" r="DU130">
        <f>IF(ISNA((DQ130*DQ129)),0,IF((DN129=FALSE),IF((DN130=FALSE),IF(ISNA(DM130),0,IF((DQ129&lt;DS$44),IF((DQ130&lt;DS$44),((DS$44-((DQ129+DQ130)*0.5))*DT130),(((DS$44-DQ129)*0.5)*DT130)),IF((DQ130&lt;DS$44),(((DS$44-DQ130)*0.5)*DT130),0))),0),0))</f>
        <v>0</v>
      </c>
      <c s="588" r="DV130">
        <f>IF(ISNA((DQ130*DQ129)),0,IF((DN129=FALSE),IF((DN130=FALSE),IF(ISNA(DQ130),0,IF((DQ129&lt;DS$44),IF((DQ130&lt;DS$44),(((DT130^2)+((DQ130-DQ129)^2))^0.5),(((DT130^2)+((DS$44-DQ129)^2))^0.5)),IF((DQ130&lt;DS$44),(((DT130^2)+((DS$44-DQ130)^2))^0.5),0))),0),0))</f>
        <v>0</v>
      </c>
      <c s="588" r="DW130">
        <f>IF(ISNUMBER((DQ130*DQ129)),IF((DQ129&gt;=DC$148),IF((DQ130&lt;DC$148),1,0),IF((DQ130&gt;=DC$148),IF((DQ129&lt;DC$148),1,0),0)),0)</f>
        <v>0</v>
      </c>
      <c s="588" r="DX130">
        <f>IF(ISNA((DQ130*DQ129)),0,(IF((DP130&lt;DP129),-1,1)*(IF(ISNA(DQ130),0,IF((DQ129&lt;DC$148),IF((DQ130&lt;DC$148),(((DP130-DP129)^2)^0.5),(((((DC$148-DQ129)*(DP130-DP129))/(DQ130-DQ129))^2)^0.5)),IF((DQ130&lt;DC$148),(((((DC$148-DQ130)*(DP130-DP129))/(DQ129-DQ130))^2)^0.5),0))))))</f>
        <v>0</v>
      </c>
      <c s="441" r="DY130">
        <f>IF((DU130&gt;0),(MAX(DY$47:DY129)+1),0)</f>
        <v>0</v>
      </c>
      <c s="388" r="DZ130"/>
      <c s="406" r="EA130"/>
      <c s="886" r="EB130"/>
      <c s="886" r="EC130"/>
      <c s="886" r="ED130"/>
      <c s="886" r="EE130"/>
      <c s="418" r="EF130"/>
      <c s="550" r="EG130"/>
      <c s="550" r="EH130"/>
      <c t="str" s="620" r="EI130">
        <f>IF((COUNT(EH130:EH$146,EJ130:EJ$146)=0),NA(),IF(ISBLANK(EH130),EI129,(EI129+(EH130-EJ129))))</f>
        <v>#N/A:explicit</v>
      </c>
      <c s="550" r="EJ130"/>
      <c t="str" s="620" r="EK130">
        <f>IF(OR(ISBLANK(EJ130),ISNUMBER(EH131)),NA(),(EI130-EJ130))</f>
        <v>#N/A:explicit</v>
      </c>
      <c t="b" s="895" r="EL130">
        <v>0</v>
      </c>
      <c s="631" r="EM130"/>
      <c t="str" s="309" r="EN130">
        <f>IF((COUNT(EG130:EG$146)=0),NA(),IF(ISBLANK(EG130),IF(ISBLANK(EG129),MAX(EG$46:EG130),EG129),EG130))</f>
        <v>#N/A:explicit</v>
      </c>
      <c t="str" s="861" r="EO130">
        <f>IF(ISNA(EK130),IF(ISNUMBER(EN130),EO129,NA()),EK130)</f>
        <v>#N/A:explicit</v>
      </c>
      <c s="861" r="EP130">
        <f>IF(ISNUMBER(EO130),EO130,(EI$46+1000))</f>
        <v>1000</v>
      </c>
      <c t="str" s="588" r="EQ130">
        <f>IF((EL130=TRUE),NA(),IF((EQ$44=(EI$46-MAX(EJ$46:EJ$146))),NA(),EQ$44))</f>
        <v>#N/A:explicit</v>
      </c>
      <c s="588" r="ER130">
        <f>IF((ISNA(((EO130*EN130)*EO129))),0,(IF((EN130&lt;EN129),-1,1)*(IF((EL129=FALSE),IF((EL130=FALSE),IF(ISNA(EO130),0,IF((EO129&lt;EQ$44),IF((EO130&lt;EQ$44),(((EN130-EN129)^2)^0.5),(((((EQ$44-EO129)*(EN130-EN129))/(EO130-EO129))^2)^0.5)),IF((EO130&lt;EQ$44),(((((EQ$44-EO130)*(EN130-EN129))/(EO129-EO130))^2)^0.5),0))),0),0))))</f>
        <v>0</v>
      </c>
      <c s="588" r="ES130">
        <f>IF(ISNA((EO130*EO129)),0,IF((EL129=FALSE),IF((EL130=FALSE),IF(ISNA(EK130),0,IF((EO129&lt;EQ$44),IF((EO130&lt;EQ$44),((EQ$44-((EO129+EO130)*0.5))*ER130),(((EQ$44-EO129)*0.5)*ER130)),IF((EO130&lt;EQ$44),(((EQ$44-EO130)*0.5)*ER130),0))),0),0))</f>
        <v>0</v>
      </c>
      <c s="588" r="ET130">
        <f>IF(ISNA((EO130*EO129)),0,IF((EL129=FALSE),IF((EL130=FALSE),IF(ISNA(EO130),0,IF((EO129&lt;EQ$44),IF((EO130&lt;EQ$44),(((ER130^2)+((EO130-EO129)^2))^0.5),(((ER130^2)+((EQ$44-EO129)^2))^0.5)),IF((EO130&lt;EQ$44),(((ER130^2)+((EQ$44-EO130)^2))^0.5),0))),0),0))</f>
        <v>0</v>
      </c>
      <c s="588" r="EU130">
        <f>IF(ISNUMBER((EO130*EO129)),IF((EO129&gt;=EA$148),IF((EO130&lt;EA$148),1,0),IF((EO130&gt;=EA$148),IF((EO129&lt;EA$148),1,0),0)),0)</f>
        <v>0</v>
      </c>
      <c s="588" r="EV130">
        <f>IF(ISNA((EO130*EO129)),0,(IF((EN130&lt;EN129),-1,1)*(IF(ISNA(EO130),0,IF((EO129&lt;EA$148),IF((EO130&lt;EA$148),(((EN130-EN129)^2)^0.5),(((((EA$148-EO129)*(EN130-EN129))/(EO130-EO129))^2)^0.5)),IF((EO130&lt;EA$148),(((((EA$148-EO130)*(EN130-EN129))/(EO129-EO130))^2)^0.5),0))))))</f>
        <v>0</v>
      </c>
      <c s="441" r="EW130">
        <f>IF((ES130&gt;0),(MAX(EW$47:EW129)+1),0)</f>
        <v>0</v>
      </c>
      <c s="388" r="EX130"/>
      <c s="406" r="EY130"/>
      <c s="886" r="EZ130"/>
      <c s="886" r="FA130"/>
      <c s="886" r="FB130"/>
      <c s="886" r="FC130"/>
      <c s="418" r="FD130"/>
      <c s="550" r="FE130"/>
      <c s="550" r="FF130"/>
      <c t="str" s="620" r="FG130">
        <f>IF((COUNT(FF130:FF$146,FH130:FH$146)=0),NA(),IF(ISBLANK(FF130),FG129,(FG129+(FF130-FH129))))</f>
        <v>#N/A:explicit</v>
      </c>
      <c s="550" r="FH130"/>
      <c t="str" s="620" r="FI130">
        <f>IF(OR(ISBLANK(FH130),ISNUMBER(FF131)),NA(),(FG130-FH130))</f>
        <v>#N/A:explicit</v>
      </c>
      <c t="b" s="895" r="FJ130">
        <v>0</v>
      </c>
      <c s="631" r="FK130"/>
      <c t="str" s="309" r="FL130">
        <f>IF((COUNT(FE130:FE$146)=0),NA(),IF(ISBLANK(FE130),IF(ISBLANK(FE129),MAX(FE$46:FE130),FE129),FE130))</f>
        <v>#N/A:explicit</v>
      </c>
      <c t="str" s="861" r="FM130">
        <f>IF(ISNA(FI130),IF(ISNUMBER(FL130),FM129,NA()),FI130)</f>
        <v>#N/A:explicit</v>
      </c>
      <c s="861" r="FN130">
        <f>IF(ISNUMBER(FM130),FM130,(FG$46+1000))</f>
        <v>1000</v>
      </c>
      <c t="str" s="588" r="FO130">
        <f>IF((FJ130=TRUE),NA(),IF((FO$44=(FG$46-MAX(FH$46:FH$146))),NA(),FO$44))</f>
        <v>#N/A:explicit</v>
      </c>
      <c s="588" r="FP130">
        <f>IF((ISNA(((FM130*FL130)*FM129))),0,(IF((FL130&lt;FL129),-1,1)*(IF((FJ129=FALSE),IF((FJ130=FALSE),IF(ISNA(FM130),0,IF((FM129&lt;FO$44),IF((FM130&lt;FO$44),(((FL130-FL129)^2)^0.5),(((((FO$44-FM129)*(FL130-FL129))/(FM130-FM129))^2)^0.5)),IF((FM130&lt;FO$44),(((((FO$44-FM130)*(FL130-FL129))/(FM129-FM130))^2)^0.5),0))),0),0))))</f>
        <v>0</v>
      </c>
      <c s="588" r="FQ130">
        <f>IF(ISNA((FM130*FM129)),0,IF((FJ129=FALSE),IF((FJ130=FALSE),IF(ISNA(FI130),0,IF((FM129&lt;FO$44),IF((FM130&lt;FO$44),((FO$44-((FM129+FM130)*0.5))*FP130),(((FO$44-FM129)*0.5)*FP130)),IF((FM130&lt;FO$44),(((FO$44-FM130)*0.5)*FP130),0))),0),0))</f>
        <v>0</v>
      </c>
      <c s="588" r="FR130">
        <f>IF(ISNA((FM130*FM129)),0,IF((FJ129=FALSE),IF((FJ130=FALSE),IF(ISNA(FM130),0,IF((FM129&lt;FO$44),IF((FM130&lt;FO$44),(((FP130^2)+((FM130-FM129)^2))^0.5),(((FP130^2)+((FO$44-FM129)^2))^0.5)),IF((FM130&lt;FO$44),(((FP130^2)+((FO$44-FM130)^2))^0.5),0))),0),0))</f>
        <v>0</v>
      </c>
      <c s="588" r="FS130">
        <f>IF(ISNUMBER((FM130*FM129)),IF((FM129&gt;=EY$148),IF((FM130&lt;EY$148),1,0),IF((FM130&gt;=EY$148),IF((FM129&lt;EY$148),1,0),0)),0)</f>
        <v>0</v>
      </c>
      <c s="588" r="FT130">
        <f>IF(ISNA((FM130*FM129)),0,(IF((FL130&lt;FL129),-1,1)*(IF(ISNA(FM130),0,IF((FM129&lt;EY$148),IF((FM130&lt;EY$148),(((FL130-FL129)^2)^0.5),(((((EY$148-FM129)*(FL130-FL129))/(FM130-FM129))^2)^0.5)),IF((FM130&lt;EY$148),(((((EY$148-FM130)*(FL130-FL129))/(FM129-FM130))^2)^0.5),0))))))</f>
        <v>0</v>
      </c>
      <c s="441" r="FU130">
        <f>IF((FQ130&gt;0),(MAX(FU$47:FU129)+1),0)</f>
        <v>0</v>
      </c>
      <c s="222" r="FV130"/>
      <c s="125" r="FW130"/>
      <c s="125" r="FX130"/>
      <c s="125" r="FY130"/>
      <c s="125" r="FZ130"/>
      <c s="125" r="GA130"/>
      <c s="125" r="GB130"/>
      <c s="125" r="GC130"/>
      <c s="125" r="GD130"/>
      <c s="125" r="GE130"/>
      <c s="125" r="GF130"/>
      <c s="125" r="GG130"/>
      <c s="125" r="GH130"/>
      <c s="125" r="GI130"/>
      <c s="125" r="GJ130"/>
      <c s="125" r="GK130"/>
      <c s="125" r="GL130"/>
      <c s="125" r="GM130"/>
      <c s="125" r="GN130"/>
      <c s="125" r="GO130"/>
      <c s="125" r="GP130"/>
      <c s="125" r="GQ130"/>
      <c s="125" r="GR130"/>
      <c s="125" r="GS130"/>
      <c s="125" r="GT130"/>
      <c s="125" r="GU130"/>
      <c s="125" r="GV130"/>
      <c s="125" r="GW130"/>
      <c s="125" r="GX130"/>
      <c s="125" r="GY130"/>
      <c s="125" r="GZ130"/>
      <c s="125" r="HA130"/>
      <c s="125" r="HB130"/>
    </row>
    <row r="131">
      <c s="125" r="A131"/>
      <c s="761" r="B131"/>
      <c s="761" r="C131"/>
      <c s="761" r="D131"/>
      <c s="761" r="E131"/>
      <c s="761" r="F131"/>
      <c s="761" r="G131"/>
      <c s="761" r="H131"/>
      <c s="125" r="I131"/>
      <c s="822" r="J131"/>
      <c s="406" r="K131"/>
      <c s="886" r="L131"/>
      <c s="886" r="M131"/>
      <c s="886" r="N131"/>
      <c s="886" r="O131"/>
      <c s="418" r="P131"/>
      <c s="550" r="Q131"/>
      <c s="550" r="R131"/>
      <c t="str" s="620" r="S131">
        <f>IF((COUNT(R131:R$146,T131:T$146)=0),NA(),IF(ISBLANK(R131),S130,(S130+(R131-T130))))</f>
        <v>#N/A:explicit</v>
      </c>
      <c s="550" r="T131"/>
      <c t="str" s="620" r="U131">
        <f>IF(OR(ISBLANK(T131),ISNUMBER(R132)),NA(),(S131-T131))</f>
        <v>#N/A:explicit</v>
      </c>
      <c t="b" s="895" r="V131">
        <v>0</v>
      </c>
      <c s="631" r="W131"/>
      <c t="str" s="309" r="X131">
        <f>IF((COUNT(Q131:Q$146)=0),NA(),IF(ISBLANK(Q131),IF(ISBLANK(Q130),MAX(Q$46:Q131),Q130),Q131))</f>
        <v>#N/A:explicit</v>
      </c>
      <c t="str" s="861" r="Y131">
        <f>IF(ISNA(U131),IF(ISNUMBER(X131),Y130,NA()),U131)</f>
        <v>#N/A:explicit</v>
      </c>
      <c s="861" r="Z131">
        <f>IF(ISNUMBER(Y131),Y131,(S$46+1000))</f>
        <v>1000</v>
      </c>
      <c t="str" s="588" r="AA131">
        <f>IF((V131=TRUE),NA(),IF((AA$44=(S$46-MAX(T$46:T$146))),NA(),AA$44))</f>
        <v>#N/A:explicit</v>
      </c>
      <c s="588" r="AB131">
        <f>IF((ISNA(((Y131*X131)*Y130))),0,(IF((X131&lt;X130),-1,1)*(IF((V130=FALSE),IF((V131=FALSE),IF(ISNA(Y131),0,IF((Y130&lt;AA$44),IF((Y131&lt;AA$44),(((X131-X130)^2)^0.5),(((((AA$44-Y130)*(X131-X130))/(Y131-Y130))^2)^0.5)),IF((Y131&lt;AA$44),(((((AA$44-Y131)*(X131-X130))/(Y130-Y131))^2)^0.5),0))),0),0))))</f>
        <v>0</v>
      </c>
      <c s="588" r="AC131">
        <f>IF(ISNA((Y131*Y130)),0,IF((V130=FALSE),IF((V131=FALSE),IF(ISNA(U131),0,IF((Y130&lt;AA$44),IF((Y131&lt;AA$44),((AA$44-((Y130+Y131)*0.5))*AB131),(((AA$44-Y130)*0.5)*AB131)),IF((Y131&lt;AA$44),(((AA$44-Y131)*0.5)*AB131),0))),0),0))</f>
        <v>0</v>
      </c>
      <c s="588" r="AD131">
        <f>IF(ISNA((Y131*Y130)),0,IF((V130=FALSE),IF((V131=FALSE),IF(ISNA(Y131),0,IF((Y130&lt;AA$44),IF((Y131&lt;AA$44),(((AB131^2)+((Y131-Y130)^2))^0.5),(((AB131^2)+((AA$44-Y130)^2))^0.5)),IF((Y131&lt;AA$44),(((AB131^2)+((AA$44-Y131)^2))^0.5),0))),0),0))</f>
        <v>0</v>
      </c>
      <c s="588" r="AE131">
        <f>IF(ISNUMBER((Y131*Y130)),IF((Y130&gt;=K$148),IF((Y131&lt;K$148),1,0),IF((Y131&gt;=K$148),IF((Y130&lt;K$148),1,0),0)),0)</f>
        <v>0</v>
      </c>
      <c s="588" r="AF131">
        <f>IF(ISNA((Y131*Y130)),0,(IF((X131&lt;X130),-1,1)*(IF(ISNA(Y131),0,IF((Y130&lt;K$148),IF((Y131&lt;K$148),(((X131-X130)^2)^0.5),(((((K$148-Y130)*(X131-X130))/(Y131-Y130))^2)^0.5)),IF((Y131&lt;K$148),(((((K$148-Y131)*(X131-X130))/(Y130-Y131))^2)^0.5),0))))))</f>
        <v>0</v>
      </c>
      <c s="441" r="AG131">
        <f>IF((AC131&gt;0),(MAX(AG$47:AG130)+1),0)</f>
        <v>0</v>
      </c>
      <c s="388" r="AH131"/>
      <c s="406" r="AI131"/>
      <c s="886" r="AJ131"/>
      <c s="886" r="AK131"/>
      <c s="886" r="AL131"/>
      <c s="886" r="AM131"/>
      <c s="418" r="AN131"/>
      <c s="550" r="AO131"/>
      <c s="550" r="AP131"/>
      <c t="str" s="620" r="AQ131">
        <f>IF((COUNT(AP131:AP$146,AR131:AR$146)=0),NA(),IF(ISBLANK(AP131),AQ130,(AQ130+(AP131-AR130))))</f>
        <v>#N/A:explicit</v>
      </c>
      <c s="550" r="AR131"/>
      <c t="str" s="620" r="AS131">
        <f>IF(OR(ISBLANK(AR131),ISNUMBER(AP132)),NA(),(AQ131-AR131))</f>
        <v>#N/A:explicit</v>
      </c>
      <c t="b" s="895" r="AT131">
        <v>0</v>
      </c>
      <c s="631" r="AU131"/>
      <c t="str" s="309" r="AV131">
        <f>IF((COUNT(AO131:AO$146)=0),NA(),IF(ISBLANK(AO131),IF(ISBLANK(AO130),MAX(AO$46:AO131),AO130),AO131))</f>
        <v>#N/A:explicit</v>
      </c>
      <c t="str" s="861" r="AW131">
        <f>IF(ISNA(AS131),IF(ISNUMBER(AV131),AW130,NA()),AS131)</f>
        <v>#N/A:explicit</v>
      </c>
      <c s="861" r="AX131">
        <f>IF(ISNUMBER(AW131),AW131,(AQ$46+1000))</f>
        <v>1000</v>
      </c>
      <c t="str" s="588" r="AY131">
        <f>IF((AT131=TRUE),NA(),IF((AY$44=(AQ$46-MAX(AR$46:AR$146))),NA(),AY$44))</f>
        <v>#N/A:explicit</v>
      </c>
      <c s="588" r="AZ131">
        <f>IF((ISNA(((AW131*AV131)*AW130))),0,(IF((AV131&lt;AV130),-1,1)*(IF((AT130=FALSE),IF((AT131=FALSE),IF(ISNA(AW131),0,IF((AW130&lt;AY$44),IF((AW131&lt;AY$44),(((AV131-AV130)^2)^0.5),(((((AY$44-AW130)*(AV131-AV130))/(AW131-AW130))^2)^0.5)),IF((AW131&lt;AY$44),(((((AY$44-AW131)*(AV131-AV130))/(AW130-AW131))^2)^0.5),0))),0),0))))</f>
        <v>0</v>
      </c>
      <c s="588" r="BA131">
        <f>IF(ISNA((AW131*AW130)),0,IF((AT130=FALSE),IF((AT131=FALSE),IF(ISNA(AS131),0,IF((AW130&lt;AY$44),IF((AW131&lt;AY$44),((AY$44-((AW130+AW131)*0.5))*AZ131),(((AY$44-AW130)*0.5)*AZ131)),IF((AW131&lt;AY$44),(((AY$44-AW131)*0.5)*AZ131),0))),0),0))</f>
        <v>0</v>
      </c>
      <c s="588" r="BB131">
        <f>IF(ISNA((AW131*AW130)),0,IF((AT130=FALSE),IF((AT131=FALSE),IF(ISNA(AW131),0,IF((AW130&lt;AY$44),IF((AW131&lt;AY$44),(((AZ131^2)+((AW131-AW130)^2))^0.5),(((AZ131^2)+((AY$44-AW130)^2))^0.5)),IF((AW131&lt;AY$44),(((AZ131^2)+((AY$44-AW131)^2))^0.5),0))),0),0))</f>
        <v>0</v>
      </c>
      <c s="588" r="BC131">
        <f>IF(ISNUMBER((AW131*AW130)),IF((AW130&gt;=AI$148),IF((AW131&lt;AI$148),1,0),IF((AW131&gt;=AI$148),IF((AW130&lt;AI$148),1,0),0)),0)</f>
        <v>0</v>
      </c>
      <c s="588" r="BD131">
        <f>IF(ISNA((AW131*AW130)),0,(IF((AV131&lt;AV130),-1,1)*(IF(ISNA(AW131),0,IF((AW130&lt;AI$148),IF((AW131&lt;AI$148),(((AV131-AV130)^2)^0.5),(((((AI$148-AW130)*(AV131-AV130))/(AW131-AW130))^2)^0.5)),IF((AW131&lt;AI$148),(((((AI$148-AW131)*(AV131-AV130))/(AW130-AW131))^2)^0.5),0))))))</f>
        <v>0</v>
      </c>
      <c s="441" r="BE131">
        <f>IF((BA131&gt;0),(MAX(BE$47:BE130)+1),0)</f>
        <v>0</v>
      </c>
      <c s="388" r="BF131"/>
      <c s="406" r="BG131"/>
      <c s="886" r="BH131"/>
      <c s="886" r="BI131"/>
      <c s="886" r="BJ131"/>
      <c s="886" r="BK131"/>
      <c s="418" r="BL131"/>
      <c s="550" r="BM131"/>
      <c s="550" r="BN131"/>
      <c t="str" s="620" r="BO131">
        <f>IF((COUNT(BN131:BN$146,BP131:BP$146)=0),NA(),IF(ISBLANK(BN131),BO130,(BO130+(BN131-BP130))))</f>
        <v>#N/A:explicit</v>
      </c>
      <c s="550" r="BP131"/>
      <c t="str" s="620" r="BQ131">
        <f>IF(OR(ISBLANK(BP131),ISNUMBER(BN132)),NA(),(BO131-BP131))</f>
        <v>#N/A:explicit</v>
      </c>
      <c t="b" s="895" r="BR131">
        <v>0</v>
      </c>
      <c s="631" r="BS131"/>
      <c t="str" s="309" r="BT131">
        <f>IF((COUNT(BM131:BM$146)=0),NA(),IF(ISBLANK(BM131),IF(ISBLANK(BM130),MAX(BM$46:BM131),BM130),BM131))</f>
        <v>#N/A:explicit</v>
      </c>
      <c t="str" s="861" r="BU131">
        <f>IF(ISNA(BQ131),IF(ISNUMBER(BT131),BU130,NA()),BQ131)</f>
        <v>#N/A:explicit</v>
      </c>
      <c s="861" r="BV131">
        <f>IF(ISNUMBER(BU131),BU131,(BO$46+1000))</f>
        <v>1000</v>
      </c>
      <c t="str" s="588" r="BW131">
        <f>IF((BR131=TRUE),NA(),IF((BW$44=(BO$46-MAX(BP$46:BP$146))),NA(),BW$44))</f>
        <v>#N/A:explicit</v>
      </c>
      <c s="588" r="BX131">
        <f>IF((ISNA(((BU131*BT131)*BU130))),0,(IF((BT131&lt;BT130),-1,1)*(IF((BR130=FALSE),IF((BR131=FALSE),IF(ISNA(BU131),0,IF((BU130&lt;BW$44),IF((BU131&lt;BW$44),(((BT131-BT130)^2)^0.5),(((((BW$44-BU130)*(BT131-BT130))/(BU131-BU130))^2)^0.5)),IF((BU131&lt;BW$44),(((((BW$44-BU131)*(BT131-BT130))/(BU130-BU131))^2)^0.5),0))),0),0))))</f>
        <v>0</v>
      </c>
      <c s="588" r="BY131">
        <f>IF(ISNA((BU131*BU130)),0,IF((BR130=FALSE),IF((BR131=FALSE),IF(ISNA(BQ131),0,IF((BU130&lt;BW$44),IF((BU131&lt;BW$44),((BW$44-((BU130+BU131)*0.5))*BX131),(((BW$44-BU130)*0.5)*BX131)),IF((BU131&lt;BW$44),(((BW$44-BU131)*0.5)*BX131),0))),0),0))</f>
        <v>0</v>
      </c>
      <c s="588" r="BZ131">
        <f>IF(ISNA((BU131*BU130)),0,IF((BR130=FALSE),IF((BR131=FALSE),IF(ISNA(BU131),0,IF((BU130&lt;BW$44),IF((BU131&lt;BW$44),(((BX131^2)+((BU131-BU130)^2))^0.5),(((BX131^2)+((BW$44-BU130)^2))^0.5)),IF((BU131&lt;BW$44),(((BX131^2)+((BW$44-BU131)^2))^0.5),0))),0),0))</f>
        <v>0</v>
      </c>
      <c s="588" r="CA131">
        <f>IF(ISNUMBER((BU131*BU130)),IF((BU130&gt;=BG$148),IF((BU131&lt;BG$148),1,0),IF((BU131&gt;=BG$148),IF((BU130&lt;BG$148),1,0),0)),0)</f>
        <v>0</v>
      </c>
      <c s="588" r="CB131">
        <f>IF(ISNA((BU131*BU130)),0,(IF((BT131&lt;BT130),-1,1)*(IF(ISNA(BU131),0,IF((BU130&lt;BG$148),IF((BU131&lt;BG$148),(((BT131-BT130)^2)^0.5),(((((BG$148-BU130)*(BT131-BT130))/(BU131-BU130))^2)^0.5)),IF((BU131&lt;BG$148),(((((BG$148-BU131)*(BT131-BT130))/(BU130-BU131))^2)^0.5),0))))))</f>
        <v>0</v>
      </c>
      <c s="441" r="CC131">
        <f>IF((BY131&gt;0),(MAX(CC$47:CC130)+1),0)</f>
        <v>0</v>
      </c>
      <c s="388" r="CD131"/>
      <c s="406" r="CE131"/>
      <c s="886" r="CF131"/>
      <c s="886" r="CG131"/>
      <c s="886" r="CH131"/>
      <c s="886" r="CI131"/>
      <c s="418" r="CJ131"/>
      <c s="550" r="CK131"/>
      <c s="550" r="CL131"/>
      <c t="str" s="620" r="CM131">
        <f>IF((COUNT(CL131:CL$146,CN131:CN$146)=0),NA(),IF(ISBLANK(CL131),CM130,(CM130+(CL131-CN130))))</f>
        <v>#N/A:explicit</v>
      </c>
      <c s="550" r="CN131"/>
      <c t="str" s="620" r="CO131">
        <f>IF(OR(ISBLANK(CN131),ISNUMBER(CL132)),NA(),(CM131-CN131))</f>
        <v>#N/A:explicit</v>
      </c>
      <c t="b" s="895" r="CP131">
        <v>0</v>
      </c>
      <c s="631" r="CQ131"/>
      <c t="str" s="309" r="CR131">
        <f>IF((COUNT(CK131:CK$146)=0),NA(),IF(ISBLANK(CK131),IF(ISBLANK(CK130),MAX(CK$46:CK131),CK130),CK131))</f>
        <v>#N/A:explicit</v>
      </c>
      <c t="str" s="861" r="CS131">
        <f>IF(ISNA(CO131),IF(ISNUMBER(CR131),CS130,NA()),CO131)</f>
        <v>#N/A:explicit</v>
      </c>
      <c s="861" r="CT131">
        <f>IF(ISNUMBER(CS131),CS131,(CM$46+1000))</f>
        <v>1000</v>
      </c>
      <c t="str" s="588" r="CU131">
        <f>IF((CP131=TRUE),NA(),IF((CU$44=(CM$46-MAX(CN$46:CN$146))),NA(),CU$44))</f>
        <v>#N/A:explicit</v>
      </c>
      <c s="588" r="CV131">
        <f>IF((ISNA(((CS131*CR131)*CS130))),0,(IF((CR131&lt;CR130),-1,1)*(IF((CP130=FALSE),IF((CP131=FALSE),IF(ISNA(CS131),0,IF((CS130&lt;CU$44),IF((CS131&lt;CU$44),(((CR131-CR130)^2)^0.5),(((((CU$44-CS130)*(CR131-CR130))/(CS131-CS130))^2)^0.5)),IF((CS131&lt;CU$44),(((((CU$44-CS131)*(CR131-CR130))/(CS130-CS131))^2)^0.5),0))),0),0))))</f>
        <v>0</v>
      </c>
      <c s="588" r="CW131">
        <f>IF(ISNA((CS131*CS130)),0,IF((CP130=FALSE),IF((CP131=FALSE),IF(ISNA(CO131),0,IF((CS130&lt;CU$44),IF((CS131&lt;CU$44),((CU$44-((CS130+CS131)*0.5))*CV131),(((CU$44-CS130)*0.5)*CV131)),IF((CS131&lt;CU$44),(((CU$44-CS131)*0.5)*CV131),0))),0),0))</f>
        <v>0</v>
      </c>
      <c s="588" r="CX131">
        <f>IF(ISNA((CS131*CS130)),0,IF((CP130=FALSE),IF((CP131=FALSE),IF(ISNA(CS131),0,IF((CS130&lt;CU$44),IF((CS131&lt;CU$44),(((CV131^2)+((CS131-CS130)^2))^0.5),(((CV131^2)+((CU$44-CS130)^2))^0.5)),IF((CS131&lt;CU$44),(((CV131^2)+((CU$44-CS131)^2))^0.5),0))),0),0))</f>
        <v>0</v>
      </c>
      <c s="588" r="CY131">
        <f>IF(ISNUMBER((CS131*CS130)),IF((CS130&gt;=CE$148),IF((CS131&lt;CE$148),1,0),IF((CS131&gt;=CE$148),IF((CS130&lt;CE$148),1,0),0)),0)</f>
        <v>0</v>
      </c>
      <c s="588" r="CZ131">
        <f>IF(ISNA((CS131*CS130)),0,(IF((CR131&lt;CR130),-1,1)*(IF(ISNA(CS131),0,IF((CS130&lt;CE$148),IF((CS131&lt;CE$148),(((CR131-CR130)^2)^0.5),(((((CE$148-CS130)*(CR131-CR130))/(CS131-CS130))^2)^0.5)),IF((CS131&lt;CE$148),(((((CE$148-CS131)*(CR131-CR130))/(CS130-CS131))^2)^0.5),0))))))</f>
        <v>0</v>
      </c>
      <c s="441" r="DA131">
        <f>IF((CW131&gt;0),(MAX(DA$47:DA130)+1),0)</f>
        <v>0</v>
      </c>
      <c s="388" r="DB131"/>
      <c s="406" r="DC131"/>
      <c s="886" r="DD131"/>
      <c s="886" r="DE131"/>
      <c s="886" r="DF131"/>
      <c s="886" r="DG131"/>
      <c s="418" r="DH131"/>
      <c s="550" r="DI131"/>
      <c s="550" r="DJ131"/>
      <c t="str" s="620" r="DK131">
        <f>IF((COUNT(DJ131:DJ$146,DL131:DL$146)=0),NA(),IF(ISBLANK(DJ131),DK130,(DK130+(DJ131-DL130))))</f>
        <v>#N/A:explicit</v>
      </c>
      <c s="550" r="DL131"/>
      <c t="str" s="620" r="DM131">
        <f>IF(OR(ISBLANK(DL131),ISNUMBER(DJ132)),NA(),(DK131-DL131))</f>
        <v>#N/A:explicit</v>
      </c>
      <c t="b" s="895" r="DN131">
        <v>0</v>
      </c>
      <c s="631" r="DO131"/>
      <c t="str" s="309" r="DP131">
        <f>IF((COUNT(DI131:DI$146)=0),NA(),IF(ISBLANK(DI131),IF(ISBLANK(DI130),MAX(DI$46:DI131),DI130),DI131))</f>
        <v>#N/A:explicit</v>
      </c>
      <c t="str" s="861" r="DQ131">
        <f>IF(ISNA(DM131),IF(ISNUMBER(DP131),DQ130,NA()),DM131)</f>
        <v>#N/A:explicit</v>
      </c>
      <c s="861" r="DR131">
        <f>IF(ISNUMBER(DQ131),DQ131,(DK$46+1000))</f>
        <v>1000</v>
      </c>
      <c t="str" s="588" r="DS131">
        <f>IF((DN131=TRUE),NA(),IF((DS$44=(DK$46-MAX(DL$46:DL$146))),NA(),DS$44))</f>
        <v>#N/A:explicit</v>
      </c>
      <c s="588" r="DT131">
        <f>IF((ISNA(((DQ131*DP131)*DQ130))),0,(IF((DP131&lt;DP130),-1,1)*(IF((DN130=FALSE),IF((DN131=FALSE),IF(ISNA(DQ131),0,IF((DQ130&lt;DS$44),IF((DQ131&lt;DS$44),(((DP131-DP130)^2)^0.5),(((((DS$44-DQ130)*(DP131-DP130))/(DQ131-DQ130))^2)^0.5)),IF((DQ131&lt;DS$44),(((((DS$44-DQ131)*(DP131-DP130))/(DQ130-DQ131))^2)^0.5),0))),0),0))))</f>
        <v>0</v>
      </c>
      <c s="588" r="DU131">
        <f>IF(ISNA((DQ131*DQ130)),0,IF((DN130=FALSE),IF((DN131=FALSE),IF(ISNA(DM131),0,IF((DQ130&lt;DS$44),IF((DQ131&lt;DS$44),((DS$44-((DQ130+DQ131)*0.5))*DT131),(((DS$44-DQ130)*0.5)*DT131)),IF((DQ131&lt;DS$44),(((DS$44-DQ131)*0.5)*DT131),0))),0),0))</f>
        <v>0</v>
      </c>
      <c s="588" r="DV131">
        <f>IF(ISNA((DQ131*DQ130)),0,IF((DN130=FALSE),IF((DN131=FALSE),IF(ISNA(DQ131),0,IF((DQ130&lt;DS$44),IF((DQ131&lt;DS$44),(((DT131^2)+((DQ131-DQ130)^2))^0.5),(((DT131^2)+((DS$44-DQ130)^2))^0.5)),IF((DQ131&lt;DS$44),(((DT131^2)+((DS$44-DQ131)^2))^0.5),0))),0),0))</f>
        <v>0</v>
      </c>
      <c s="588" r="DW131">
        <f>IF(ISNUMBER((DQ131*DQ130)),IF((DQ130&gt;=DC$148),IF((DQ131&lt;DC$148),1,0),IF((DQ131&gt;=DC$148),IF((DQ130&lt;DC$148),1,0),0)),0)</f>
        <v>0</v>
      </c>
      <c s="588" r="DX131">
        <f>IF(ISNA((DQ131*DQ130)),0,(IF((DP131&lt;DP130),-1,1)*(IF(ISNA(DQ131),0,IF((DQ130&lt;DC$148),IF((DQ131&lt;DC$148),(((DP131-DP130)^2)^0.5),(((((DC$148-DQ130)*(DP131-DP130))/(DQ131-DQ130))^2)^0.5)),IF((DQ131&lt;DC$148),(((((DC$148-DQ131)*(DP131-DP130))/(DQ130-DQ131))^2)^0.5),0))))))</f>
        <v>0</v>
      </c>
      <c s="441" r="DY131">
        <f>IF((DU131&gt;0),(MAX(DY$47:DY130)+1),0)</f>
        <v>0</v>
      </c>
      <c s="388" r="DZ131"/>
      <c s="406" r="EA131"/>
      <c s="886" r="EB131"/>
      <c s="886" r="EC131"/>
      <c s="886" r="ED131"/>
      <c s="886" r="EE131"/>
      <c s="418" r="EF131"/>
      <c s="550" r="EG131"/>
      <c s="550" r="EH131"/>
      <c t="str" s="620" r="EI131">
        <f>IF((COUNT(EH131:EH$146,EJ131:EJ$146)=0),NA(),IF(ISBLANK(EH131),EI130,(EI130+(EH131-EJ130))))</f>
        <v>#N/A:explicit</v>
      </c>
      <c s="550" r="EJ131"/>
      <c t="str" s="620" r="EK131">
        <f>IF(OR(ISBLANK(EJ131),ISNUMBER(EH132)),NA(),(EI131-EJ131))</f>
        <v>#N/A:explicit</v>
      </c>
      <c t="b" s="895" r="EL131">
        <v>0</v>
      </c>
      <c s="631" r="EM131"/>
      <c t="str" s="309" r="EN131">
        <f>IF((COUNT(EG131:EG$146)=0),NA(),IF(ISBLANK(EG131),IF(ISBLANK(EG130),MAX(EG$46:EG131),EG130),EG131))</f>
        <v>#N/A:explicit</v>
      </c>
      <c t="str" s="861" r="EO131">
        <f>IF(ISNA(EK131),IF(ISNUMBER(EN131),EO130,NA()),EK131)</f>
        <v>#N/A:explicit</v>
      </c>
      <c s="861" r="EP131">
        <f>IF(ISNUMBER(EO131),EO131,(EI$46+1000))</f>
        <v>1000</v>
      </c>
      <c t="str" s="588" r="EQ131">
        <f>IF((EL131=TRUE),NA(),IF((EQ$44=(EI$46-MAX(EJ$46:EJ$146))),NA(),EQ$44))</f>
        <v>#N/A:explicit</v>
      </c>
      <c s="588" r="ER131">
        <f>IF((ISNA(((EO131*EN131)*EO130))),0,(IF((EN131&lt;EN130),-1,1)*(IF((EL130=FALSE),IF((EL131=FALSE),IF(ISNA(EO131),0,IF((EO130&lt;EQ$44),IF((EO131&lt;EQ$44),(((EN131-EN130)^2)^0.5),(((((EQ$44-EO130)*(EN131-EN130))/(EO131-EO130))^2)^0.5)),IF((EO131&lt;EQ$44),(((((EQ$44-EO131)*(EN131-EN130))/(EO130-EO131))^2)^0.5),0))),0),0))))</f>
        <v>0</v>
      </c>
      <c s="588" r="ES131">
        <f>IF(ISNA((EO131*EO130)),0,IF((EL130=FALSE),IF((EL131=FALSE),IF(ISNA(EK131),0,IF((EO130&lt;EQ$44),IF((EO131&lt;EQ$44),((EQ$44-((EO130+EO131)*0.5))*ER131),(((EQ$44-EO130)*0.5)*ER131)),IF((EO131&lt;EQ$44),(((EQ$44-EO131)*0.5)*ER131),0))),0),0))</f>
        <v>0</v>
      </c>
      <c s="588" r="ET131">
        <f>IF(ISNA((EO131*EO130)),0,IF((EL130=FALSE),IF((EL131=FALSE),IF(ISNA(EO131),0,IF((EO130&lt;EQ$44),IF((EO131&lt;EQ$44),(((ER131^2)+((EO131-EO130)^2))^0.5),(((ER131^2)+((EQ$44-EO130)^2))^0.5)),IF((EO131&lt;EQ$44),(((ER131^2)+((EQ$44-EO131)^2))^0.5),0))),0),0))</f>
        <v>0</v>
      </c>
      <c s="588" r="EU131">
        <f>IF(ISNUMBER((EO131*EO130)),IF((EO130&gt;=EA$148),IF((EO131&lt;EA$148),1,0),IF((EO131&gt;=EA$148),IF((EO130&lt;EA$148),1,0),0)),0)</f>
        <v>0</v>
      </c>
      <c s="588" r="EV131">
        <f>IF(ISNA((EO131*EO130)),0,(IF((EN131&lt;EN130),-1,1)*(IF(ISNA(EO131),0,IF((EO130&lt;EA$148),IF((EO131&lt;EA$148),(((EN131-EN130)^2)^0.5),(((((EA$148-EO130)*(EN131-EN130))/(EO131-EO130))^2)^0.5)),IF((EO131&lt;EA$148),(((((EA$148-EO131)*(EN131-EN130))/(EO130-EO131))^2)^0.5),0))))))</f>
        <v>0</v>
      </c>
      <c s="441" r="EW131">
        <f>IF((ES131&gt;0),(MAX(EW$47:EW130)+1),0)</f>
        <v>0</v>
      </c>
      <c s="388" r="EX131"/>
      <c s="406" r="EY131"/>
      <c s="886" r="EZ131"/>
      <c s="886" r="FA131"/>
      <c s="886" r="FB131"/>
      <c s="886" r="FC131"/>
      <c s="418" r="FD131"/>
      <c s="550" r="FE131"/>
      <c s="550" r="FF131"/>
      <c t="str" s="620" r="FG131">
        <f>IF((COUNT(FF131:FF$146,FH131:FH$146)=0),NA(),IF(ISBLANK(FF131),FG130,(FG130+(FF131-FH130))))</f>
        <v>#N/A:explicit</v>
      </c>
      <c s="550" r="FH131"/>
      <c t="str" s="620" r="FI131">
        <f>IF(OR(ISBLANK(FH131),ISNUMBER(FF132)),NA(),(FG131-FH131))</f>
        <v>#N/A:explicit</v>
      </c>
      <c t="b" s="895" r="FJ131">
        <v>0</v>
      </c>
      <c s="631" r="FK131"/>
      <c t="str" s="309" r="FL131">
        <f>IF((COUNT(FE131:FE$146)=0),NA(),IF(ISBLANK(FE131),IF(ISBLANK(FE130),MAX(FE$46:FE131),FE130),FE131))</f>
        <v>#N/A:explicit</v>
      </c>
      <c t="str" s="861" r="FM131">
        <f>IF(ISNA(FI131),IF(ISNUMBER(FL131),FM130,NA()),FI131)</f>
        <v>#N/A:explicit</v>
      </c>
      <c s="861" r="FN131">
        <f>IF(ISNUMBER(FM131),FM131,(FG$46+1000))</f>
        <v>1000</v>
      </c>
      <c t="str" s="588" r="FO131">
        <f>IF((FJ131=TRUE),NA(),IF((FO$44=(FG$46-MAX(FH$46:FH$146))),NA(),FO$44))</f>
        <v>#N/A:explicit</v>
      </c>
      <c s="588" r="FP131">
        <f>IF((ISNA(((FM131*FL131)*FM130))),0,(IF((FL131&lt;FL130),-1,1)*(IF((FJ130=FALSE),IF((FJ131=FALSE),IF(ISNA(FM131),0,IF((FM130&lt;FO$44),IF((FM131&lt;FO$44),(((FL131-FL130)^2)^0.5),(((((FO$44-FM130)*(FL131-FL130))/(FM131-FM130))^2)^0.5)),IF((FM131&lt;FO$44),(((((FO$44-FM131)*(FL131-FL130))/(FM130-FM131))^2)^0.5),0))),0),0))))</f>
        <v>0</v>
      </c>
      <c s="588" r="FQ131">
        <f>IF(ISNA((FM131*FM130)),0,IF((FJ130=FALSE),IF((FJ131=FALSE),IF(ISNA(FI131),0,IF((FM130&lt;FO$44),IF((FM131&lt;FO$44),((FO$44-((FM130+FM131)*0.5))*FP131),(((FO$44-FM130)*0.5)*FP131)),IF((FM131&lt;FO$44),(((FO$44-FM131)*0.5)*FP131),0))),0),0))</f>
        <v>0</v>
      </c>
      <c s="588" r="FR131">
        <f>IF(ISNA((FM131*FM130)),0,IF((FJ130=FALSE),IF((FJ131=FALSE),IF(ISNA(FM131),0,IF((FM130&lt;FO$44),IF((FM131&lt;FO$44),(((FP131^2)+((FM131-FM130)^2))^0.5),(((FP131^2)+((FO$44-FM130)^2))^0.5)),IF((FM131&lt;FO$44),(((FP131^2)+((FO$44-FM131)^2))^0.5),0))),0),0))</f>
        <v>0</v>
      </c>
      <c s="588" r="FS131">
        <f>IF(ISNUMBER((FM131*FM130)),IF((FM130&gt;=EY$148),IF((FM131&lt;EY$148),1,0),IF((FM131&gt;=EY$148),IF((FM130&lt;EY$148),1,0),0)),0)</f>
        <v>0</v>
      </c>
      <c s="588" r="FT131">
        <f>IF(ISNA((FM131*FM130)),0,(IF((FL131&lt;FL130),-1,1)*(IF(ISNA(FM131),0,IF((FM130&lt;EY$148),IF((FM131&lt;EY$148),(((FL131-FL130)^2)^0.5),(((((EY$148-FM130)*(FL131-FL130))/(FM131-FM130))^2)^0.5)),IF((FM131&lt;EY$148),(((((EY$148-FM131)*(FL131-FL130))/(FM130-FM131))^2)^0.5),0))))))</f>
        <v>0</v>
      </c>
      <c s="441" r="FU131">
        <f>IF((FQ131&gt;0),(MAX(FU$47:FU130)+1),0)</f>
        <v>0</v>
      </c>
      <c s="222" r="FV131"/>
      <c s="125" r="FW131"/>
      <c s="125" r="FX131"/>
      <c s="125" r="FY131"/>
      <c s="125" r="FZ131"/>
      <c s="125" r="GA131"/>
      <c s="125" r="GB131"/>
      <c s="125" r="GC131"/>
      <c s="125" r="GD131"/>
      <c s="125" r="GE131"/>
      <c s="125" r="GF131"/>
      <c s="125" r="GG131"/>
      <c s="125" r="GH131"/>
      <c s="125" r="GI131"/>
      <c s="125" r="GJ131"/>
      <c s="125" r="GK131"/>
      <c s="125" r="GL131"/>
      <c s="125" r="GM131"/>
      <c s="125" r="GN131"/>
      <c s="125" r="GO131"/>
      <c s="125" r="GP131"/>
      <c s="125" r="GQ131"/>
      <c s="125" r="GR131"/>
      <c s="125" r="GS131"/>
      <c s="125" r="GT131"/>
      <c s="125" r="GU131"/>
      <c s="125" r="GV131"/>
      <c s="125" r="GW131"/>
      <c s="125" r="GX131"/>
      <c s="125" r="GY131"/>
      <c s="125" r="GZ131"/>
      <c s="125" r="HA131"/>
      <c s="125" r="HB131"/>
    </row>
    <row r="132">
      <c s="125" r="A132"/>
      <c s="761" r="B132"/>
      <c s="761" r="C132"/>
      <c s="761" r="D132"/>
      <c s="761" r="E132"/>
      <c s="761" r="F132"/>
      <c s="761" r="G132"/>
      <c s="761" r="H132"/>
      <c s="125" r="I132"/>
      <c s="822" r="J132"/>
      <c s="406" r="K132"/>
      <c s="886" r="L132"/>
      <c s="886" r="M132"/>
      <c s="886" r="N132"/>
      <c s="886" r="O132"/>
      <c s="418" r="P132"/>
      <c s="550" r="Q132"/>
      <c s="550" r="R132"/>
      <c t="str" s="620" r="S132">
        <f>IF((COUNT(R132:R$146,T132:T$146)=0),NA(),IF(ISBLANK(R132),S131,(S131+(R132-T131))))</f>
        <v>#N/A:explicit</v>
      </c>
      <c s="550" r="T132"/>
      <c t="str" s="620" r="U132">
        <f>IF(OR(ISBLANK(T132),ISNUMBER(R133)),NA(),(S132-T132))</f>
        <v>#N/A:explicit</v>
      </c>
      <c t="b" s="895" r="V132">
        <v>0</v>
      </c>
      <c s="631" r="W132"/>
      <c t="str" s="309" r="X132">
        <f>IF((COUNT(Q132:Q$146)=0),NA(),IF(ISBLANK(Q132),IF(ISBLANK(Q131),MAX(Q$46:Q132),Q131),Q132))</f>
        <v>#N/A:explicit</v>
      </c>
      <c t="str" s="861" r="Y132">
        <f>IF(ISNA(U132),IF(ISNUMBER(X132),Y131,NA()),U132)</f>
        <v>#N/A:explicit</v>
      </c>
      <c s="861" r="Z132">
        <f>IF(ISNUMBER(Y132),Y132,(S$46+1000))</f>
        <v>1000</v>
      </c>
      <c t="str" s="588" r="AA132">
        <f>IF((V132=TRUE),NA(),IF((AA$44=(S$46-MAX(T$46:T$146))),NA(),AA$44))</f>
        <v>#N/A:explicit</v>
      </c>
      <c s="588" r="AB132">
        <f>IF((ISNA(((Y132*X132)*Y131))),0,(IF((X132&lt;X131),-1,1)*(IF((V131=FALSE),IF((V132=FALSE),IF(ISNA(Y132),0,IF((Y131&lt;AA$44),IF((Y132&lt;AA$44),(((X132-X131)^2)^0.5),(((((AA$44-Y131)*(X132-X131))/(Y132-Y131))^2)^0.5)),IF((Y132&lt;AA$44),(((((AA$44-Y132)*(X132-X131))/(Y131-Y132))^2)^0.5),0))),0),0))))</f>
        <v>0</v>
      </c>
      <c s="588" r="AC132">
        <f>IF(ISNA((Y132*Y131)),0,IF((V131=FALSE),IF((V132=FALSE),IF(ISNA(U132),0,IF((Y131&lt;AA$44),IF((Y132&lt;AA$44),((AA$44-((Y131+Y132)*0.5))*AB132),(((AA$44-Y131)*0.5)*AB132)),IF((Y132&lt;AA$44),(((AA$44-Y132)*0.5)*AB132),0))),0),0))</f>
        <v>0</v>
      </c>
      <c s="588" r="AD132">
        <f>IF(ISNA((Y132*Y131)),0,IF((V131=FALSE),IF((V132=FALSE),IF(ISNA(Y132),0,IF((Y131&lt;AA$44),IF((Y132&lt;AA$44),(((AB132^2)+((Y132-Y131)^2))^0.5),(((AB132^2)+((AA$44-Y131)^2))^0.5)),IF((Y132&lt;AA$44),(((AB132^2)+((AA$44-Y132)^2))^0.5),0))),0),0))</f>
        <v>0</v>
      </c>
      <c s="588" r="AE132">
        <f>IF(ISNUMBER((Y132*Y131)),IF((Y131&gt;=K$148),IF((Y132&lt;K$148),1,0),IF((Y132&gt;=K$148),IF((Y131&lt;K$148),1,0),0)),0)</f>
        <v>0</v>
      </c>
      <c s="588" r="AF132">
        <f>IF(ISNA((Y132*Y131)),0,(IF((X132&lt;X131),-1,1)*(IF(ISNA(Y132),0,IF((Y131&lt;K$148),IF((Y132&lt;K$148),(((X132-X131)^2)^0.5),(((((K$148-Y131)*(X132-X131))/(Y132-Y131))^2)^0.5)),IF((Y132&lt;K$148),(((((K$148-Y132)*(X132-X131))/(Y131-Y132))^2)^0.5),0))))))</f>
        <v>0</v>
      </c>
      <c s="441" r="AG132">
        <f>IF((AC132&gt;0),(MAX(AG$47:AG131)+1),0)</f>
        <v>0</v>
      </c>
      <c s="388" r="AH132"/>
      <c s="406" r="AI132"/>
      <c s="886" r="AJ132"/>
      <c s="886" r="AK132"/>
      <c s="886" r="AL132"/>
      <c s="886" r="AM132"/>
      <c s="418" r="AN132"/>
      <c s="550" r="AO132"/>
      <c s="550" r="AP132"/>
      <c t="str" s="620" r="AQ132">
        <f>IF((COUNT(AP132:AP$146,AR132:AR$146)=0),NA(),IF(ISBLANK(AP132),AQ131,(AQ131+(AP132-AR131))))</f>
        <v>#N/A:explicit</v>
      </c>
      <c s="550" r="AR132"/>
      <c t="str" s="620" r="AS132">
        <f>IF(OR(ISBLANK(AR132),ISNUMBER(AP133)),NA(),(AQ132-AR132))</f>
        <v>#N/A:explicit</v>
      </c>
      <c t="b" s="895" r="AT132">
        <v>0</v>
      </c>
      <c s="631" r="AU132"/>
      <c t="str" s="309" r="AV132">
        <f>IF((COUNT(AO132:AO$146)=0),NA(),IF(ISBLANK(AO132),IF(ISBLANK(AO131),MAX(AO$46:AO132),AO131),AO132))</f>
        <v>#N/A:explicit</v>
      </c>
      <c t="str" s="861" r="AW132">
        <f>IF(ISNA(AS132),IF(ISNUMBER(AV132),AW131,NA()),AS132)</f>
        <v>#N/A:explicit</v>
      </c>
      <c s="861" r="AX132">
        <f>IF(ISNUMBER(AW132),AW132,(AQ$46+1000))</f>
        <v>1000</v>
      </c>
      <c t="str" s="588" r="AY132">
        <f>IF((AT132=TRUE),NA(),IF((AY$44=(AQ$46-MAX(AR$46:AR$146))),NA(),AY$44))</f>
        <v>#N/A:explicit</v>
      </c>
      <c s="588" r="AZ132">
        <f>IF((ISNA(((AW132*AV132)*AW131))),0,(IF((AV132&lt;AV131),-1,1)*(IF((AT131=FALSE),IF((AT132=FALSE),IF(ISNA(AW132),0,IF((AW131&lt;AY$44),IF((AW132&lt;AY$44),(((AV132-AV131)^2)^0.5),(((((AY$44-AW131)*(AV132-AV131))/(AW132-AW131))^2)^0.5)),IF((AW132&lt;AY$44),(((((AY$44-AW132)*(AV132-AV131))/(AW131-AW132))^2)^0.5),0))),0),0))))</f>
        <v>0</v>
      </c>
      <c s="588" r="BA132">
        <f>IF(ISNA((AW132*AW131)),0,IF((AT131=FALSE),IF((AT132=FALSE),IF(ISNA(AS132),0,IF((AW131&lt;AY$44),IF((AW132&lt;AY$44),((AY$44-((AW131+AW132)*0.5))*AZ132),(((AY$44-AW131)*0.5)*AZ132)),IF((AW132&lt;AY$44),(((AY$44-AW132)*0.5)*AZ132),0))),0),0))</f>
        <v>0</v>
      </c>
      <c s="588" r="BB132">
        <f>IF(ISNA((AW132*AW131)),0,IF((AT131=FALSE),IF((AT132=FALSE),IF(ISNA(AW132),0,IF((AW131&lt;AY$44),IF((AW132&lt;AY$44),(((AZ132^2)+((AW132-AW131)^2))^0.5),(((AZ132^2)+((AY$44-AW131)^2))^0.5)),IF((AW132&lt;AY$44),(((AZ132^2)+((AY$44-AW132)^2))^0.5),0))),0),0))</f>
        <v>0</v>
      </c>
      <c s="588" r="BC132">
        <f>IF(ISNUMBER((AW132*AW131)),IF((AW131&gt;=AI$148),IF((AW132&lt;AI$148),1,0),IF((AW132&gt;=AI$148),IF((AW131&lt;AI$148),1,0),0)),0)</f>
        <v>0</v>
      </c>
      <c s="588" r="BD132">
        <f>IF(ISNA((AW132*AW131)),0,(IF((AV132&lt;AV131),-1,1)*(IF(ISNA(AW132),0,IF((AW131&lt;AI$148),IF((AW132&lt;AI$148),(((AV132-AV131)^2)^0.5),(((((AI$148-AW131)*(AV132-AV131))/(AW132-AW131))^2)^0.5)),IF((AW132&lt;AI$148),(((((AI$148-AW132)*(AV132-AV131))/(AW131-AW132))^2)^0.5),0))))))</f>
        <v>0</v>
      </c>
      <c s="441" r="BE132">
        <f>IF((BA132&gt;0),(MAX(BE$47:BE131)+1),0)</f>
        <v>0</v>
      </c>
      <c s="388" r="BF132"/>
      <c s="406" r="BG132"/>
      <c s="886" r="BH132"/>
      <c s="886" r="BI132"/>
      <c s="886" r="BJ132"/>
      <c s="886" r="BK132"/>
      <c s="418" r="BL132"/>
      <c s="550" r="BM132"/>
      <c s="550" r="BN132"/>
      <c t="str" s="620" r="BO132">
        <f>IF((COUNT(BN132:BN$146,BP132:BP$146)=0),NA(),IF(ISBLANK(BN132),BO131,(BO131+(BN132-BP131))))</f>
        <v>#N/A:explicit</v>
      </c>
      <c s="550" r="BP132"/>
      <c t="str" s="620" r="BQ132">
        <f>IF(OR(ISBLANK(BP132),ISNUMBER(BN133)),NA(),(BO132-BP132))</f>
        <v>#N/A:explicit</v>
      </c>
      <c t="b" s="895" r="BR132">
        <v>0</v>
      </c>
      <c s="631" r="BS132"/>
      <c t="str" s="309" r="BT132">
        <f>IF((COUNT(BM132:BM$146)=0),NA(),IF(ISBLANK(BM132),IF(ISBLANK(BM131),MAX(BM$46:BM132),BM131),BM132))</f>
        <v>#N/A:explicit</v>
      </c>
      <c t="str" s="861" r="BU132">
        <f>IF(ISNA(BQ132),IF(ISNUMBER(BT132),BU131,NA()),BQ132)</f>
        <v>#N/A:explicit</v>
      </c>
      <c s="861" r="BV132">
        <f>IF(ISNUMBER(BU132),BU132,(BO$46+1000))</f>
        <v>1000</v>
      </c>
      <c t="str" s="588" r="BW132">
        <f>IF((BR132=TRUE),NA(),IF((BW$44=(BO$46-MAX(BP$46:BP$146))),NA(),BW$44))</f>
        <v>#N/A:explicit</v>
      </c>
      <c s="588" r="BX132">
        <f>IF((ISNA(((BU132*BT132)*BU131))),0,(IF((BT132&lt;BT131),-1,1)*(IF((BR131=FALSE),IF((BR132=FALSE),IF(ISNA(BU132),0,IF((BU131&lt;BW$44),IF((BU132&lt;BW$44),(((BT132-BT131)^2)^0.5),(((((BW$44-BU131)*(BT132-BT131))/(BU132-BU131))^2)^0.5)),IF((BU132&lt;BW$44),(((((BW$44-BU132)*(BT132-BT131))/(BU131-BU132))^2)^0.5),0))),0),0))))</f>
        <v>0</v>
      </c>
      <c s="588" r="BY132">
        <f>IF(ISNA((BU132*BU131)),0,IF((BR131=FALSE),IF((BR132=FALSE),IF(ISNA(BQ132),0,IF((BU131&lt;BW$44),IF((BU132&lt;BW$44),((BW$44-((BU131+BU132)*0.5))*BX132),(((BW$44-BU131)*0.5)*BX132)),IF((BU132&lt;BW$44),(((BW$44-BU132)*0.5)*BX132),0))),0),0))</f>
        <v>0</v>
      </c>
      <c s="588" r="BZ132">
        <f>IF(ISNA((BU132*BU131)),0,IF((BR131=FALSE),IF((BR132=FALSE),IF(ISNA(BU132),0,IF((BU131&lt;BW$44),IF((BU132&lt;BW$44),(((BX132^2)+((BU132-BU131)^2))^0.5),(((BX132^2)+((BW$44-BU131)^2))^0.5)),IF((BU132&lt;BW$44),(((BX132^2)+((BW$44-BU132)^2))^0.5),0))),0),0))</f>
        <v>0</v>
      </c>
      <c s="588" r="CA132">
        <f>IF(ISNUMBER((BU132*BU131)),IF((BU131&gt;=BG$148),IF((BU132&lt;BG$148),1,0),IF((BU132&gt;=BG$148),IF((BU131&lt;BG$148),1,0),0)),0)</f>
        <v>0</v>
      </c>
      <c s="588" r="CB132">
        <f>IF(ISNA((BU132*BU131)),0,(IF((BT132&lt;BT131),-1,1)*(IF(ISNA(BU132),0,IF((BU131&lt;BG$148),IF((BU132&lt;BG$148),(((BT132-BT131)^2)^0.5),(((((BG$148-BU131)*(BT132-BT131))/(BU132-BU131))^2)^0.5)),IF((BU132&lt;BG$148),(((((BG$148-BU132)*(BT132-BT131))/(BU131-BU132))^2)^0.5),0))))))</f>
        <v>0</v>
      </c>
      <c s="441" r="CC132">
        <f>IF((BY132&gt;0),(MAX(CC$47:CC131)+1),0)</f>
        <v>0</v>
      </c>
      <c s="388" r="CD132"/>
      <c s="406" r="CE132"/>
      <c s="886" r="CF132"/>
      <c s="886" r="CG132"/>
      <c s="886" r="CH132"/>
      <c s="886" r="CI132"/>
      <c s="418" r="CJ132"/>
      <c s="550" r="CK132"/>
      <c s="550" r="CL132"/>
      <c t="str" s="620" r="CM132">
        <f>IF((COUNT(CL132:CL$146,CN132:CN$146)=0),NA(),IF(ISBLANK(CL132),CM131,(CM131+(CL132-CN131))))</f>
        <v>#N/A:explicit</v>
      </c>
      <c s="550" r="CN132"/>
      <c t="str" s="620" r="CO132">
        <f>IF(OR(ISBLANK(CN132),ISNUMBER(CL133)),NA(),(CM132-CN132))</f>
        <v>#N/A:explicit</v>
      </c>
      <c t="b" s="895" r="CP132">
        <v>0</v>
      </c>
      <c s="631" r="CQ132"/>
      <c t="str" s="309" r="CR132">
        <f>IF((COUNT(CK132:CK$146)=0),NA(),IF(ISBLANK(CK132),IF(ISBLANK(CK131),MAX(CK$46:CK132),CK131),CK132))</f>
        <v>#N/A:explicit</v>
      </c>
      <c t="str" s="861" r="CS132">
        <f>IF(ISNA(CO132),IF(ISNUMBER(CR132),CS131,NA()),CO132)</f>
        <v>#N/A:explicit</v>
      </c>
      <c s="861" r="CT132">
        <f>IF(ISNUMBER(CS132),CS132,(CM$46+1000))</f>
        <v>1000</v>
      </c>
      <c t="str" s="588" r="CU132">
        <f>IF((CP132=TRUE),NA(),IF((CU$44=(CM$46-MAX(CN$46:CN$146))),NA(),CU$44))</f>
        <v>#N/A:explicit</v>
      </c>
      <c s="588" r="CV132">
        <f>IF((ISNA(((CS132*CR132)*CS131))),0,(IF((CR132&lt;CR131),-1,1)*(IF((CP131=FALSE),IF((CP132=FALSE),IF(ISNA(CS132),0,IF((CS131&lt;CU$44),IF((CS132&lt;CU$44),(((CR132-CR131)^2)^0.5),(((((CU$44-CS131)*(CR132-CR131))/(CS132-CS131))^2)^0.5)),IF((CS132&lt;CU$44),(((((CU$44-CS132)*(CR132-CR131))/(CS131-CS132))^2)^0.5),0))),0),0))))</f>
        <v>0</v>
      </c>
      <c s="588" r="CW132">
        <f>IF(ISNA((CS132*CS131)),0,IF((CP131=FALSE),IF((CP132=FALSE),IF(ISNA(CO132),0,IF((CS131&lt;CU$44),IF((CS132&lt;CU$44),((CU$44-((CS131+CS132)*0.5))*CV132),(((CU$44-CS131)*0.5)*CV132)),IF((CS132&lt;CU$44),(((CU$44-CS132)*0.5)*CV132),0))),0),0))</f>
        <v>0</v>
      </c>
      <c s="588" r="CX132">
        <f>IF(ISNA((CS132*CS131)),0,IF((CP131=FALSE),IF((CP132=FALSE),IF(ISNA(CS132),0,IF((CS131&lt;CU$44),IF((CS132&lt;CU$44),(((CV132^2)+((CS132-CS131)^2))^0.5),(((CV132^2)+((CU$44-CS131)^2))^0.5)),IF((CS132&lt;CU$44),(((CV132^2)+((CU$44-CS132)^2))^0.5),0))),0),0))</f>
        <v>0</v>
      </c>
      <c s="588" r="CY132">
        <f>IF(ISNUMBER((CS132*CS131)),IF((CS131&gt;=CE$148),IF((CS132&lt;CE$148),1,0),IF((CS132&gt;=CE$148),IF((CS131&lt;CE$148),1,0),0)),0)</f>
        <v>0</v>
      </c>
      <c s="588" r="CZ132">
        <f>IF(ISNA((CS132*CS131)),0,(IF((CR132&lt;CR131),-1,1)*(IF(ISNA(CS132),0,IF((CS131&lt;CE$148),IF((CS132&lt;CE$148),(((CR132-CR131)^2)^0.5),(((((CE$148-CS131)*(CR132-CR131))/(CS132-CS131))^2)^0.5)),IF((CS132&lt;CE$148),(((((CE$148-CS132)*(CR132-CR131))/(CS131-CS132))^2)^0.5),0))))))</f>
        <v>0</v>
      </c>
      <c s="441" r="DA132">
        <f>IF((CW132&gt;0),(MAX(DA$47:DA131)+1),0)</f>
        <v>0</v>
      </c>
      <c s="388" r="DB132"/>
      <c s="406" r="DC132"/>
      <c s="886" r="DD132"/>
      <c s="886" r="DE132"/>
      <c s="886" r="DF132"/>
      <c s="886" r="DG132"/>
      <c s="418" r="DH132"/>
      <c s="550" r="DI132"/>
      <c s="550" r="DJ132"/>
      <c t="str" s="620" r="DK132">
        <f>IF((COUNT(DJ132:DJ$146,DL132:DL$146)=0),NA(),IF(ISBLANK(DJ132),DK131,(DK131+(DJ132-DL131))))</f>
        <v>#N/A:explicit</v>
      </c>
      <c s="550" r="DL132"/>
      <c t="str" s="620" r="DM132">
        <f>IF(OR(ISBLANK(DL132),ISNUMBER(DJ133)),NA(),(DK132-DL132))</f>
        <v>#N/A:explicit</v>
      </c>
      <c t="b" s="895" r="DN132">
        <v>0</v>
      </c>
      <c s="631" r="DO132"/>
      <c t="str" s="309" r="DP132">
        <f>IF((COUNT(DI132:DI$146)=0),NA(),IF(ISBLANK(DI132),IF(ISBLANK(DI131),MAX(DI$46:DI132),DI131),DI132))</f>
        <v>#N/A:explicit</v>
      </c>
      <c t="str" s="861" r="DQ132">
        <f>IF(ISNA(DM132),IF(ISNUMBER(DP132),DQ131,NA()),DM132)</f>
        <v>#N/A:explicit</v>
      </c>
      <c s="861" r="DR132">
        <f>IF(ISNUMBER(DQ132),DQ132,(DK$46+1000))</f>
        <v>1000</v>
      </c>
      <c t="str" s="588" r="DS132">
        <f>IF((DN132=TRUE),NA(),IF((DS$44=(DK$46-MAX(DL$46:DL$146))),NA(),DS$44))</f>
        <v>#N/A:explicit</v>
      </c>
      <c s="588" r="DT132">
        <f>IF((ISNA(((DQ132*DP132)*DQ131))),0,(IF((DP132&lt;DP131),-1,1)*(IF((DN131=FALSE),IF((DN132=FALSE),IF(ISNA(DQ132),0,IF((DQ131&lt;DS$44),IF((DQ132&lt;DS$44),(((DP132-DP131)^2)^0.5),(((((DS$44-DQ131)*(DP132-DP131))/(DQ132-DQ131))^2)^0.5)),IF((DQ132&lt;DS$44),(((((DS$44-DQ132)*(DP132-DP131))/(DQ131-DQ132))^2)^0.5),0))),0),0))))</f>
        <v>0</v>
      </c>
      <c s="588" r="DU132">
        <f>IF(ISNA((DQ132*DQ131)),0,IF((DN131=FALSE),IF((DN132=FALSE),IF(ISNA(DM132),0,IF((DQ131&lt;DS$44),IF((DQ132&lt;DS$44),((DS$44-((DQ131+DQ132)*0.5))*DT132),(((DS$44-DQ131)*0.5)*DT132)),IF((DQ132&lt;DS$44),(((DS$44-DQ132)*0.5)*DT132),0))),0),0))</f>
        <v>0</v>
      </c>
      <c s="588" r="DV132">
        <f>IF(ISNA((DQ132*DQ131)),0,IF((DN131=FALSE),IF((DN132=FALSE),IF(ISNA(DQ132),0,IF((DQ131&lt;DS$44),IF((DQ132&lt;DS$44),(((DT132^2)+((DQ132-DQ131)^2))^0.5),(((DT132^2)+((DS$44-DQ131)^2))^0.5)),IF((DQ132&lt;DS$44),(((DT132^2)+((DS$44-DQ132)^2))^0.5),0))),0),0))</f>
        <v>0</v>
      </c>
      <c s="588" r="DW132">
        <f>IF(ISNUMBER((DQ132*DQ131)),IF((DQ131&gt;=DC$148),IF((DQ132&lt;DC$148),1,0),IF((DQ132&gt;=DC$148),IF((DQ131&lt;DC$148),1,0),0)),0)</f>
        <v>0</v>
      </c>
      <c s="588" r="DX132">
        <f>IF(ISNA((DQ132*DQ131)),0,(IF((DP132&lt;DP131),-1,1)*(IF(ISNA(DQ132),0,IF((DQ131&lt;DC$148),IF((DQ132&lt;DC$148),(((DP132-DP131)^2)^0.5),(((((DC$148-DQ131)*(DP132-DP131))/(DQ132-DQ131))^2)^0.5)),IF((DQ132&lt;DC$148),(((((DC$148-DQ132)*(DP132-DP131))/(DQ131-DQ132))^2)^0.5),0))))))</f>
        <v>0</v>
      </c>
      <c s="441" r="DY132">
        <f>IF((DU132&gt;0),(MAX(DY$47:DY131)+1),0)</f>
        <v>0</v>
      </c>
      <c s="388" r="DZ132"/>
      <c s="406" r="EA132"/>
      <c s="886" r="EB132"/>
      <c s="886" r="EC132"/>
      <c s="886" r="ED132"/>
      <c s="886" r="EE132"/>
      <c s="418" r="EF132"/>
      <c s="550" r="EG132"/>
      <c s="550" r="EH132"/>
      <c t="str" s="620" r="EI132">
        <f>IF((COUNT(EH132:EH$146,EJ132:EJ$146)=0),NA(),IF(ISBLANK(EH132),EI131,(EI131+(EH132-EJ131))))</f>
        <v>#N/A:explicit</v>
      </c>
      <c s="550" r="EJ132"/>
      <c t="str" s="620" r="EK132">
        <f>IF(OR(ISBLANK(EJ132),ISNUMBER(EH133)),NA(),(EI132-EJ132))</f>
        <v>#N/A:explicit</v>
      </c>
      <c t="b" s="895" r="EL132">
        <v>0</v>
      </c>
      <c s="631" r="EM132"/>
      <c t="str" s="309" r="EN132">
        <f>IF((COUNT(EG132:EG$146)=0),NA(),IF(ISBLANK(EG132),IF(ISBLANK(EG131),MAX(EG$46:EG132),EG131),EG132))</f>
        <v>#N/A:explicit</v>
      </c>
      <c t="str" s="861" r="EO132">
        <f>IF(ISNA(EK132),IF(ISNUMBER(EN132),EO131,NA()),EK132)</f>
        <v>#N/A:explicit</v>
      </c>
      <c s="861" r="EP132">
        <f>IF(ISNUMBER(EO132),EO132,(EI$46+1000))</f>
        <v>1000</v>
      </c>
      <c t="str" s="588" r="EQ132">
        <f>IF((EL132=TRUE),NA(),IF((EQ$44=(EI$46-MAX(EJ$46:EJ$146))),NA(),EQ$44))</f>
        <v>#N/A:explicit</v>
      </c>
      <c s="588" r="ER132">
        <f>IF((ISNA(((EO132*EN132)*EO131))),0,(IF((EN132&lt;EN131),-1,1)*(IF((EL131=FALSE),IF((EL132=FALSE),IF(ISNA(EO132),0,IF((EO131&lt;EQ$44),IF((EO132&lt;EQ$44),(((EN132-EN131)^2)^0.5),(((((EQ$44-EO131)*(EN132-EN131))/(EO132-EO131))^2)^0.5)),IF((EO132&lt;EQ$44),(((((EQ$44-EO132)*(EN132-EN131))/(EO131-EO132))^2)^0.5),0))),0),0))))</f>
        <v>0</v>
      </c>
      <c s="588" r="ES132">
        <f>IF(ISNA((EO132*EO131)),0,IF((EL131=FALSE),IF((EL132=FALSE),IF(ISNA(EK132),0,IF((EO131&lt;EQ$44),IF((EO132&lt;EQ$44),((EQ$44-((EO131+EO132)*0.5))*ER132),(((EQ$44-EO131)*0.5)*ER132)),IF((EO132&lt;EQ$44),(((EQ$44-EO132)*0.5)*ER132),0))),0),0))</f>
        <v>0</v>
      </c>
      <c s="588" r="ET132">
        <f>IF(ISNA((EO132*EO131)),0,IF((EL131=FALSE),IF((EL132=FALSE),IF(ISNA(EO132),0,IF((EO131&lt;EQ$44),IF((EO132&lt;EQ$44),(((ER132^2)+((EO132-EO131)^2))^0.5),(((ER132^2)+((EQ$44-EO131)^2))^0.5)),IF((EO132&lt;EQ$44),(((ER132^2)+((EQ$44-EO132)^2))^0.5),0))),0),0))</f>
        <v>0</v>
      </c>
      <c s="588" r="EU132">
        <f>IF(ISNUMBER((EO132*EO131)),IF((EO131&gt;=EA$148),IF((EO132&lt;EA$148),1,0),IF((EO132&gt;=EA$148),IF((EO131&lt;EA$148),1,0),0)),0)</f>
        <v>0</v>
      </c>
      <c s="588" r="EV132">
        <f>IF(ISNA((EO132*EO131)),0,(IF((EN132&lt;EN131),-1,1)*(IF(ISNA(EO132),0,IF((EO131&lt;EA$148),IF((EO132&lt;EA$148),(((EN132-EN131)^2)^0.5),(((((EA$148-EO131)*(EN132-EN131))/(EO132-EO131))^2)^0.5)),IF((EO132&lt;EA$148),(((((EA$148-EO132)*(EN132-EN131))/(EO131-EO132))^2)^0.5),0))))))</f>
        <v>0</v>
      </c>
      <c s="441" r="EW132">
        <f>IF((ES132&gt;0),(MAX(EW$47:EW131)+1),0)</f>
        <v>0</v>
      </c>
      <c s="388" r="EX132"/>
      <c s="406" r="EY132"/>
      <c s="886" r="EZ132"/>
      <c s="886" r="FA132"/>
      <c s="886" r="FB132"/>
      <c s="886" r="FC132"/>
      <c s="418" r="FD132"/>
      <c s="550" r="FE132"/>
      <c s="550" r="FF132"/>
      <c t="str" s="620" r="FG132">
        <f>IF((COUNT(FF132:FF$146,FH132:FH$146)=0),NA(),IF(ISBLANK(FF132),FG131,(FG131+(FF132-FH131))))</f>
        <v>#N/A:explicit</v>
      </c>
      <c s="550" r="FH132"/>
      <c t="str" s="620" r="FI132">
        <f>IF(OR(ISBLANK(FH132),ISNUMBER(FF133)),NA(),(FG132-FH132))</f>
        <v>#N/A:explicit</v>
      </c>
      <c t="b" s="895" r="FJ132">
        <v>0</v>
      </c>
      <c s="631" r="FK132"/>
      <c t="str" s="309" r="FL132">
        <f>IF((COUNT(FE132:FE$146)=0),NA(),IF(ISBLANK(FE132),IF(ISBLANK(FE131),MAX(FE$46:FE132),FE131),FE132))</f>
        <v>#N/A:explicit</v>
      </c>
      <c t="str" s="861" r="FM132">
        <f>IF(ISNA(FI132),IF(ISNUMBER(FL132),FM131,NA()),FI132)</f>
        <v>#N/A:explicit</v>
      </c>
      <c s="861" r="FN132">
        <f>IF(ISNUMBER(FM132),FM132,(FG$46+1000))</f>
        <v>1000</v>
      </c>
      <c t="str" s="588" r="FO132">
        <f>IF((FJ132=TRUE),NA(),IF((FO$44=(FG$46-MAX(FH$46:FH$146))),NA(),FO$44))</f>
        <v>#N/A:explicit</v>
      </c>
      <c s="588" r="FP132">
        <f>IF((ISNA(((FM132*FL132)*FM131))),0,(IF((FL132&lt;FL131),-1,1)*(IF((FJ131=FALSE),IF((FJ132=FALSE),IF(ISNA(FM132),0,IF((FM131&lt;FO$44),IF((FM132&lt;FO$44),(((FL132-FL131)^2)^0.5),(((((FO$44-FM131)*(FL132-FL131))/(FM132-FM131))^2)^0.5)),IF((FM132&lt;FO$44),(((((FO$44-FM132)*(FL132-FL131))/(FM131-FM132))^2)^0.5),0))),0),0))))</f>
        <v>0</v>
      </c>
      <c s="588" r="FQ132">
        <f>IF(ISNA((FM132*FM131)),0,IF((FJ131=FALSE),IF((FJ132=FALSE),IF(ISNA(FI132),0,IF((FM131&lt;FO$44),IF((FM132&lt;FO$44),((FO$44-((FM131+FM132)*0.5))*FP132),(((FO$44-FM131)*0.5)*FP132)),IF((FM132&lt;FO$44),(((FO$44-FM132)*0.5)*FP132),0))),0),0))</f>
        <v>0</v>
      </c>
      <c s="588" r="FR132">
        <f>IF(ISNA((FM132*FM131)),0,IF((FJ131=FALSE),IF((FJ132=FALSE),IF(ISNA(FM132),0,IF((FM131&lt;FO$44),IF((FM132&lt;FO$44),(((FP132^2)+((FM132-FM131)^2))^0.5),(((FP132^2)+((FO$44-FM131)^2))^0.5)),IF((FM132&lt;FO$44),(((FP132^2)+((FO$44-FM132)^2))^0.5),0))),0),0))</f>
        <v>0</v>
      </c>
      <c s="588" r="FS132">
        <f>IF(ISNUMBER((FM132*FM131)),IF((FM131&gt;=EY$148),IF((FM132&lt;EY$148),1,0),IF((FM132&gt;=EY$148),IF((FM131&lt;EY$148),1,0),0)),0)</f>
        <v>0</v>
      </c>
      <c s="588" r="FT132">
        <f>IF(ISNA((FM132*FM131)),0,(IF((FL132&lt;FL131),-1,1)*(IF(ISNA(FM132),0,IF((FM131&lt;EY$148),IF((FM132&lt;EY$148),(((FL132-FL131)^2)^0.5),(((((EY$148-FM131)*(FL132-FL131))/(FM132-FM131))^2)^0.5)),IF((FM132&lt;EY$148),(((((EY$148-FM132)*(FL132-FL131))/(FM131-FM132))^2)^0.5),0))))))</f>
        <v>0</v>
      </c>
      <c s="441" r="FU132">
        <f>IF((FQ132&gt;0),(MAX(FU$47:FU131)+1),0)</f>
        <v>0</v>
      </c>
      <c s="222" r="FV132"/>
      <c s="125" r="FW132"/>
      <c s="125" r="FX132"/>
      <c s="125" r="FY132"/>
      <c s="125" r="FZ132"/>
      <c s="125" r="GA132"/>
      <c s="125" r="GB132"/>
      <c s="125" r="GC132"/>
      <c s="125" r="GD132"/>
      <c s="125" r="GE132"/>
      <c s="125" r="GF132"/>
      <c s="125" r="GG132"/>
      <c s="125" r="GH132"/>
      <c s="125" r="GI132"/>
      <c s="125" r="GJ132"/>
      <c s="125" r="GK132"/>
      <c s="125" r="GL132"/>
      <c s="125" r="GM132"/>
      <c s="125" r="GN132"/>
      <c s="125" r="GO132"/>
      <c s="125" r="GP132"/>
      <c s="125" r="GQ132"/>
      <c s="125" r="GR132"/>
      <c s="125" r="GS132"/>
      <c s="125" r="GT132"/>
      <c s="125" r="GU132"/>
      <c s="125" r="GV132"/>
      <c s="125" r="GW132"/>
      <c s="125" r="GX132"/>
      <c s="125" r="GY132"/>
      <c s="125" r="GZ132"/>
      <c s="125" r="HA132"/>
      <c s="125" r="HB132"/>
    </row>
    <row r="133">
      <c s="761" r="A133"/>
      <c s="761" r="B133"/>
      <c s="761" r="C133"/>
      <c s="761" r="D133"/>
      <c s="761" r="E133"/>
      <c s="761" r="F133"/>
      <c s="761" r="G133"/>
      <c s="761" r="H133"/>
      <c s="761" r="I133"/>
      <c s="822" r="J133"/>
      <c s="406" r="K133"/>
      <c s="886" r="L133"/>
      <c s="886" r="M133"/>
      <c s="886" r="N133"/>
      <c s="886" r="O133"/>
      <c s="418" r="P133"/>
      <c s="550" r="Q133"/>
      <c s="550" r="R133"/>
      <c t="str" s="620" r="S133">
        <f>IF((COUNT(R133:R$146,T133:T$146)=0),NA(),IF(ISBLANK(R133),S132,(S132+(R133-T132))))</f>
        <v>#N/A:explicit</v>
      </c>
      <c s="550" r="T133"/>
      <c t="str" s="620" r="U133">
        <f>IF(OR(ISBLANK(T133),ISNUMBER(R134)),NA(),(S133-T133))</f>
        <v>#N/A:explicit</v>
      </c>
      <c t="b" s="895" r="V133">
        <v>0</v>
      </c>
      <c s="631" r="W133"/>
      <c t="str" s="309" r="X133">
        <f>IF((COUNT(Q133:Q$146)=0),NA(),IF(ISBLANK(Q133),IF(ISBLANK(Q132),MAX(Q$46:Q133),Q132),Q133))</f>
        <v>#N/A:explicit</v>
      </c>
      <c t="str" s="861" r="Y133">
        <f>IF(ISNA(U133),IF(ISNUMBER(X133),Y132,NA()),U133)</f>
        <v>#N/A:explicit</v>
      </c>
      <c s="861" r="Z133">
        <f>IF(ISNUMBER(Y133),Y133,(S$46+1000))</f>
        <v>1000</v>
      </c>
      <c t="str" s="588" r="AA133">
        <f>IF((V133=TRUE),NA(),IF((AA$44=(S$46-MAX(T$46:T$146))),NA(),AA$44))</f>
        <v>#N/A:explicit</v>
      </c>
      <c s="588" r="AB133">
        <f>IF((ISNA(((Y133*X133)*Y132))),0,(IF((X133&lt;X132),-1,1)*(IF((V132=FALSE),IF((V133=FALSE),IF(ISNA(Y133),0,IF((Y132&lt;AA$44),IF((Y133&lt;AA$44),(((X133-X132)^2)^0.5),(((((AA$44-Y132)*(X133-X132))/(Y133-Y132))^2)^0.5)),IF((Y133&lt;AA$44),(((((AA$44-Y133)*(X133-X132))/(Y132-Y133))^2)^0.5),0))),0),0))))</f>
        <v>0</v>
      </c>
      <c s="588" r="AC133">
        <f>IF(ISNA((Y133*Y132)),0,IF((V132=FALSE),IF((V133=FALSE),IF(ISNA(U133),0,IF((Y132&lt;AA$44),IF((Y133&lt;AA$44),((AA$44-((Y132+Y133)*0.5))*AB133),(((AA$44-Y132)*0.5)*AB133)),IF((Y133&lt;AA$44),(((AA$44-Y133)*0.5)*AB133),0))),0),0))</f>
        <v>0</v>
      </c>
      <c s="588" r="AD133">
        <f>IF(ISNA((Y133*Y132)),0,IF((V132=FALSE),IF((V133=FALSE),IF(ISNA(Y133),0,IF((Y132&lt;AA$44),IF((Y133&lt;AA$44),(((AB133^2)+((Y133-Y132)^2))^0.5),(((AB133^2)+((AA$44-Y132)^2))^0.5)),IF((Y133&lt;AA$44),(((AB133^2)+((AA$44-Y133)^2))^0.5),0))),0),0))</f>
        <v>0</v>
      </c>
      <c s="588" r="AE133">
        <f>IF(ISNUMBER((Y133*Y132)),IF((Y132&gt;=K$148),IF((Y133&lt;K$148),1,0),IF((Y133&gt;=K$148),IF((Y132&lt;K$148),1,0),0)),0)</f>
        <v>0</v>
      </c>
      <c s="588" r="AF133">
        <f>IF(ISNA((Y133*Y132)),0,(IF((X133&lt;X132),-1,1)*(IF(ISNA(Y133),0,IF((Y132&lt;K$148),IF((Y133&lt;K$148),(((X133-X132)^2)^0.5),(((((K$148-Y132)*(X133-X132))/(Y133-Y132))^2)^0.5)),IF((Y133&lt;K$148),(((((K$148-Y133)*(X133-X132))/(Y132-Y133))^2)^0.5),0))))))</f>
        <v>0</v>
      </c>
      <c s="441" r="AG133">
        <f>IF((AC133&gt;0),(MAX(AG$47:AG132)+1),0)</f>
        <v>0</v>
      </c>
      <c s="388" r="AH133"/>
      <c s="406" r="AI133"/>
      <c s="886" r="AJ133"/>
      <c s="886" r="AK133"/>
      <c s="886" r="AL133"/>
      <c s="886" r="AM133"/>
      <c s="418" r="AN133"/>
      <c s="550" r="AO133"/>
      <c s="550" r="AP133"/>
      <c t="str" s="620" r="AQ133">
        <f>IF((COUNT(AP133:AP$146,AR133:AR$146)=0),NA(),IF(ISBLANK(AP133),AQ132,(AQ132+(AP133-AR132))))</f>
        <v>#N/A:explicit</v>
      </c>
      <c s="550" r="AR133"/>
      <c t="str" s="620" r="AS133">
        <f>IF(OR(ISBLANK(AR133),ISNUMBER(AP134)),NA(),(AQ133-AR133))</f>
        <v>#N/A:explicit</v>
      </c>
      <c t="b" s="895" r="AT133">
        <v>0</v>
      </c>
      <c s="631" r="AU133"/>
      <c t="str" s="309" r="AV133">
        <f>IF((COUNT(AO133:AO$146)=0),NA(),IF(ISBLANK(AO133),IF(ISBLANK(AO132),MAX(AO$46:AO133),AO132),AO133))</f>
        <v>#N/A:explicit</v>
      </c>
      <c t="str" s="861" r="AW133">
        <f>IF(ISNA(AS133),IF(ISNUMBER(AV133),AW132,NA()),AS133)</f>
        <v>#N/A:explicit</v>
      </c>
      <c s="861" r="AX133">
        <f>IF(ISNUMBER(AW133),AW133,(AQ$46+1000))</f>
        <v>1000</v>
      </c>
      <c t="str" s="588" r="AY133">
        <f>IF((AT133=TRUE),NA(),IF((AY$44=(AQ$46-MAX(AR$46:AR$146))),NA(),AY$44))</f>
        <v>#N/A:explicit</v>
      </c>
      <c s="588" r="AZ133">
        <f>IF((ISNA(((AW133*AV133)*AW132))),0,(IF((AV133&lt;AV132),-1,1)*(IF((AT132=FALSE),IF((AT133=FALSE),IF(ISNA(AW133),0,IF((AW132&lt;AY$44),IF((AW133&lt;AY$44),(((AV133-AV132)^2)^0.5),(((((AY$44-AW132)*(AV133-AV132))/(AW133-AW132))^2)^0.5)),IF((AW133&lt;AY$44),(((((AY$44-AW133)*(AV133-AV132))/(AW132-AW133))^2)^0.5),0))),0),0))))</f>
        <v>0</v>
      </c>
      <c s="588" r="BA133">
        <f>IF(ISNA((AW133*AW132)),0,IF((AT132=FALSE),IF((AT133=FALSE),IF(ISNA(AS133),0,IF((AW132&lt;AY$44),IF((AW133&lt;AY$44),((AY$44-((AW132+AW133)*0.5))*AZ133),(((AY$44-AW132)*0.5)*AZ133)),IF((AW133&lt;AY$44),(((AY$44-AW133)*0.5)*AZ133),0))),0),0))</f>
        <v>0</v>
      </c>
      <c s="588" r="BB133">
        <f>IF(ISNA((AW133*AW132)),0,IF((AT132=FALSE),IF((AT133=FALSE),IF(ISNA(AW133),0,IF((AW132&lt;AY$44),IF((AW133&lt;AY$44),(((AZ133^2)+((AW133-AW132)^2))^0.5),(((AZ133^2)+((AY$44-AW132)^2))^0.5)),IF((AW133&lt;AY$44),(((AZ133^2)+((AY$44-AW133)^2))^0.5),0))),0),0))</f>
        <v>0</v>
      </c>
      <c s="588" r="BC133">
        <f>IF(ISNUMBER((AW133*AW132)),IF((AW132&gt;=AI$148),IF((AW133&lt;AI$148),1,0),IF((AW133&gt;=AI$148),IF((AW132&lt;AI$148),1,0),0)),0)</f>
        <v>0</v>
      </c>
      <c s="588" r="BD133">
        <f>IF(ISNA((AW133*AW132)),0,(IF((AV133&lt;AV132),-1,1)*(IF(ISNA(AW133),0,IF((AW132&lt;AI$148),IF((AW133&lt;AI$148),(((AV133-AV132)^2)^0.5),(((((AI$148-AW132)*(AV133-AV132))/(AW133-AW132))^2)^0.5)),IF((AW133&lt;AI$148),(((((AI$148-AW133)*(AV133-AV132))/(AW132-AW133))^2)^0.5),0))))))</f>
        <v>0</v>
      </c>
      <c s="441" r="BE133">
        <f>IF((BA133&gt;0),(MAX(BE$47:BE132)+1),0)</f>
        <v>0</v>
      </c>
      <c s="388" r="BF133"/>
      <c s="406" r="BG133"/>
      <c s="886" r="BH133"/>
      <c s="886" r="BI133"/>
      <c s="886" r="BJ133"/>
      <c s="886" r="BK133"/>
      <c s="418" r="BL133"/>
      <c s="550" r="BM133"/>
      <c s="550" r="BN133"/>
      <c t="str" s="620" r="BO133">
        <f>IF((COUNT(BN133:BN$146,BP133:BP$146)=0),NA(),IF(ISBLANK(BN133),BO132,(BO132+(BN133-BP132))))</f>
        <v>#N/A:explicit</v>
      </c>
      <c s="550" r="BP133"/>
      <c t="str" s="620" r="BQ133">
        <f>IF(OR(ISBLANK(BP133),ISNUMBER(BN134)),NA(),(BO133-BP133))</f>
        <v>#N/A:explicit</v>
      </c>
      <c t="b" s="895" r="BR133">
        <v>0</v>
      </c>
      <c s="631" r="BS133"/>
      <c t="str" s="309" r="BT133">
        <f>IF((COUNT(BM133:BM$146)=0),NA(),IF(ISBLANK(BM133),IF(ISBLANK(BM132),MAX(BM$46:BM133),BM132),BM133))</f>
        <v>#N/A:explicit</v>
      </c>
      <c t="str" s="861" r="BU133">
        <f>IF(ISNA(BQ133),IF(ISNUMBER(BT133),BU132,NA()),BQ133)</f>
        <v>#N/A:explicit</v>
      </c>
      <c s="861" r="BV133">
        <f>IF(ISNUMBER(BU133),BU133,(BO$46+1000))</f>
        <v>1000</v>
      </c>
      <c t="str" s="588" r="BW133">
        <f>IF((BR133=TRUE),NA(),IF((BW$44=(BO$46-MAX(BP$46:BP$146))),NA(),BW$44))</f>
        <v>#N/A:explicit</v>
      </c>
      <c s="588" r="BX133">
        <f>IF((ISNA(((BU133*BT133)*BU132))),0,(IF((BT133&lt;BT132),-1,1)*(IF((BR132=FALSE),IF((BR133=FALSE),IF(ISNA(BU133),0,IF((BU132&lt;BW$44),IF((BU133&lt;BW$44),(((BT133-BT132)^2)^0.5),(((((BW$44-BU132)*(BT133-BT132))/(BU133-BU132))^2)^0.5)),IF((BU133&lt;BW$44),(((((BW$44-BU133)*(BT133-BT132))/(BU132-BU133))^2)^0.5),0))),0),0))))</f>
        <v>0</v>
      </c>
      <c s="588" r="BY133">
        <f>IF(ISNA((BU133*BU132)),0,IF((BR132=FALSE),IF((BR133=FALSE),IF(ISNA(BQ133),0,IF((BU132&lt;BW$44),IF((BU133&lt;BW$44),((BW$44-((BU132+BU133)*0.5))*BX133),(((BW$44-BU132)*0.5)*BX133)),IF((BU133&lt;BW$44),(((BW$44-BU133)*0.5)*BX133),0))),0),0))</f>
        <v>0</v>
      </c>
      <c s="588" r="BZ133">
        <f>IF(ISNA((BU133*BU132)),0,IF((BR132=FALSE),IF((BR133=FALSE),IF(ISNA(BU133),0,IF((BU132&lt;BW$44),IF((BU133&lt;BW$44),(((BX133^2)+((BU133-BU132)^2))^0.5),(((BX133^2)+((BW$44-BU132)^2))^0.5)),IF((BU133&lt;BW$44),(((BX133^2)+((BW$44-BU133)^2))^0.5),0))),0),0))</f>
        <v>0</v>
      </c>
      <c s="588" r="CA133">
        <f>IF(ISNUMBER((BU133*BU132)),IF((BU132&gt;=BG$148),IF((BU133&lt;BG$148),1,0),IF((BU133&gt;=BG$148),IF((BU132&lt;BG$148),1,0),0)),0)</f>
        <v>0</v>
      </c>
      <c s="588" r="CB133">
        <f>IF(ISNA((BU133*BU132)),0,(IF((BT133&lt;BT132),-1,1)*(IF(ISNA(BU133),0,IF((BU132&lt;BG$148),IF((BU133&lt;BG$148),(((BT133-BT132)^2)^0.5),(((((BG$148-BU132)*(BT133-BT132))/(BU133-BU132))^2)^0.5)),IF((BU133&lt;BG$148),(((((BG$148-BU133)*(BT133-BT132))/(BU132-BU133))^2)^0.5),0))))))</f>
        <v>0</v>
      </c>
      <c s="441" r="CC133">
        <f>IF((BY133&gt;0),(MAX(CC$47:CC132)+1),0)</f>
        <v>0</v>
      </c>
      <c s="388" r="CD133"/>
      <c s="406" r="CE133"/>
      <c s="886" r="CF133"/>
      <c s="886" r="CG133"/>
      <c s="886" r="CH133"/>
      <c s="886" r="CI133"/>
      <c s="418" r="CJ133"/>
      <c s="550" r="CK133"/>
      <c s="550" r="CL133"/>
      <c t="str" s="620" r="CM133">
        <f>IF((COUNT(CL133:CL$146,CN133:CN$146)=0),NA(),IF(ISBLANK(CL133),CM132,(CM132+(CL133-CN132))))</f>
        <v>#N/A:explicit</v>
      </c>
      <c s="550" r="CN133"/>
      <c t="str" s="620" r="CO133">
        <f>IF(OR(ISBLANK(CN133),ISNUMBER(CL134)),NA(),(CM133-CN133))</f>
        <v>#N/A:explicit</v>
      </c>
      <c t="b" s="895" r="CP133">
        <v>0</v>
      </c>
      <c s="631" r="CQ133"/>
      <c t="str" s="309" r="CR133">
        <f>IF((COUNT(CK133:CK$146)=0),NA(),IF(ISBLANK(CK133),IF(ISBLANK(CK132),MAX(CK$46:CK133),CK132),CK133))</f>
        <v>#N/A:explicit</v>
      </c>
      <c t="str" s="861" r="CS133">
        <f>IF(ISNA(CO133),IF(ISNUMBER(CR133),CS132,NA()),CO133)</f>
        <v>#N/A:explicit</v>
      </c>
      <c s="861" r="CT133">
        <f>IF(ISNUMBER(CS133),CS133,(CM$46+1000))</f>
        <v>1000</v>
      </c>
      <c t="str" s="588" r="CU133">
        <f>IF((CP133=TRUE),NA(),IF((CU$44=(CM$46-MAX(CN$46:CN$146))),NA(),CU$44))</f>
        <v>#N/A:explicit</v>
      </c>
      <c s="588" r="CV133">
        <f>IF((ISNA(((CS133*CR133)*CS132))),0,(IF((CR133&lt;CR132),-1,1)*(IF((CP132=FALSE),IF((CP133=FALSE),IF(ISNA(CS133),0,IF((CS132&lt;CU$44),IF((CS133&lt;CU$44),(((CR133-CR132)^2)^0.5),(((((CU$44-CS132)*(CR133-CR132))/(CS133-CS132))^2)^0.5)),IF((CS133&lt;CU$44),(((((CU$44-CS133)*(CR133-CR132))/(CS132-CS133))^2)^0.5),0))),0),0))))</f>
        <v>0</v>
      </c>
      <c s="588" r="CW133">
        <f>IF(ISNA((CS133*CS132)),0,IF((CP132=FALSE),IF((CP133=FALSE),IF(ISNA(CO133),0,IF((CS132&lt;CU$44),IF((CS133&lt;CU$44),((CU$44-((CS132+CS133)*0.5))*CV133),(((CU$44-CS132)*0.5)*CV133)),IF((CS133&lt;CU$44),(((CU$44-CS133)*0.5)*CV133),0))),0),0))</f>
        <v>0</v>
      </c>
      <c s="588" r="CX133">
        <f>IF(ISNA((CS133*CS132)),0,IF((CP132=FALSE),IF((CP133=FALSE),IF(ISNA(CS133),0,IF((CS132&lt;CU$44),IF((CS133&lt;CU$44),(((CV133^2)+((CS133-CS132)^2))^0.5),(((CV133^2)+((CU$44-CS132)^2))^0.5)),IF((CS133&lt;CU$44),(((CV133^2)+((CU$44-CS133)^2))^0.5),0))),0),0))</f>
        <v>0</v>
      </c>
      <c s="588" r="CY133">
        <f>IF(ISNUMBER((CS133*CS132)),IF((CS132&gt;=CE$148),IF((CS133&lt;CE$148),1,0),IF((CS133&gt;=CE$148),IF((CS132&lt;CE$148),1,0),0)),0)</f>
        <v>0</v>
      </c>
      <c s="588" r="CZ133">
        <f>IF(ISNA((CS133*CS132)),0,(IF((CR133&lt;CR132),-1,1)*(IF(ISNA(CS133),0,IF((CS132&lt;CE$148),IF((CS133&lt;CE$148),(((CR133-CR132)^2)^0.5),(((((CE$148-CS132)*(CR133-CR132))/(CS133-CS132))^2)^0.5)),IF((CS133&lt;CE$148),(((((CE$148-CS133)*(CR133-CR132))/(CS132-CS133))^2)^0.5),0))))))</f>
        <v>0</v>
      </c>
      <c s="441" r="DA133">
        <f>IF((CW133&gt;0),(MAX(DA$47:DA132)+1),0)</f>
        <v>0</v>
      </c>
      <c s="388" r="DB133"/>
      <c s="406" r="DC133"/>
      <c s="886" r="DD133"/>
      <c s="886" r="DE133"/>
      <c s="886" r="DF133"/>
      <c s="886" r="DG133"/>
      <c s="418" r="DH133"/>
      <c s="550" r="DI133"/>
      <c s="550" r="DJ133"/>
      <c t="str" s="620" r="DK133">
        <f>IF((COUNT(DJ133:DJ$146,DL133:DL$146)=0),NA(),IF(ISBLANK(DJ133),DK132,(DK132+(DJ133-DL132))))</f>
        <v>#N/A:explicit</v>
      </c>
      <c s="550" r="DL133"/>
      <c t="str" s="620" r="DM133">
        <f>IF(OR(ISBLANK(DL133),ISNUMBER(DJ134)),NA(),(DK133-DL133))</f>
        <v>#N/A:explicit</v>
      </c>
      <c t="b" s="895" r="DN133">
        <v>0</v>
      </c>
      <c s="631" r="DO133"/>
      <c t="str" s="309" r="DP133">
        <f>IF((COUNT(DI133:DI$146)=0),NA(),IF(ISBLANK(DI133),IF(ISBLANK(DI132),MAX(DI$46:DI133),DI132),DI133))</f>
        <v>#N/A:explicit</v>
      </c>
      <c t="str" s="861" r="DQ133">
        <f>IF(ISNA(DM133),IF(ISNUMBER(DP133),DQ132,NA()),DM133)</f>
        <v>#N/A:explicit</v>
      </c>
      <c s="861" r="DR133">
        <f>IF(ISNUMBER(DQ133),DQ133,(DK$46+1000))</f>
        <v>1000</v>
      </c>
      <c t="str" s="588" r="DS133">
        <f>IF((DN133=TRUE),NA(),IF((DS$44=(DK$46-MAX(DL$46:DL$146))),NA(),DS$44))</f>
        <v>#N/A:explicit</v>
      </c>
      <c s="588" r="DT133">
        <f>IF((ISNA(((DQ133*DP133)*DQ132))),0,(IF((DP133&lt;DP132),-1,1)*(IF((DN132=FALSE),IF((DN133=FALSE),IF(ISNA(DQ133),0,IF((DQ132&lt;DS$44),IF((DQ133&lt;DS$44),(((DP133-DP132)^2)^0.5),(((((DS$44-DQ132)*(DP133-DP132))/(DQ133-DQ132))^2)^0.5)),IF((DQ133&lt;DS$44),(((((DS$44-DQ133)*(DP133-DP132))/(DQ132-DQ133))^2)^0.5),0))),0),0))))</f>
        <v>0</v>
      </c>
      <c s="588" r="DU133">
        <f>IF(ISNA((DQ133*DQ132)),0,IF((DN132=FALSE),IF((DN133=FALSE),IF(ISNA(DM133),0,IF((DQ132&lt;DS$44),IF((DQ133&lt;DS$44),((DS$44-((DQ132+DQ133)*0.5))*DT133),(((DS$44-DQ132)*0.5)*DT133)),IF((DQ133&lt;DS$44),(((DS$44-DQ133)*0.5)*DT133),0))),0),0))</f>
        <v>0</v>
      </c>
      <c s="588" r="DV133">
        <f>IF(ISNA((DQ133*DQ132)),0,IF((DN132=FALSE),IF((DN133=FALSE),IF(ISNA(DQ133),0,IF((DQ132&lt;DS$44),IF((DQ133&lt;DS$44),(((DT133^2)+((DQ133-DQ132)^2))^0.5),(((DT133^2)+((DS$44-DQ132)^2))^0.5)),IF((DQ133&lt;DS$44),(((DT133^2)+((DS$44-DQ133)^2))^0.5),0))),0),0))</f>
        <v>0</v>
      </c>
      <c s="588" r="DW133">
        <f>IF(ISNUMBER((DQ133*DQ132)),IF((DQ132&gt;=DC$148),IF((DQ133&lt;DC$148),1,0),IF((DQ133&gt;=DC$148),IF((DQ132&lt;DC$148),1,0),0)),0)</f>
        <v>0</v>
      </c>
      <c s="588" r="DX133">
        <f>IF(ISNA((DQ133*DQ132)),0,(IF((DP133&lt;DP132),-1,1)*(IF(ISNA(DQ133),0,IF((DQ132&lt;DC$148),IF((DQ133&lt;DC$148),(((DP133-DP132)^2)^0.5),(((((DC$148-DQ132)*(DP133-DP132))/(DQ133-DQ132))^2)^0.5)),IF((DQ133&lt;DC$148),(((((DC$148-DQ133)*(DP133-DP132))/(DQ132-DQ133))^2)^0.5),0))))))</f>
        <v>0</v>
      </c>
      <c s="441" r="DY133">
        <f>IF((DU133&gt;0),(MAX(DY$47:DY132)+1),0)</f>
        <v>0</v>
      </c>
      <c s="388" r="DZ133"/>
      <c s="406" r="EA133"/>
      <c s="886" r="EB133"/>
      <c s="886" r="EC133"/>
      <c s="886" r="ED133"/>
      <c s="886" r="EE133"/>
      <c s="418" r="EF133"/>
      <c s="550" r="EG133"/>
      <c s="550" r="EH133"/>
      <c t="str" s="620" r="EI133">
        <f>IF((COUNT(EH133:EH$146,EJ133:EJ$146)=0),NA(),IF(ISBLANK(EH133),EI132,(EI132+(EH133-EJ132))))</f>
        <v>#N/A:explicit</v>
      </c>
      <c s="550" r="EJ133"/>
      <c t="str" s="620" r="EK133">
        <f>IF(OR(ISBLANK(EJ133),ISNUMBER(EH134)),NA(),(EI133-EJ133))</f>
        <v>#N/A:explicit</v>
      </c>
      <c t="b" s="895" r="EL133">
        <v>0</v>
      </c>
      <c s="631" r="EM133"/>
      <c t="str" s="309" r="EN133">
        <f>IF((COUNT(EG133:EG$146)=0),NA(),IF(ISBLANK(EG133),IF(ISBLANK(EG132),MAX(EG$46:EG133),EG132),EG133))</f>
        <v>#N/A:explicit</v>
      </c>
      <c t="str" s="861" r="EO133">
        <f>IF(ISNA(EK133),IF(ISNUMBER(EN133),EO132,NA()),EK133)</f>
        <v>#N/A:explicit</v>
      </c>
      <c s="861" r="EP133">
        <f>IF(ISNUMBER(EO133),EO133,(EI$46+1000))</f>
        <v>1000</v>
      </c>
      <c t="str" s="588" r="EQ133">
        <f>IF((EL133=TRUE),NA(),IF((EQ$44=(EI$46-MAX(EJ$46:EJ$146))),NA(),EQ$44))</f>
        <v>#N/A:explicit</v>
      </c>
      <c s="588" r="ER133">
        <f>IF((ISNA(((EO133*EN133)*EO132))),0,(IF((EN133&lt;EN132),-1,1)*(IF((EL132=FALSE),IF((EL133=FALSE),IF(ISNA(EO133),0,IF((EO132&lt;EQ$44),IF((EO133&lt;EQ$44),(((EN133-EN132)^2)^0.5),(((((EQ$44-EO132)*(EN133-EN132))/(EO133-EO132))^2)^0.5)),IF((EO133&lt;EQ$44),(((((EQ$44-EO133)*(EN133-EN132))/(EO132-EO133))^2)^0.5),0))),0),0))))</f>
        <v>0</v>
      </c>
      <c s="588" r="ES133">
        <f>IF(ISNA((EO133*EO132)),0,IF((EL132=FALSE),IF((EL133=FALSE),IF(ISNA(EK133),0,IF((EO132&lt;EQ$44),IF((EO133&lt;EQ$44),((EQ$44-((EO132+EO133)*0.5))*ER133),(((EQ$44-EO132)*0.5)*ER133)),IF((EO133&lt;EQ$44),(((EQ$44-EO133)*0.5)*ER133),0))),0),0))</f>
        <v>0</v>
      </c>
      <c s="588" r="ET133">
        <f>IF(ISNA((EO133*EO132)),0,IF((EL132=FALSE),IF((EL133=FALSE),IF(ISNA(EO133),0,IF((EO132&lt;EQ$44),IF((EO133&lt;EQ$44),(((ER133^2)+((EO133-EO132)^2))^0.5),(((ER133^2)+((EQ$44-EO132)^2))^0.5)),IF((EO133&lt;EQ$44),(((ER133^2)+((EQ$44-EO133)^2))^0.5),0))),0),0))</f>
        <v>0</v>
      </c>
      <c s="588" r="EU133">
        <f>IF(ISNUMBER((EO133*EO132)),IF((EO132&gt;=EA$148),IF((EO133&lt;EA$148),1,0),IF((EO133&gt;=EA$148),IF((EO132&lt;EA$148),1,0),0)),0)</f>
        <v>0</v>
      </c>
      <c s="588" r="EV133">
        <f>IF(ISNA((EO133*EO132)),0,(IF((EN133&lt;EN132),-1,1)*(IF(ISNA(EO133),0,IF((EO132&lt;EA$148),IF((EO133&lt;EA$148),(((EN133-EN132)^2)^0.5),(((((EA$148-EO132)*(EN133-EN132))/(EO133-EO132))^2)^0.5)),IF((EO133&lt;EA$148),(((((EA$148-EO133)*(EN133-EN132))/(EO132-EO133))^2)^0.5),0))))))</f>
        <v>0</v>
      </c>
      <c s="441" r="EW133">
        <f>IF((ES133&gt;0),(MAX(EW$47:EW132)+1),0)</f>
        <v>0</v>
      </c>
      <c s="388" r="EX133"/>
      <c s="406" r="EY133"/>
      <c s="886" r="EZ133"/>
      <c s="886" r="FA133"/>
      <c s="886" r="FB133"/>
      <c s="886" r="FC133"/>
      <c s="418" r="FD133"/>
      <c s="550" r="FE133"/>
      <c s="550" r="FF133"/>
      <c t="str" s="620" r="FG133">
        <f>IF((COUNT(FF133:FF$146,FH133:FH$146)=0),NA(),IF(ISBLANK(FF133),FG132,(FG132+(FF133-FH132))))</f>
        <v>#N/A:explicit</v>
      </c>
      <c s="550" r="FH133"/>
      <c t="str" s="620" r="FI133">
        <f>IF(OR(ISBLANK(FH133),ISNUMBER(FF134)),NA(),(FG133-FH133))</f>
        <v>#N/A:explicit</v>
      </c>
      <c t="b" s="895" r="FJ133">
        <v>0</v>
      </c>
      <c s="631" r="FK133"/>
      <c t="str" s="309" r="FL133">
        <f>IF((COUNT(FE133:FE$146)=0),NA(),IF(ISBLANK(FE133),IF(ISBLANK(FE132),MAX(FE$46:FE133),FE132),FE133))</f>
        <v>#N/A:explicit</v>
      </c>
      <c t="str" s="861" r="FM133">
        <f>IF(ISNA(FI133),IF(ISNUMBER(FL133),FM132,NA()),FI133)</f>
        <v>#N/A:explicit</v>
      </c>
      <c s="861" r="FN133">
        <f>IF(ISNUMBER(FM133),FM133,(FG$46+1000))</f>
        <v>1000</v>
      </c>
      <c t="str" s="588" r="FO133">
        <f>IF((FJ133=TRUE),NA(),IF((FO$44=(FG$46-MAX(FH$46:FH$146))),NA(),FO$44))</f>
        <v>#N/A:explicit</v>
      </c>
      <c s="588" r="FP133">
        <f>IF((ISNA(((FM133*FL133)*FM132))),0,(IF((FL133&lt;FL132),-1,1)*(IF((FJ132=FALSE),IF((FJ133=FALSE),IF(ISNA(FM133),0,IF((FM132&lt;FO$44),IF((FM133&lt;FO$44),(((FL133-FL132)^2)^0.5),(((((FO$44-FM132)*(FL133-FL132))/(FM133-FM132))^2)^0.5)),IF((FM133&lt;FO$44),(((((FO$44-FM133)*(FL133-FL132))/(FM132-FM133))^2)^0.5),0))),0),0))))</f>
        <v>0</v>
      </c>
      <c s="588" r="FQ133">
        <f>IF(ISNA((FM133*FM132)),0,IF((FJ132=FALSE),IF((FJ133=FALSE),IF(ISNA(FI133),0,IF((FM132&lt;FO$44),IF((FM133&lt;FO$44),((FO$44-((FM132+FM133)*0.5))*FP133),(((FO$44-FM132)*0.5)*FP133)),IF((FM133&lt;FO$44),(((FO$44-FM133)*0.5)*FP133),0))),0),0))</f>
        <v>0</v>
      </c>
      <c s="588" r="FR133">
        <f>IF(ISNA((FM133*FM132)),0,IF((FJ132=FALSE),IF((FJ133=FALSE),IF(ISNA(FM133),0,IF((FM132&lt;FO$44),IF((FM133&lt;FO$44),(((FP133^2)+((FM133-FM132)^2))^0.5),(((FP133^2)+((FO$44-FM132)^2))^0.5)),IF((FM133&lt;FO$44),(((FP133^2)+((FO$44-FM133)^2))^0.5),0))),0),0))</f>
        <v>0</v>
      </c>
      <c s="588" r="FS133">
        <f>IF(ISNUMBER((FM133*FM132)),IF((FM132&gt;=EY$148),IF((FM133&lt;EY$148),1,0),IF((FM133&gt;=EY$148),IF((FM132&lt;EY$148),1,0),0)),0)</f>
        <v>0</v>
      </c>
      <c s="588" r="FT133">
        <f>IF(ISNA((FM133*FM132)),0,(IF((FL133&lt;FL132),-1,1)*(IF(ISNA(FM133),0,IF((FM132&lt;EY$148),IF((FM133&lt;EY$148),(((FL133-FL132)^2)^0.5),(((((EY$148-FM132)*(FL133-FL132))/(FM133-FM132))^2)^0.5)),IF((FM133&lt;EY$148),(((((EY$148-FM133)*(FL133-FL132))/(FM132-FM133))^2)^0.5),0))))))</f>
        <v>0</v>
      </c>
      <c s="441" r="FU133">
        <f>IF((FQ133&gt;0),(MAX(FU$47:FU132)+1),0)</f>
        <v>0</v>
      </c>
      <c s="222" r="FV133"/>
      <c s="125" r="FW133"/>
      <c s="125" r="FX133"/>
      <c s="125" r="FY133"/>
      <c s="125" r="FZ133"/>
      <c s="125" r="GA133"/>
      <c s="125" r="GB133"/>
      <c s="125" r="GC133"/>
      <c s="125" r="GD133"/>
      <c s="125" r="GE133"/>
      <c s="125" r="GF133"/>
      <c s="125" r="GG133"/>
      <c s="125" r="GH133"/>
      <c s="125" r="GI133"/>
      <c s="125" r="GJ133"/>
      <c s="125" r="GK133"/>
      <c s="125" r="GL133"/>
      <c s="125" r="GM133"/>
      <c s="125" r="GN133"/>
      <c s="125" r="GO133"/>
      <c s="125" r="GP133"/>
      <c s="125" r="GQ133"/>
      <c s="125" r="GR133"/>
      <c s="125" r="GS133"/>
      <c s="125" r="GT133"/>
      <c s="125" r="GU133"/>
      <c s="125" r="GV133"/>
      <c s="125" r="GW133"/>
      <c s="125" r="GX133"/>
      <c s="125" r="GY133"/>
      <c s="125" r="GZ133"/>
      <c s="125" r="HA133"/>
      <c s="125" r="HB133"/>
    </row>
    <row r="134">
      <c s="761" r="A134"/>
      <c s="761" r="B134"/>
      <c s="761" r="C134"/>
      <c s="761" r="D134"/>
      <c s="761" r="E134"/>
      <c s="761" r="F134"/>
      <c s="761" r="G134"/>
      <c s="761" r="H134"/>
      <c s="761" r="I134"/>
      <c s="822" r="J134"/>
      <c s="406" r="K134"/>
      <c s="886" r="L134"/>
      <c s="886" r="M134"/>
      <c s="886" r="N134"/>
      <c s="886" r="O134"/>
      <c s="418" r="P134"/>
      <c s="550" r="Q134"/>
      <c s="550" r="R134"/>
      <c t="str" s="620" r="S134">
        <f>IF((COUNT(R134:R$146,T134:T$146)=0),NA(),IF(ISBLANK(R134),S133,(S133+(R134-T133))))</f>
        <v>#N/A:explicit</v>
      </c>
      <c s="550" r="T134"/>
      <c t="str" s="620" r="U134">
        <f>IF(OR(ISBLANK(T134),ISNUMBER(R135)),NA(),(S134-T134))</f>
        <v>#N/A:explicit</v>
      </c>
      <c t="b" s="895" r="V134">
        <v>0</v>
      </c>
      <c s="631" r="W134"/>
      <c t="str" s="309" r="X134">
        <f>IF((COUNT(Q134:Q$146)=0),NA(),IF(ISBLANK(Q134),IF(ISBLANK(Q133),MAX(Q$46:Q134),Q133),Q134))</f>
        <v>#N/A:explicit</v>
      </c>
      <c t="str" s="861" r="Y134">
        <f>IF(ISNA(U134),IF(ISNUMBER(X134),Y133,NA()),U134)</f>
        <v>#N/A:explicit</v>
      </c>
      <c s="861" r="Z134">
        <f>IF(ISNUMBER(Y134),Y134,(S$46+1000))</f>
        <v>1000</v>
      </c>
      <c t="str" s="588" r="AA134">
        <f>IF((V134=TRUE),NA(),IF((AA$44=(S$46-MAX(T$46:T$146))),NA(),AA$44))</f>
        <v>#N/A:explicit</v>
      </c>
      <c s="588" r="AB134">
        <f>IF((ISNA(((Y134*X134)*Y133))),0,(IF((X134&lt;X133),-1,1)*(IF((V133=FALSE),IF((V134=FALSE),IF(ISNA(Y134),0,IF((Y133&lt;AA$44),IF((Y134&lt;AA$44),(((X134-X133)^2)^0.5),(((((AA$44-Y133)*(X134-X133))/(Y134-Y133))^2)^0.5)),IF((Y134&lt;AA$44),(((((AA$44-Y134)*(X134-X133))/(Y133-Y134))^2)^0.5),0))),0),0))))</f>
        <v>0</v>
      </c>
      <c s="588" r="AC134">
        <f>IF(ISNA((Y134*Y133)),0,IF((V133=FALSE),IF((V134=FALSE),IF(ISNA(U134),0,IF((Y133&lt;AA$44),IF((Y134&lt;AA$44),((AA$44-((Y133+Y134)*0.5))*AB134),(((AA$44-Y133)*0.5)*AB134)),IF((Y134&lt;AA$44),(((AA$44-Y134)*0.5)*AB134),0))),0),0))</f>
        <v>0</v>
      </c>
      <c s="588" r="AD134">
        <f>IF(ISNA((Y134*Y133)),0,IF((V133=FALSE),IF((V134=FALSE),IF(ISNA(Y134),0,IF((Y133&lt;AA$44),IF((Y134&lt;AA$44),(((AB134^2)+((Y134-Y133)^2))^0.5),(((AB134^2)+((AA$44-Y133)^2))^0.5)),IF((Y134&lt;AA$44),(((AB134^2)+((AA$44-Y134)^2))^0.5),0))),0),0))</f>
        <v>0</v>
      </c>
      <c s="588" r="AE134">
        <f>IF(ISNUMBER((Y134*Y133)),IF((Y133&gt;=K$148),IF((Y134&lt;K$148),1,0),IF((Y134&gt;=K$148),IF((Y133&lt;K$148),1,0),0)),0)</f>
        <v>0</v>
      </c>
      <c s="588" r="AF134">
        <f>IF(ISNA((Y134*Y133)),0,(IF((X134&lt;X133),-1,1)*(IF(ISNA(Y134),0,IF((Y133&lt;K$148),IF((Y134&lt;K$148),(((X134-X133)^2)^0.5),(((((K$148-Y133)*(X134-X133))/(Y134-Y133))^2)^0.5)),IF((Y134&lt;K$148),(((((K$148-Y134)*(X134-X133))/(Y133-Y134))^2)^0.5),0))))))</f>
        <v>0</v>
      </c>
      <c s="441" r="AG134">
        <f>IF((AC134&gt;0),(MAX(AG$47:AG133)+1),0)</f>
        <v>0</v>
      </c>
      <c s="388" r="AH134"/>
      <c s="406" r="AI134"/>
      <c s="886" r="AJ134"/>
      <c s="886" r="AK134"/>
      <c s="886" r="AL134"/>
      <c s="886" r="AM134"/>
      <c s="418" r="AN134"/>
      <c s="550" r="AO134"/>
      <c s="550" r="AP134"/>
      <c t="str" s="620" r="AQ134">
        <f>IF((COUNT(AP134:AP$146,AR134:AR$146)=0),NA(),IF(ISBLANK(AP134),AQ133,(AQ133+(AP134-AR133))))</f>
        <v>#N/A:explicit</v>
      </c>
      <c s="550" r="AR134"/>
      <c t="str" s="620" r="AS134">
        <f>IF(OR(ISBLANK(AR134),ISNUMBER(AP135)),NA(),(AQ134-AR134))</f>
        <v>#N/A:explicit</v>
      </c>
      <c t="b" s="895" r="AT134">
        <v>0</v>
      </c>
      <c s="631" r="AU134"/>
      <c t="str" s="309" r="AV134">
        <f>IF((COUNT(AO134:AO$146)=0),NA(),IF(ISBLANK(AO134),IF(ISBLANK(AO133),MAX(AO$46:AO134),AO133),AO134))</f>
        <v>#N/A:explicit</v>
      </c>
      <c t="str" s="861" r="AW134">
        <f>IF(ISNA(AS134),IF(ISNUMBER(AV134),AW133,NA()),AS134)</f>
        <v>#N/A:explicit</v>
      </c>
      <c s="861" r="AX134">
        <f>IF(ISNUMBER(AW134),AW134,(AQ$46+1000))</f>
        <v>1000</v>
      </c>
      <c t="str" s="588" r="AY134">
        <f>IF((AT134=TRUE),NA(),IF((AY$44=(AQ$46-MAX(AR$46:AR$146))),NA(),AY$44))</f>
        <v>#N/A:explicit</v>
      </c>
      <c s="588" r="AZ134">
        <f>IF((ISNA(((AW134*AV134)*AW133))),0,(IF((AV134&lt;AV133),-1,1)*(IF((AT133=FALSE),IF((AT134=FALSE),IF(ISNA(AW134),0,IF((AW133&lt;AY$44),IF((AW134&lt;AY$44),(((AV134-AV133)^2)^0.5),(((((AY$44-AW133)*(AV134-AV133))/(AW134-AW133))^2)^0.5)),IF((AW134&lt;AY$44),(((((AY$44-AW134)*(AV134-AV133))/(AW133-AW134))^2)^0.5),0))),0),0))))</f>
        <v>0</v>
      </c>
      <c s="588" r="BA134">
        <f>IF(ISNA((AW134*AW133)),0,IF((AT133=FALSE),IF((AT134=FALSE),IF(ISNA(AS134),0,IF((AW133&lt;AY$44),IF((AW134&lt;AY$44),((AY$44-((AW133+AW134)*0.5))*AZ134),(((AY$44-AW133)*0.5)*AZ134)),IF((AW134&lt;AY$44),(((AY$44-AW134)*0.5)*AZ134),0))),0),0))</f>
        <v>0</v>
      </c>
      <c s="588" r="BB134">
        <f>IF(ISNA((AW134*AW133)),0,IF((AT133=FALSE),IF((AT134=FALSE),IF(ISNA(AW134),0,IF((AW133&lt;AY$44),IF((AW134&lt;AY$44),(((AZ134^2)+((AW134-AW133)^2))^0.5),(((AZ134^2)+((AY$44-AW133)^2))^0.5)),IF((AW134&lt;AY$44),(((AZ134^2)+((AY$44-AW134)^2))^0.5),0))),0),0))</f>
        <v>0</v>
      </c>
      <c s="588" r="BC134">
        <f>IF(ISNUMBER((AW134*AW133)),IF((AW133&gt;=AI$148),IF((AW134&lt;AI$148),1,0),IF((AW134&gt;=AI$148),IF((AW133&lt;AI$148),1,0),0)),0)</f>
        <v>0</v>
      </c>
      <c s="588" r="BD134">
        <f>IF(ISNA((AW134*AW133)),0,(IF((AV134&lt;AV133),-1,1)*(IF(ISNA(AW134),0,IF((AW133&lt;AI$148),IF((AW134&lt;AI$148),(((AV134-AV133)^2)^0.5),(((((AI$148-AW133)*(AV134-AV133))/(AW134-AW133))^2)^0.5)),IF((AW134&lt;AI$148),(((((AI$148-AW134)*(AV134-AV133))/(AW133-AW134))^2)^0.5),0))))))</f>
        <v>0</v>
      </c>
      <c s="441" r="BE134">
        <f>IF((BA134&gt;0),(MAX(BE$47:BE133)+1),0)</f>
        <v>0</v>
      </c>
      <c s="388" r="BF134"/>
      <c s="406" r="BG134"/>
      <c s="886" r="BH134"/>
      <c s="886" r="BI134"/>
      <c s="886" r="BJ134"/>
      <c s="886" r="BK134"/>
      <c s="418" r="BL134"/>
      <c s="550" r="BM134"/>
      <c s="550" r="BN134"/>
      <c t="str" s="620" r="BO134">
        <f>IF((COUNT(BN134:BN$146,BP134:BP$146)=0),NA(),IF(ISBLANK(BN134),BO133,(BO133+(BN134-BP133))))</f>
        <v>#N/A:explicit</v>
      </c>
      <c s="550" r="BP134"/>
      <c t="str" s="620" r="BQ134">
        <f>IF(OR(ISBLANK(BP134),ISNUMBER(BN135)),NA(),(BO134-BP134))</f>
        <v>#N/A:explicit</v>
      </c>
      <c t="b" s="895" r="BR134">
        <v>0</v>
      </c>
      <c s="631" r="BS134"/>
      <c t="str" s="309" r="BT134">
        <f>IF((COUNT(BM134:BM$146)=0),NA(),IF(ISBLANK(BM134),IF(ISBLANK(BM133),MAX(BM$46:BM134),BM133),BM134))</f>
        <v>#N/A:explicit</v>
      </c>
      <c t="str" s="861" r="BU134">
        <f>IF(ISNA(BQ134),IF(ISNUMBER(BT134),BU133,NA()),BQ134)</f>
        <v>#N/A:explicit</v>
      </c>
      <c s="861" r="BV134">
        <f>IF(ISNUMBER(BU134),BU134,(BO$46+1000))</f>
        <v>1000</v>
      </c>
      <c t="str" s="588" r="BW134">
        <f>IF((BR134=TRUE),NA(),IF((BW$44=(BO$46-MAX(BP$46:BP$146))),NA(),BW$44))</f>
        <v>#N/A:explicit</v>
      </c>
      <c s="588" r="BX134">
        <f>IF((ISNA(((BU134*BT134)*BU133))),0,(IF((BT134&lt;BT133),-1,1)*(IF((BR133=FALSE),IF((BR134=FALSE),IF(ISNA(BU134),0,IF((BU133&lt;BW$44),IF((BU134&lt;BW$44),(((BT134-BT133)^2)^0.5),(((((BW$44-BU133)*(BT134-BT133))/(BU134-BU133))^2)^0.5)),IF((BU134&lt;BW$44),(((((BW$44-BU134)*(BT134-BT133))/(BU133-BU134))^2)^0.5),0))),0),0))))</f>
        <v>0</v>
      </c>
      <c s="588" r="BY134">
        <f>IF(ISNA((BU134*BU133)),0,IF((BR133=FALSE),IF((BR134=FALSE),IF(ISNA(BQ134),0,IF((BU133&lt;BW$44),IF((BU134&lt;BW$44),((BW$44-((BU133+BU134)*0.5))*BX134),(((BW$44-BU133)*0.5)*BX134)),IF((BU134&lt;BW$44),(((BW$44-BU134)*0.5)*BX134),0))),0),0))</f>
        <v>0</v>
      </c>
      <c s="588" r="BZ134">
        <f>IF(ISNA((BU134*BU133)),0,IF((BR133=FALSE),IF((BR134=FALSE),IF(ISNA(BU134),0,IF((BU133&lt;BW$44),IF((BU134&lt;BW$44),(((BX134^2)+((BU134-BU133)^2))^0.5),(((BX134^2)+((BW$44-BU133)^2))^0.5)),IF((BU134&lt;BW$44),(((BX134^2)+((BW$44-BU134)^2))^0.5),0))),0),0))</f>
        <v>0</v>
      </c>
      <c s="588" r="CA134">
        <f>IF(ISNUMBER((BU134*BU133)),IF((BU133&gt;=BG$148),IF((BU134&lt;BG$148),1,0),IF((BU134&gt;=BG$148),IF((BU133&lt;BG$148),1,0),0)),0)</f>
        <v>0</v>
      </c>
      <c s="588" r="CB134">
        <f>IF(ISNA((BU134*BU133)),0,(IF((BT134&lt;BT133),-1,1)*(IF(ISNA(BU134),0,IF((BU133&lt;BG$148),IF((BU134&lt;BG$148),(((BT134-BT133)^2)^0.5),(((((BG$148-BU133)*(BT134-BT133))/(BU134-BU133))^2)^0.5)),IF((BU134&lt;BG$148),(((((BG$148-BU134)*(BT134-BT133))/(BU133-BU134))^2)^0.5),0))))))</f>
        <v>0</v>
      </c>
      <c s="441" r="CC134">
        <f>IF((BY134&gt;0),(MAX(CC$47:CC133)+1),0)</f>
        <v>0</v>
      </c>
      <c s="388" r="CD134"/>
      <c s="406" r="CE134"/>
      <c s="886" r="CF134"/>
      <c s="886" r="CG134"/>
      <c s="886" r="CH134"/>
      <c s="886" r="CI134"/>
      <c s="418" r="CJ134"/>
      <c s="550" r="CK134"/>
      <c s="550" r="CL134"/>
      <c t="str" s="620" r="CM134">
        <f>IF((COUNT(CL134:CL$146,CN134:CN$146)=0),NA(),IF(ISBLANK(CL134),CM133,(CM133+(CL134-CN133))))</f>
        <v>#N/A:explicit</v>
      </c>
      <c s="550" r="CN134"/>
      <c t="str" s="620" r="CO134">
        <f>IF(OR(ISBLANK(CN134),ISNUMBER(CL135)),NA(),(CM134-CN134))</f>
        <v>#N/A:explicit</v>
      </c>
      <c t="b" s="895" r="CP134">
        <v>0</v>
      </c>
      <c s="631" r="CQ134"/>
      <c t="str" s="309" r="CR134">
        <f>IF((COUNT(CK134:CK$146)=0),NA(),IF(ISBLANK(CK134),IF(ISBLANK(CK133),MAX(CK$46:CK134),CK133),CK134))</f>
        <v>#N/A:explicit</v>
      </c>
      <c t="str" s="861" r="CS134">
        <f>IF(ISNA(CO134),IF(ISNUMBER(CR134),CS133,NA()),CO134)</f>
        <v>#N/A:explicit</v>
      </c>
      <c s="861" r="CT134">
        <f>IF(ISNUMBER(CS134),CS134,(CM$46+1000))</f>
        <v>1000</v>
      </c>
      <c t="str" s="588" r="CU134">
        <f>IF((CP134=TRUE),NA(),IF((CU$44=(CM$46-MAX(CN$46:CN$146))),NA(),CU$44))</f>
        <v>#N/A:explicit</v>
      </c>
      <c s="588" r="CV134">
        <f>IF((ISNA(((CS134*CR134)*CS133))),0,(IF((CR134&lt;CR133),-1,1)*(IF((CP133=FALSE),IF((CP134=FALSE),IF(ISNA(CS134),0,IF((CS133&lt;CU$44),IF((CS134&lt;CU$44),(((CR134-CR133)^2)^0.5),(((((CU$44-CS133)*(CR134-CR133))/(CS134-CS133))^2)^0.5)),IF((CS134&lt;CU$44),(((((CU$44-CS134)*(CR134-CR133))/(CS133-CS134))^2)^0.5),0))),0),0))))</f>
        <v>0</v>
      </c>
      <c s="588" r="CW134">
        <f>IF(ISNA((CS134*CS133)),0,IF((CP133=FALSE),IF((CP134=FALSE),IF(ISNA(CO134),0,IF((CS133&lt;CU$44),IF((CS134&lt;CU$44),((CU$44-((CS133+CS134)*0.5))*CV134),(((CU$44-CS133)*0.5)*CV134)),IF((CS134&lt;CU$44),(((CU$44-CS134)*0.5)*CV134),0))),0),0))</f>
        <v>0</v>
      </c>
      <c s="588" r="CX134">
        <f>IF(ISNA((CS134*CS133)),0,IF((CP133=FALSE),IF((CP134=FALSE),IF(ISNA(CS134),0,IF((CS133&lt;CU$44),IF((CS134&lt;CU$44),(((CV134^2)+((CS134-CS133)^2))^0.5),(((CV134^2)+((CU$44-CS133)^2))^0.5)),IF((CS134&lt;CU$44),(((CV134^2)+((CU$44-CS134)^2))^0.5),0))),0),0))</f>
        <v>0</v>
      </c>
      <c s="588" r="CY134">
        <f>IF(ISNUMBER((CS134*CS133)),IF((CS133&gt;=CE$148),IF((CS134&lt;CE$148),1,0),IF((CS134&gt;=CE$148),IF((CS133&lt;CE$148),1,0),0)),0)</f>
        <v>0</v>
      </c>
      <c s="588" r="CZ134">
        <f>IF(ISNA((CS134*CS133)),0,(IF((CR134&lt;CR133),-1,1)*(IF(ISNA(CS134),0,IF((CS133&lt;CE$148),IF((CS134&lt;CE$148),(((CR134-CR133)^2)^0.5),(((((CE$148-CS133)*(CR134-CR133))/(CS134-CS133))^2)^0.5)),IF((CS134&lt;CE$148),(((((CE$148-CS134)*(CR134-CR133))/(CS133-CS134))^2)^0.5),0))))))</f>
        <v>0</v>
      </c>
      <c s="441" r="DA134">
        <f>IF((CW134&gt;0),(MAX(DA$47:DA133)+1),0)</f>
        <v>0</v>
      </c>
      <c s="388" r="DB134"/>
      <c s="406" r="DC134"/>
      <c s="886" r="DD134"/>
      <c s="886" r="DE134"/>
      <c s="886" r="DF134"/>
      <c s="886" r="DG134"/>
      <c s="418" r="DH134"/>
      <c s="550" r="DI134"/>
      <c s="550" r="DJ134"/>
      <c t="str" s="620" r="DK134">
        <f>IF((COUNT(DJ134:DJ$146,DL134:DL$146)=0),NA(),IF(ISBLANK(DJ134),DK133,(DK133+(DJ134-DL133))))</f>
        <v>#N/A:explicit</v>
      </c>
      <c s="550" r="DL134"/>
      <c t="str" s="620" r="DM134">
        <f>IF(OR(ISBLANK(DL134),ISNUMBER(DJ135)),NA(),(DK134-DL134))</f>
        <v>#N/A:explicit</v>
      </c>
      <c t="b" s="895" r="DN134">
        <v>0</v>
      </c>
      <c s="631" r="DO134"/>
      <c t="str" s="309" r="DP134">
        <f>IF((COUNT(DI134:DI$146)=0),NA(),IF(ISBLANK(DI134),IF(ISBLANK(DI133),MAX(DI$46:DI134),DI133),DI134))</f>
        <v>#N/A:explicit</v>
      </c>
      <c t="str" s="861" r="DQ134">
        <f>IF(ISNA(DM134),IF(ISNUMBER(DP134),DQ133,NA()),DM134)</f>
        <v>#N/A:explicit</v>
      </c>
      <c s="861" r="DR134">
        <f>IF(ISNUMBER(DQ134),DQ134,(DK$46+1000))</f>
        <v>1000</v>
      </c>
      <c t="str" s="588" r="DS134">
        <f>IF((DN134=TRUE),NA(),IF((DS$44=(DK$46-MAX(DL$46:DL$146))),NA(),DS$44))</f>
        <v>#N/A:explicit</v>
      </c>
      <c s="588" r="DT134">
        <f>IF((ISNA(((DQ134*DP134)*DQ133))),0,(IF((DP134&lt;DP133),-1,1)*(IF((DN133=FALSE),IF((DN134=FALSE),IF(ISNA(DQ134),0,IF((DQ133&lt;DS$44),IF((DQ134&lt;DS$44),(((DP134-DP133)^2)^0.5),(((((DS$44-DQ133)*(DP134-DP133))/(DQ134-DQ133))^2)^0.5)),IF((DQ134&lt;DS$44),(((((DS$44-DQ134)*(DP134-DP133))/(DQ133-DQ134))^2)^0.5),0))),0),0))))</f>
        <v>0</v>
      </c>
      <c s="588" r="DU134">
        <f>IF(ISNA((DQ134*DQ133)),0,IF((DN133=FALSE),IF((DN134=FALSE),IF(ISNA(DM134),0,IF((DQ133&lt;DS$44),IF((DQ134&lt;DS$44),((DS$44-((DQ133+DQ134)*0.5))*DT134),(((DS$44-DQ133)*0.5)*DT134)),IF((DQ134&lt;DS$44),(((DS$44-DQ134)*0.5)*DT134),0))),0),0))</f>
        <v>0</v>
      </c>
      <c s="588" r="DV134">
        <f>IF(ISNA((DQ134*DQ133)),0,IF((DN133=FALSE),IF((DN134=FALSE),IF(ISNA(DQ134),0,IF((DQ133&lt;DS$44),IF((DQ134&lt;DS$44),(((DT134^2)+((DQ134-DQ133)^2))^0.5),(((DT134^2)+((DS$44-DQ133)^2))^0.5)),IF((DQ134&lt;DS$44),(((DT134^2)+((DS$44-DQ134)^2))^0.5),0))),0),0))</f>
        <v>0</v>
      </c>
      <c s="588" r="DW134">
        <f>IF(ISNUMBER((DQ134*DQ133)),IF((DQ133&gt;=DC$148),IF((DQ134&lt;DC$148),1,0),IF((DQ134&gt;=DC$148),IF((DQ133&lt;DC$148),1,0),0)),0)</f>
        <v>0</v>
      </c>
      <c s="588" r="DX134">
        <f>IF(ISNA((DQ134*DQ133)),0,(IF((DP134&lt;DP133),-1,1)*(IF(ISNA(DQ134),0,IF((DQ133&lt;DC$148),IF((DQ134&lt;DC$148),(((DP134-DP133)^2)^0.5),(((((DC$148-DQ133)*(DP134-DP133))/(DQ134-DQ133))^2)^0.5)),IF((DQ134&lt;DC$148),(((((DC$148-DQ134)*(DP134-DP133))/(DQ133-DQ134))^2)^0.5),0))))))</f>
        <v>0</v>
      </c>
      <c s="441" r="DY134">
        <f>IF((DU134&gt;0),(MAX(DY$47:DY133)+1),0)</f>
        <v>0</v>
      </c>
      <c s="388" r="DZ134"/>
      <c s="406" r="EA134"/>
      <c s="886" r="EB134"/>
      <c s="886" r="EC134"/>
      <c s="886" r="ED134"/>
      <c s="886" r="EE134"/>
      <c s="418" r="EF134"/>
      <c s="550" r="EG134"/>
      <c s="550" r="EH134"/>
      <c t="str" s="620" r="EI134">
        <f>IF((COUNT(EH134:EH$146,EJ134:EJ$146)=0),NA(),IF(ISBLANK(EH134),EI133,(EI133+(EH134-EJ133))))</f>
        <v>#N/A:explicit</v>
      </c>
      <c s="550" r="EJ134"/>
      <c t="str" s="620" r="EK134">
        <f>IF(OR(ISBLANK(EJ134),ISNUMBER(EH135)),NA(),(EI134-EJ134))</f>
        <v>#N/A:explicit</v>
      </c>
      <c t="b" s="895" r="EL134">
        <v>0</v>
      </c>
      <c s="631" r="EM134"/>
      <c t="str" s="309" r="EN134">
        <f>IF((COUNT(EG134:EG$146)=0),NA(),IF(ISBLANK(EG134),IF(ISBLANK(EG133),MAX(EG$46:EG134),EG133),EG134))</f>
        <v>#N/A:explicit</v>
      </c>
      <c t="str" s="861" r="EO134">
        <f>IF(ISNA(EK134),IF(ISNUMBER(EN134),EO133,NA()),EK134)</f>
        <v>#N/A:explicit</v>
      </c>
      <c s="861" r="EP134">
        <f>IF(ISNUMBER(EO134),EO134,(EI$46+1000))</f>
        <v>1000</v>
      </c>
      <c t="str" s="588" r="EQ134">
        <f>IF((EL134=TRUE),NA(),IF((EQ$44=(EI$46-MAX(EJ$46:EJ$146))),NA(),EQ$44))</f>
        <v>#N/A:explicit</v>
      </c>
      <c s="588" r="ER134">
        <f>IF((ISNA(((EO134*EN134)*EO133))),0,(IF((EN134&lt;EN133),-1,1)*(IF((EL133=FALSE),IF((EL134=FALSE),IF(ISNA(EO134),0,IF((EO133&lt;EQ$44),IF((EO134&lt;EQ$44),(((EN134-EN133)^2)^0.5),(((((EQ$44-EO133)*(EN134-EN133))/(EO134-EO133))^2)^0.5)),IF((EO134&lt;EQ$44),(((((EQ$44-EO134)*(EN134-EN133))/(EO133-EO134))^2)^0.5),0))),0),0))))</f>
        <v>0</v>
      </c>
      <c s="588" r="ES134">
        <f>IF(ISNA((EO134*EO133)),0,IF((EL133=FALSE),IF((EL134=FALSE),IF(ISNA(EK134),0,IF((EO133&lt;EQ$44),IF((EO134&lt;EQ$44),((EQ$44-((EO133+EO134)*0.5))*ER134),(((EQ$44-EO133)*0.5)*ER134)),IF((EO134&lt;EQ$44),(((EQ$44-EO134)*0.5)*ER134),0))),0),0))</f>
        <v>0</v>
      </c>
      <c s="588" r="ET134">
        <f>IF(ISNA((EO134*EO133)),0,IF((EL133=FALSE),IF((EL134=FALSE),IF(ISNA(EO134),0,IF((EO133&lt;EQ$44),IF((EO134&lt;EQ$44),(((ER134^2)+((EO134-EO133)^2))^0.5),(((ER134^2)+((EQ$44-EO133)^2))^0.5)),IF((EO134&lt;EQ$44),(((ER134^2)+((EQ$44-EO134)^2))^0.5),0))),0),0))</f>
        <v>0</v>
      </c>
      <c s="588" r="EU134">
        <f>IF(ISNUMBER((EO134*EO133)),IF((EO133&gt;=EA$148),IF((EO134&lt;EA$148),1,0),IF((EO134&gt;=EA$148),IF((EO133&lt;EA$148),1,0),0)),0)</f>
        <v>0</v>
      </c>
      <c s="588" r="EV134">
        <f>IF(ISNA((EO134*EO133)),0,(IF((EN134&lt;EN133),-1,1)*(IF(ISNA(EO134),0,IF((EO133&lt;EA$148),IF((EO134&lt;EA$148),(((EN134-EN133)^2)^0.5),(((((EA$148-EO133)*(EN134-EN133))/(EO134-EO133))^2)^0.5)),IF((EO134&lt;EA$148),(((((EA$148-EO134)*(EN134-EN133))/(EO133-EO134))^2)^0.5),0))))))</f>
        <v>0</v>
      </c>
      <c s="441" r="EW134">
        <f>IF((ES134&gt;0),(MAX(EW$47:EW133)+1),0)</f>
        <v>0</v>
      </c>
      <c s="388" r="EX134"/>
      <c s="406" r="EY134"/>
      <c s="886" r="EZ134"/>
      <c s="886" r="FA134"/>
      <c s="886" r="FB134"/>
      <c s="886" r="FC134"/>
      <c s="418" r="FD134"/>
      <c s="550" r="FE134"/>
      <c s="550" r="FF134"/>
      <c t="str" s="620" r="FG134">
        <f>IF((COUNT(FF134:FF$146,FH134:FH$146)=0),NA(),IF(ISBLANK(FF134),FG133,(FG133+(FF134-FH133))))</f>
        <v>#N/A:explicit</v>
      </c>
      <c s="550" r="FH134"/>
      <c t="str" s="620" r="FI134">
        <f>IF(OR(ISBLANK(FH134),ISNUMBER(FF135)),NA(),(FG134-FH134))</f>
        <v>#N/A:explicit</v>
      </c>
      <c t="b" s="895" r="FJ134">
        <v>0</v>
      </c>
      <c s="631" r="FK134"/>
      <c t="str" s="309" r="FL134">
        <f>IF((COUNT(FE134:FE$146)=0),NA(),IF(ISBLANK(FE134),IF(ISBLANK(FE133),MAX(FE$46:FE134),FE133),FE134))</f>
        <v>#N/A:explicit</v>
      </c>
      <c t="str" s="861" r="FM134">
        <f>IF(ISNA(FI134),IF(ISNUMBER(FL134),FM133,NA()),FI134)</f>
        <v>#N/A:explicit</v>
      </c>
      <c s="861" r="FN134">
        <f>IF(ISNUMBER(FM134),FM134,(FG$46+1000))</f>
        <v>1000</v>
      </c>
      <c t="str" s="588" r="FO134">
        <f>IF((FJ134=TRUE),NA(),IF((FO$44=(FG$46-MAX(FH$46:FH$146))),NA(),FO$44))</f>
        <v>#N/A:explicit</v>
      </c>
      <c s="588" r="FP134">
        <f>IF((ISNA(((FM134*FL134)*FM133))),0,(IF((FL134&lt;FL133),-1,1)*(IF((FJ133=FALSE),IF((FJ134=FALSE),IF(ISNA(FM134),0,IF((FM133&lt;FO$44),IF((FM134&lt;FO$44),(((FL134-FL133)^2)^0.5),(((((FO$44-FM133)*(FL134-FL133))/(FM134-FM133))^2)^0.5)),IF((FM134&lt;FO$44),(((((FO$44-FM134)*(FL134-FL133))/(FM133-FM134))^2)^0.5),0))),0),0))))</f>
        <v>0</v>
      </c>
      <c s="588" r="FQ134">
        <f>IF(ISNA((FM134*FM133)),0,IF((FJ133=FALSE),IF((FJ134=FALSE),IF(ISNA(FI134),0,IF((FM133&lt;FO$44),IF((FM134&lt;FO$44),((FO$44-((FM133+FM134)*0.5))*FP134),(((FO$44-FM133)*0.5)*FP134)),IF((FM134&lt;FO$44),(((FO$44-FM134)*0.5)*FP134),0))),0),0))</f>
        <v>0</v>
      </c>
      <c s="588" r="FR134">
        <f>IF(ISNA((FM134*FM133)),0,IF((FJ133=FALSE),IF((FJ134=FALSE),IF(ISNA(FM134),0,IF((FM133&lt;FO$44),IF((FM134&lt;FO$44),(((FP134^2)+((FM134-FM133)^2))^0.5),(((FP134^2)+((FO$44-FM133)^2))^0.5)),IF((FM134&lt;FO$44),(((FP134^2)+((FO$44-FM134)^2))^0.5),0))),0),0))</f>
        <v>0</v>
      </c>
      <c s="588" r="FS134">
        <f>IF(ISNUMBER((FM134*FM133)),IF((FM133&gt;=EY$148),IF((FM134&lt;EY$148),1,0),IF((FM134&gt;=EY$148),IF((FM133&lt;EY$148),1,0),0)),0)</f>
        <v>0</v>
      </c>
      <c s="588" r="FT134">
        <f>IF(ISNA((FM134*FM133)),0,(IF((FL134&lt;FL133),-1,1)*(IF(ISNA(FM134),0,IF((FM133&lt;EY$148),IF((FM134&lt;EY$148),(((FL134-FL133)^2)^0.5),(((((EY$148-FM133)*(FL134-FL133))/(FM134-FM133))^2)^0.5)),IF((FM134&lt;EY$148),(((((EY$148-FM134)*(FL134-FL133))/(FM133-FM134))^2)^0.5),0))))))</f>
        <v>0</v>
      </c>
      <c s="441" r="FU134">
        <f>IF((FQ134&gt;0),(MAX(FU$47:FU133)+1),0)</f>
        <v>0</v>
      </c>
      <c s="222" r="FV134"/>
      <c s="125" r="FW134"/>
      <c s="125" r="FX134"/>
      <c s="125" r="FY134"/>
      <c s="125" r="FZ134"/>
      <c s="125" r="GA134"/>
      <c s="125" r="GB134"/>
      <c s="125" r="GC134"/>
      <c s="125" r="GD134"/>
      <c s="125" r="GE134"/>
      <c s="125" r="GF134"/>
      <c s="125" r="GG134"/>
      <c s="125" r="GH134"/>
      <c s="125" r="GI134"/>
      <c s="125" r="GJ134"/>
      <c s="125" r="GK134"/>
      <c s="125" r="GL134"/>
      <c s="125" r="GM134"/>
      <c s="125" r="GN134"/>
      <c s="125" r="GO134"/>
      <c s="125" r="GP134"/>
      <c s="125" r="GQ134"/>
      <c s="125" r="GR134"/>
      <c s="125" r="GS134"/>
      <c s="125" r="GT134"/>
      <c s="125" r="GU134"/>
      <c s="125" r="GV134"/>
      <c s="125" r="GW134"/>
      <c s="125" r="GX134"/>
      <c s="125" r="GY134"/>
      <c s="125" r="GZ134"/>
      <c s="125" r="HA134"/>
      <c s="125" r="HB134"/>
    </row>
    <row s="761" customFormat="1" r="135">
      <c s="125" r="A135"/>
      <c s="125" r="B135"/>
      <c s="125" r="C135"/>
      <c s="125" r="D135"/>
      <c s="125" r="E135"/>
      <c s="125" r="F135"/>
      <c s="125" r="G135"/>
      <c s="125" r="H135"/>
      <c s="125" r="I135"/>
      <c s="822" r="J135"/>
      <c s="406" r="K135"/>
      <c s="886" r="L135"/>
      <c s="886" r="M135"/>
      <c s="886" r="N135"/>
      <c s="886" r="O135"/>
      <c s="418" r="P135"/>
      <c s="550" r="Q135"/>
      <c s="550" r="R135"/>
      <c t="str" s="620" r="S135">
        <f>IF((COUNT(R135:R$146,T135:T$146)=0),NA(),IF(ISBLANK(R135),S134,(S134+(R135-T134))))</f>
        <v>#N/A:explicit</v>
      </c>
      <c s="550" r="T135"/>
      <c t="str" s="620" r="U135">
        <f>IF(OR(ISBLANK(T135),ISNUMBER(R136)),NA(),(S135-T135))</f>
        <v>#N/A:explicit</v>
      </c>
      <c t="b" s="895" r="V135">
        <v>0</v>
      </c>
      <c s="631" r="W135"/>
      <c t="str" s="309" r="X135">
        <f>IF((COUNT(Q135:Q$146)=0),NA(),IF(ISBLANK(Q135),IF(ISBLANK(Q134),MAX(Q$46:Q135),Q134),Q135))</f>
        <v>#N/A:explicit</v>
      </c>
      <c t="str" s="861" r="Y135">
        <f>IF(ISNA(U135),IF(ISNUMBER(X135),Y134,NA()),U135)</f>
        <v>#N/A:explicit</v>
      </c>
      <c s="861" r="Z135">
        <f>IF(ISNUMBER(Y135),Y135,(S$46+1000))</f>
        <v>1000</v>
      </c>
      <c t="str" s="588" r="AA135">
        <f>IF((V135=TRUE),NA(),IF((AA$44=(S$46-MAX(T$46:T$146))),NA(),AA$44))</f>
        <v>#N/A:explicit</v>
      </c>
      <c s="588" r="AB135">
        <f>IF((ISNA(((Y135*X135)*Y134))),0,(IF((X135&lt;X134),-1,1)*(IF((V134=FALSE),IF((V135=FALSE),IF(ISNA(Y135),0,IF((Y134&lt;AA$44),IF((Y135&lt;AA$44),(((X135-X134)^2)^0.5),(((((AA$44-Y134)*(X135-X134))/(Y135-Y134))^2)^0.5)),IF((Y135&lt;AA$44),(((((AA$44-Y135)*(X135-X134))/(Y134-Y135))^2)^0.5),0))),0),0))))</f>
        <v>0</v>
      </c>
      <c s="588" r="AC135">
        <f>IF(ISNA((Y135*Y134)),0,IF((V134=FALSE),IF((V135=FALSE),IF(ISNA(U135),0,IF((Y134&lt;AA$44),IF((Y135&lt;AA$44),((AA$44-((Y134+Y135)*0.5))*AB135),(((AA$44-Y134)*0.5)*AB135)),IF((Y135&lt;AA$44),(((AA$44-Y135)*0.5)*AB135),0))),0),0))</f>
        <v>0</v>
      </c>
      <c s="588" r="AD135">
        <f>IF(ISNA((Y135*Y134)),0,IF((V134=FALSE),IF((V135=FALSE),IF(ISNA(Y135),0,IF((Y134&lt;AA$44),IF((Y135&lt;AA$44),(((AB135^2)+((Y135-Y134)^2))^0.5),(((AB135^2)+((AA$44-Y134)^2))^0.5)),IF((Y135&lt;AA$44),(((AB135^2)+((AA$44-Y135)^2))^0.5),0))),0),0))</f>
        <v>0</v>
      </c>
      <c s="588" r="AE135">
        <f>IF(ISNUMBER((Y135*Y134)),IF((Y134&gt;=K$148),IF((Y135&lt;K$148),1,0),IF((Y135&gt;=K$148),IF((Y134&lt;K$148),1,0),0)),0)</f>
        <v>0</v>
      </c>
      <c s="588" r="AF135">
        <f>IF(ISNA((Y135*Y134)),0,(IF((X135&lt;X134),-1,1)*(IF(ISNA(Y135),0,IF((Y134&lt;K$148),IF((Y135&lt;K$148),(((X135-X134)^2)^0.5),(((((K$148-Y134)*(X135-X134))/(Y135-Y134))^2)^0.5)),IF((Y135&lt;K$148),(((((K$148-Y135)*(X135-X134))/(Y134-Y135))^2)^0.5),0))))))</f>
        <v>0</v>
      </c>
      <c s="441" r="AG135">
        <f>IF((AC135&gt;0),(MAX(AG$47:AG134)+1),0)</f>
        <v>0</v>
      </c>
      <c s="388" r="AH135"/>
      <c s="406" r="AI135"/>
      <c s="886" r="AJ135"/>
      <c s="886" r="AK135"/>
      <c s="886" r="AL135"/>
      <c s="886" r="AM135"/>
      <c s="418" r="AN135"/>
      <c s="550" r="AO135"/>
      <c s="550" r="AP135"/>
      <c t="str" s="620" r="AQ135">
        <f>IF((COUNT(AP135:AP$146,AR135:AR$146)=0),NA(),IF(ISBLANK(AP135),AQ134,(AQ134+(AP135-AR134))))</f>
        <v>#N/A:explicit</v>
      </c>
      <c s="550" r="AR135"/>
      <c t="str" s="620" r="AS135">
        <f>IF(OR(ISBLANK(AR135),ISNUMBER(AP136)),NA(),(AQ135-AR135))</f>
        <v>#N/A:explicit</v>
      </c>
      <c t="b" s="895" r="AT135">
        <v>0</v>
      </c>
      <c s="631" r="AU135"/>
      <c t="str" s="309" r="AV135">
        <f>IF((COUNT(AO135:AO$146)=0),NA(),IF(ISBLANK(AO135),IF(ISBLANK(AO134),MAX(AO$46:AO135),AO134),AO135))</f>
        <v>#N/A:explicit</v>
      </c>
      <c t="str" s="861" r="AW135">
        <f>IF(ISNA(AS135),IF(ISNUMBER(AV135),AW134,NA()),AS135)</f>
        <v>#N/A:explicit</v>
      </c>
      <c s="861" r="AX135">
        <f>IF(ISNUMBER(AW135),AW135,(AQ$46+1000))</f>
        <v>1000</v>
      </c>
      <c t="str" s="588" r="AY135">
        <f>IF((AT135=TRUE),NA(),IF((AY$44=(AQ$46-MAX(AR$46:AR$146))),NA(),AY$44))</f>
        <v>#N/A:explicit</v>
      </c>
      <c s="588" r="AZ135">
        <f>IF((ISNA(((AW135*AV135)*AW134))),0,(IF((AV135&lt;AV134),-1,1)*(IF((AT134=FALSE),IF((AT135=FALSE),IF(ISNA(AW135),0,IF((AW134&lt;AY$44),IF((AW135&lt;AY$44),(((AV135-AV134)^2)^0.5),(((((AY$44-AW134)*(AV135-AV134))/(AW135-AW134))^2)^0.5)),IF((AW135&lt;AY$44),(((((AY$44-AW135)*(AV135-AV134))/(AW134-AW135))^2)^0.5),0))),0),0))))</f>
        <v>0</v>
      </c>
      <c s="588" r="BA135">
        <f>IF(ISNA((AW135*AW134)),0,IF((AT134=FALSE),IF((AT135=FALSE),IF(ISNA(AS135),0,IF((AW134&lt;AY$44),IF((AW135&lt;AY$44),((AY$44-((AW134+AW135)*0.5))*AZ135),(((AY$44-AW134)*0.5)*AZ135)),IF((AW135&lt;AY$44),(((AY$44-AW135)*0.5)*AZ135),0))),0),0))</f>
        <v>0</v>
      </c>
      <c s="588" r="BB135">
        <f>IF(ISNA((AW135*AW134)),0,IF((AT134=FALSE),IF((AT135=FALSE),IF(ISNA(AW135),0,IF((AW134&lt;AY$44),IF((AW135&lt;AY$44),(((AZ135^2)+((AW135-AW134)^2))^0.5),(((AZ135^2)+((AY$44-AW134)^2))^0.5)),IF((AW135&lt;AY$44),(((AZ135^2)+((AY$44-AW135)^2))^0.5),0))),0),0))</f>
        <v>0</v>
      </c>
      <c s="588" r="BC135">
        <f>IF(ISNUMBER((AW135*AW134)),IF((AW134&gt;=AI$148),IF((AW135&lt;AI$148),1,0),IF((AW135&gt;=AI$148),IF((AW134&lt;AI$148),1,0),0)),0)</f>
        <v>0</v>
      </c>
      <c s="588" r="BD135">
        <f>IF(ISNA((AW135*AW134)),0,(IF((AV135&lt;AV134),-1,1)*(IF(ISNA(AW135),0,IF((AW134&lt;AI$148),IF((AW135&lt;AI$148),(((AV135-AV134)^2)^0.5),(((((AI$148-AW134)*(AV135-AV134))/(AW135-AW134))^2)^0.5)),IF((AW135&lt;AI$148),(((((AI$148-AW135)*(AV135-AV134))/(AW134-AW135))^2)^0.5),0))))))</f>
        <v>0</v>
      </c>
      <c s="441" r="BE135">
        <f>IF((BA135&gt;0),(MAX(BE$47:BE134)+1),0)</f>
        <v>0</v>
      </c>
      <c s="388" r="BF135"/>
      <c s="406" r="BG135"/>
      <c s="886" r="BH135"/>
      <c s="886" r="BI135"/>
      <c s="886" r="BJ135"/>
      <c s="886" r="BK135"/>
      <c s="418" r="BL135"/>
      <c s="550" r="BM135"/>
      <c s="550" r="BN135"/>
      <c t="str" s="620" r="BO135">
        <f>IF((COUNT(BN135:BN$146,BP135:BP$146)=0),NA(),IF(ISBLANK(BN135),BO134,(BO134+(BN135-BP134))))</f>
        <v>#N/A:explicit</v>
      </c>
      <c s="550" r="BP135"/>
      <c t="str" s="620" r="BQ135">
        <f>IF(OR(ISBLANK(BP135),ISNUMBER(BN136)),NA(),(BO135-BP135))</f>
        <v>#N/A:explicit</v>
      </c>
      <c t="b" s="895" r="BR135">
        <v>0</v>
      </c>
      <c s="631" r="BS135"/>
      <c t="str" s="309" r="BT135">
        <f>IF((COUNT(BM135:BM$146)=0),NA(),IF(ISBLANK(BM135),IF(ISBLANK(BM134),MAX(BM$46:BM135),BM134),BM135))</f>
        <v>#N/A:explicit</v>
      </c>
      <c t="str" s="861" r="BU135">
        <f>IF(ISNA(BQ135),IF(ISNUMBER(BT135),BU134,NA()),BQ135)</f>
        <v>#N/A:explicit</v>
      </c>
      <c s="861" r="BV135">
        <f>IF(ISNUMBER(BU135),BU135,(BO$46+1000))</f>
        <v>1000</v>
      </c>
      <c t="str" s="588" r="BW135">
        <f>IF((BR135=TRUE),NA(),IF((BW$44=(BO$46-MAX(BP$46:BP$146))),NA(),BW$44))</f>
        <v>#N/A:explicit</v>
      </c>
      <c s="588" r="BX135">
        <f>IF((ISNA(((BU135*BT135)*BU134))),0,(IF((BT135&lt;BT134),-1,1)*(IF((BR134=FALSE),IF((BR135=FALSE),IF(ISNA(BU135),0,IF((BU134&lt;BW$44),IF((BU135&lt;BW$44),(((BT135-BT134)^2)^0.5),(((((BW$44-BU134)*(BT135-BT134))/(BU135-BU134))^2)^0.5)),IF((BU135&lt;BW$44),(((((BW$44-BU135)*(BT135-BT134))/(BU134-BU135))^2)^0.5),0))),0),0))))</f>
        <v>0</v>
      </c>
      <c s="588" r="BY135">
        <f>IF(ISNA((BU135*BU134)),0,IF((BR134=FALSE),IF((BR135=FALSE),IF(ISNA(BQ135),0,IF((BU134&lt;BW$44),IF((BU135&lt;BW$44),((BW$44-((BU134+BU135)*0.5))*BX135),(((BW$44-BU134)*0.5)*BX135)),IF((BU135&lt;BW$44),(((BW$44-BU135)*0.5)*BX135),0))),0),0))</f>
        <v>0</v>
      </c>
      <c s="588" r="BZ135">
        <f>IF(ISNA((BU135*BU134)),0,IF((BR134=FALSE),IF((BR135=FALSE),IF(ISNA(BU135),0,IF((BU134&lt;BW$44),IF((BU135&lt;BW$44),(((BX135^2)+((BU135-BU134)^2))^0.5),(((BX135^2)+((BW$44-BU134)^2))^0.5)),IF((BU135&lt;BW$44),(((BX135^2)+((BW$44-BU135)^2))^0.5),0))),0),0))</f>
        <v>0</v>
      </c>
      <c s="588" r="CA135">
        <f>IF(ISNUMBER((BU135*BU134)),IF((BU134&gt;=BG$148),IF((BU135&lt;BG$148),1,0),IF((BU135&gt;=BG$148),IF((BU134&lt;BG$148),1,0),0)),0)</f>
        <v>0</v>
      </c>
      <c s="588" r="CB135">
        <f>IF(ISNA((BU135*BU134)),0,(IF((BT135&lt;BT134),-1,1)*(IF(ISNA(BU135),0,IF((BU134&lt;BG$148),IF((BU135&lt;BG$148),(((BT135-BT134)^2)^0.5),(((((BG$148-BU134)*(BT135-BT134))/(BU135-BU134))^2)^0.5)),IF((BU135&lt;BG$148),(((((BG$148-BU135)*(BT135-BT134))/(BU134-BU135))^2)^0.5),0))))))</f>
        <v>0</v>
      </c>
      <c s="441" r="CC135">
        <f>IF((BY135&gt;0),(MAX(CC$47:CC134)+1),0)</f>
        <v>0</v>
      </c>
      <c s="388" r="CD135"/>
      <c s="406" r="CE135"/>
      <c s="886" r="CF135"/>
      <c s="886" r="CG135"/>
      <c s="886" r="CH135"/>
      <c s="886" r="CI135"/>
      <c s="418" r="CJ135"/>
      <c s="550" r="CK135"/>
      <c s="550" r="CL135"/>
      <c t="str" s="620" r="CM135">
        <f>IF((COUNT(CL135:CL$146,CN135:CN$146)=0),NA(),IF(ISBLANK(CL135),CM134,(CM134+(CL135-CN134))))</f>
        <v>#N/A:explicit</v>
      </c>
      <c s="550" r="CN135"/>
      <c t="str" s="620" r="CO135">
        <f>IF(OR(ISBLANK(CN135),ISNUMBER(CL136)),NA(),(CM135-CN135))</f>
        <v>#N/A:explicit</v>
      </c>
      <c t="b" s="895" r="CP135">
        <v>0</v>
      </c>
      <c s="631" r="CQ135"/>
      <c t="str" s="309" r="CR135">
        <f>IF((COUNT(CK135:CK$146)=0),NA(),IF(ISBLANK(CK135),IF(ISBLANK(CK134),MAX(CK$46:CK135),CK134),CK135))</f>
        <v>#N/A:explicit</v>
      </c>
      <c t="str" s="861" r="CS135">
        <f>IF(ISNA(CO135),IF(ISNUMBER(CR135),CS134,NA()),CO135)</f>
        <v>#N/A:explicit</v>
      </c>
      <c s="861" r="CT135">
        <f>IF(ISNUMBER(CS135),CS135,(CM$46+1000))</f>
        <v>1000</v>
      </c>
      <c t="str" s="588" r="CU135">
        <f>IF((CP135=TRUE),NA(),IF((CU$44=(CM$46-MAX(CN$46:CN$146))),NA(),CU$44))</f>
        <v>#N/A:explicit</v>
      </c>
      <c s="588" r="CV135">
        <f>IF((ISNA(((CS135*CR135)*CS134))),0,(IF((CR135&lt;CR134),-1,1)*(IF((CP134=FALSE),IF((CP135=FALSE),IF(ISNA(CS135),0,IF((CS134&lt;CU$44),IF((CS135&lt;CU$44),(((CR135-CR134)^2)^0.5),(((((CU$44-CS134)*(CR135-CR134))/(CS135-CS134))^2)^0.5)),IF((CS135&lt;CU$44),(((((CU$44-CS135)*(CR135-CR134))/(CS134-CS135))^2)^0.5),0))),0),0))))</f>
        <v>0</v>
      </c>
      <c s="588" r="CW135">
        <f>IF(ISNA((CS135*CS134)),0,IF((CP134=FALSE),IF((CP135=FALSE),IF(ISNA(CO135),0,IF((CS134&lt;CU$44),IF((CS135&lt;CU$44),((CU$44-((CS134+CS135)*0.5))*CV135),(((CU$44-CS134)*0.5)*CV135)),IF((CS135&lt;CU$44),(((CU$44-CS135)*0.5)*CV135),0))),0),0))</f>
        <v>0</v>
      </c>
      <c s="588" r="CX135">
        <f>IF(ISNA((CS135*CS134)),0,IF((CP134=FALSE),IF((CP135=FALSE),IF(ISNA(CS135),0,IF((CS134&lt;CU$44),IF((CS135&lt;CU$44),(((CV135^2)+((CS135-CS134)^2))^0.5),(((CV135^2)+((CU$44-CS134)^2))^0.5)),IF((CS135&lt;CU$44),(((CV135^2)+((CU$44-CS135)^2))^0.5),0))),0),0))</f>
        <v>0</v>
      </c>
      <c s="588" r="CY135">
        <f>IF(ISNUMBER((CS135*CS134)),IF((CS134&gt;=CE$148),IF((CS135&lt;CE$148),1,0),IF((CS135&gt;=CE$148),IF((CS134&lt;CE$148),1,0),0)),0)</f>
        <v>0</v>
      </c>
      <c s="588" r="CZ135">
        <f>IF(ISNA((CS135*CS134)),0,(IF((CR135&lt;CR134),-1,1)*(IF(ISNA(CS135),0,IF((CS134&lt;CE$148),IF((CS135&lt;CE$148),(((CR135-CR134)^2)^0.5),(((((CE$148-CS134)*(CR135-CR134))/(CS135-CS134))^2)^0.5)),IF((CS135&lt;CE$148),(((((CE$148-CS135)*(CR135-CR134))/(CS134-CS135))^2)^0.5),0))))))</f>
        <v>0</v>
      </c>
      <c s="441" r="DA135">
        <f>IF((CW135&gt;0),(MAX(DA$47:DA134)+1),0)</f>
        <v>0</v>
      </c>
      <c s="388" r="DB135"/>
      <c s="406" r="DC135"/>
      <c s="886" r="DD135"/>
      <c s="886" r="DE135"/>
      <c s="886" r="DF135"/>
      <c s="886" r="DG135"/>
      <c s="418" r="DH135"/>
      <c s="550" r="DI135"/>
      <c s="550" r="DJ135"/>
      <c t="str" s="620" r="DK135">
        <f>IF((COUNT(DJ135:DJ$146,DL135:DL$146)=0),NA(),IF(ISBLANK(DJ135),DK134,(DK134+(DJ135-DL134))))</f>
        <v>#N/A:explicit</v>
      </c>
      <c s="550" r="DL135"/>
      <c t="str" s="620" r="DM135">
        <f>IF(OR(ISBLANK(DL135),ISNUMBER(DJ136)),NA(),(DK135-DL135))</f>
        <v>#N/A:explicit</v>
      </c>
      <c t="b" s="895" r="DN135">
        <v>0</v>
      </c>
      <c s="631" r="DO135"/>
      <c t="str" s="309" r="DP135">
        <f>IF((COUNT(DI135:DI$146)=0),NA(),IF(ISBLANK(DI135),IF(ISBLANK(DI134),MAX(DI$46:DI135),DI134),DI135))</f>
        <v>#N/A:explicit</v>
      </c>
      <c t="str" s="861" r="DQ135">
        <f>IF(ISNA(DM135),IF(ISNUMBER(DP135),DQ134,NA()),DM135)</f>
        <v>#N/A:explicit</v>
      </c>
      <c s="861" r="DR135">
        <f>IF(ISNUMBER(DQ135),DQ135,(DK$46+1000))</f>
        <v>1000</v>
      </c>
      <c t="str" s="588" r="DS135">
        <f>IF((DN135=TRUE),NA(),IF((DS$44=(DK$46-MAX(DL$46:DL$146))),NA(),DS$44))</f>
        <v>#N/A:explicit</v>
      </c>
      <c s="588" r="DT135">
        <f>IF((ISNA(((DQ135*DP135)*DQ134))),0,(IF((DP135&lt;DP134),-1,1)*(IF((DN134=FALSE),IF((DN135=FALSE),IF(ISNA(DQ135),0,IF((DQ134&lt;DS$44),IF((DQ135&lt;DS$44),(((DP135-DP134)^2)^0.5),(((((DS$44-DQ134)*(DP135-DP134))/(DQ135-DQ134))^2)^0.5)),IF((DQ135&lt;DS$44),(((((DS$44-DQ135)*(DP135-DP134))/(DQ134-DQ135))^2)^0.5),0))),0),0))))</f>
        <v>0</v>
      </c>
      <c s="588" r="DU135">
        <f>IF(ISNA((DQ135*DQ134)),0,IF((DN134=FALSE),IF((DN135=FALSE),IF(ISNA(DM135),0,IF((DQ134&lt;DS$44),IF((DQ135&lt;DS$44),((DS$44-((DQ134+DQ135)*0.5))*DT135),(((DS$44-DQ134)*0.5)*DT135)),IF((DQ135&lt;DS$44),(((DS$44-DQ135)*0.5)*DT135),0))),0),0))</f>
        <v>0</v>
      </c>
      <c s="588" r="DV135">
        <f>IF(ISNA((DQ135*DQ134)),0,IF((DN134=FALSE),IF((DN135=FALSE),IF(ISNA(DQ135),0,IF((DQ134&lt;DS$44),IF((DQ135&lt;DS$44),(((DT135^2)+((DQ135-DQ134)^2))^0.5),(((DT135^2)+((DS$44-DQ134)^2))^0.5)),IF((DQ135&lt;DS$44),(((DT135^2)+((DS$44-DQ135)^2))^0.5),0))),0),0))</f>
        <v>0</v>
      </c>
      <c s="588" r="DW135">
        <f>IF(ISNUMBER((DQ135*DQ134)),IF((DQ134&gt;=DC$148),IF((DQ135&lt;DC$148),1,0),IF((DQ135&gt;=DC$148),IF((DQ134&lt;DC$148),1,0),0)),0)</f>
        <v>0</v>
      </c>
      <c s="588" r="DX135">
        <f>IF(ISNA((DQ135*DQ134)),0,(IF((DP135&lt;DP134),-1,1)*(IF(ISNA(DQ135),0,IF((DQ134&lt;DC$148),IF((DQ135&lt;DC$148),(((DP135-DP134)^2)^0.5),(((((DC$148-DQ134)*(DP135-DP134))/(DQ135-DQ134))^2)^0.5)),IF((DQ135&lt;DC$148),(((((DC$148-DQ135)*(DP135-DP134))/(DQ134-DQ135))^2)^0.5),0))))))</f>
        <v>0</v>
      </c>
      <c s="441" r="DY135">
        <f>IF((DU135&gt;0),(MAX(DY$47:DY134)+1),0)</f>
        <v>0</v>
      </c>
      <c s="388" r="DZ135"/>
      <c s="406" r="EA135"/>
      <c s="886" r="EB135"/>
      <c s="886" r="EC135"/>
      <c s="886" r="ED135"/>
      <c s="886" r="EE135"/>
      <c s="418" r="EF135"/>
      <c s="550" r="EG135"/>
      <c s="550" r="EH135"/>
      <c t="str" s="620" r="EI135">
        <f>IF((COUNT(EH135:EH$146,EJ135:EJ$146)=0),NA(),IF(ISBLANK(EH135),EI134,(EI134+(EH135-EJ134))))</f>
        <v>#N/A:explicit</v>
      </c>
      <c s="550" r="EJ135"/>
      <c t="str" s="620" r="EK135">
        <f>IF(OR(ISBLANK(EJ135),ISNUMBER(EH136)),NA(),(EI135-EJ135))</f>
        <v>#N/A:explicit</v>
      </c>
      <c t="b" s="895" r="EL135">
        <v>0</v>
      </c>
      <c s="631" r="EM135"/>
      <c t="str" s="309" r="EN135">
        <f>IF((COUNT(EG135:EG$146)=0),NA(),IF(ISBLANK(EG135),IF(ISBLANK(EG134),MAX(EG$46:EG135),EG134),EG135))</f>
        <v>#N/A:explicit</v>
      </c>
      <c t="str" s="861" r="EO135">
        <f>IF(ISNA(EK135),IF(ISNUMBER(EN135),EO134,NA()),EK135)</f>
        <v>#N/A:explicit</v>
      </c>
      <c s="861" r="EP135">
        <f>IF(ISNUMBER(EO135),EO135,(EI$46+1000))</f>
        <v>1000</v>
      </c>
      <c t="str" s="588" r="EQ135">
        <f>IF((EL135=TRUE),NA(),IF((EQ$44=(EI$46-MAX(EJ$46:EJ$146))),NA(),EQ$44))</f>
        <v>#N/A:explicit</v>
      </c>
      <c s="588" r="ER135">
        <f>IF((ISNA(((EO135*EN135)*EO134))),0,(IF((EN135&lt;EN134),-1,1)*(IF((EL134=FALSE),IF((EL135=FALSE),IF(ISNA(EO135),0,IF((EO134&lt;EQ$44),IF((EO135&lt;EQ$44),(((EN135-EN134)^2)^0.5),(((((EQ$44-EO134)*(EN135-EN134))/(EO135-EO134))^2)^0.5)),IF((EO135&lt;EQ$44),(((((EQ$44-EO135)*(EN135-EN134))/(EO134-EO135))^2)^0.5),0))),0),0))))</f>
        <v>0</v>
      </c>
      <c s="588" r="ES135">
        <f>IF(ISNA((EO135*EO134)),0,IF((EL134=FALSE),IF((EL135=FALSE),IF(ISNA(EK135),0,IF((EO134&lt;EQ$44),IF((EO135&lt;EQ$44),((EQ$44-((EO134+EO135)*0.5))*ER135),(((EQ$44-EO134)*0.5)*ER135)),IF((EO135&lt;EQ$44),(((EQ$44-EO135)*0.5)*ER135),0))),0),0))</f>
        <v>0</v>
      </c>
      <c s="588" r="ET135">
        <f>IF(ISNA((EO135*EO134)),0,IF((EL134=FALSE),IF((EL135=FALSE),IF(ISNA(EO135),0,IF((EO134&lt;EQ$44),IF((EO135&lt;EQ$44),(((ER135^2)+((EO135-EO134)^2))^0.5),(((ER135^2)+((EQ$44-EO134)^2))^0.5)),IF((EO135&lt;EQ$44),(((ER135^2)+((EQ$44-EO135)^2))^0.5),0))),0),0))</f>
        <v>0</v>
      </c>
      <c s="588" r="EU135">
        <f>IF(ISNUMBER((EO135*EO134)),IF((EO134&gt;=EA$148),IF((EO135&lt;EA$148),1,0),IF((EO135&gt;=EA$148),IF((EO134&lt;EA$148),1,0),0)),0)</f>
        <v>0</v>
      </c>
      <c s="588" r="EV135">
        <f>IF(ISNA((EO135*EO134)),0,(IF((EN135&lt;EN134),-1,1)*(IF(ISNA(EO135),0,IF((EO134&lt;EA$148),IF((EO135&lt;EA$148),(((EN135-EN134)^2)^0.5),(((((EA$148-EO134)*(EN135-EN134))/(EO135-EO134))^2)^0.5)),IF((EO135&lt;EA$148),(((((EA$148-EO135)*(EN135-EN134))/(EO134-EO135))^2)^0.5),0))))))</f>
        <v>0</v>
      </c>
      <c s="441" r="EW135">
        <f>IF((ES135&gt;0),(MAX(EW$47:EW134)+1),0)</f>
        <v>0</v>
      </c>
      <c s="388" r="EX135"/>
      <c s="406" r="EY135"/>
      <c s="886" r="EZ135"/>
      <c s="886" r="FA135"/>
      <c s="886" r="FB135"/>
      <c s="886" r="FC135"/>
      <c s="418" r="FD135"/>
      <c s="550" r="FE135"/>
      <c s="550" r="FF135"/>
      <c t="str" s="620" r="FG135">
        <f>IF((COUNT(FF135:FF$146,FH135:FH$146)=0),NA(),IF(ISBLANK(FF135),FG134,(FG134+(FF135-FH134))))</f>
        <v>#N/A:explicit</v>
      </c>
      <c s="550" r="FH135"/>
      <c t="str" s="620" r="FI135">
        <f>IF(OR(ISBLANK(FH135),ISNUMBER(FF136)),NA(),(FG135-FH135))</f>
        <v>#N/A:explicit</v>
      </c>
      <c t="b" s="895" r="FJ135">
        <v>0</v>
      </c>
      <c s="631" r="FK135"/>
      <c t="str" s="309" r="FL135">
        <f>IF((COUNT(FE135:FE$146)=0),NA(),IF(ISBLANK(FE135),IF(ISBLANK(FE134),MAX(FE$46:FE135),FE134),FE135))</f>
        <v>#N/A:explicit</v>
      </c>
      <c t="str" s="861" r="FM135">
        <f>IF(ISNA(FI135),IF(ISNUMBER(FL135),FM134,NA()),FI135)</f>
        <v>#N/A:explicit</v>
      </c>
      <c s="861" r="FN135">
        <f>IF(ISNUMBER(FM135),FM135,(FG$46+1000))</f>
        <v>1000</v>
      </c>
      <c t="str" s="588" r="FO135">
        <f>IF((FJ135=TRUE),NA(),IF((FO$44=(FG$46-MAX(FH$46:FH$146))),NA(),FO$44))</f>
        <v>#N/A:explicit</v>
      </c>
      <c s="588" r="FP135">
        <f>IF((ISNA(((FM135*FL135)*FM134))),0,(IF((FL135&lt;FL134),-1,1)*(IF((FJ134=FALSE),IF((FJ135=FALSE),IF(ISNA(FM135),0,IF((FM134&lt;FO$44),IF((FM135&lt;FO$44),(((FL135-FL134)^2)^0.5),(((((FO$44-FM134)*(FL135-FL134))/(FM135-FM134))^2)^0.5)),IF((FM135&lt;FO$44),(((((FO$44-FM135)*(FL135-FL134))/(FM134-FM135))^2)^0.5),0))),0),0))))</f>
        <v>0</v>
      </c>
      <c s="588" r="FQ135">
        <f>IF(ISNA((FM135*FM134)),0,IF((FJ134=FALSE),IF((FJ135=FALSE),IF(ISNA(FI135),0,IF((FM134&lt;FO$44),IF((FM135&lt;FO$44),((FO$44-((FM134+FM135)*0.5))*FP135),(((FO$44-FM134)*0.5)*FP135)),IF((FM135&lt;FO$44),(((FO$44-FM135)*0.5)*FP135),0))),0),0))</f>
        <v>0</v>
      </c>
      <c s="588" r="FR135">
        <f>IF(ISNA((FM135*FM134)),0,IF((FJ134=FALSE),IF((FJ135=FALSE),IF(ISNA(FM135),0,IF((FM134&lt;FO$44),IF((FM135&lt;FO$44),(((FP135^2)+((FM135-FM134)^2))^0.5),(((FP135^2)+((FO$44-FM134)^2))^0.5)),IF((FM135&lt;FO$44),(((FP135^2)+((FO$44-FM135)^2))^0.5),0))),0),0))</f>
        <v>0</v>
      </c>
      <c s="588" r="FS135">
        <f>IF(ISNUMBER((FM135*FM134)),IF((FM134&gt;=EY$148),IF((FM135&lt;EY$148),1,0),IF((FM135&gt;=EY$148),IF((FM134&lt;EY$148),1,0),0)),0)</f>
        <v>0</v>
      </c>
      <c s="588" r="FT135">
        <f>IF(ISNA((FM135*FM134)),0,(IF((FL135&lt;FL134),-1,1)*(IF(ISNA(FM135),0,IF((FM134&lt;EY$148),IF((FM135&lt;EY$148),(((FL135-FL134)^2)^0.5),(((((EY$148-FM134)*(FL135-FL134))/(FM135-FM134))^2)^0.5)),IF((FM135&lt;EY$148),(((((EY$148-FM135)*(FL135-FL134))/(FM134-FM135))^2)^0.5),0))))))</f>
        <v>0</v>
      </c>
      <c s="441" r="FU135">
        <f>IF((FQ135&gt;0),(MAX(FU$47:FU134)+1),0)</f>
        <v>0</v>
      </c>
      <c s="222" r="FV135"/>
      <c s="125" r="FW135"/>
      <c s="125" r="FX135"/>
      <c s="125" r="FY135"/>
      <c s="125" r="FZ135"/>
      <c s="125" r="GA135"/>
      <c s="125" r="GB135"/>
      <c s="125" r="GC135"/>
      <c s="125" r="GD135"/>
      <c s="125" r="GE135"/>
      <c s="125" r="GF135"/>
      <c s="125" r="GG135"/>
      <c s="125" r="GH135"/>
      <c s="125" r="GI135"/>
      <c s="125" r="GJ135"/>
      <c s="125" r="GK135"/>
      <c s="125" r="GL135"/>
      <c s="125" r="GM135"/>
      <c s="125" r="GN135"/>
      <c s="125" r="GO135"/>
      <c s="125" r="GP135"/>
      <c s="125" r="GQ135"/>
      <c s="125" r="GR135"/>
      <c s="125" r="GS135"/>
      <c s="125" r="GT135"/>
      <c s="125" r="GU135"/>
      <c s="125" r="GV135"/>
      <c s="125" r="GW135"/>
      <c s="125" r="GX135"/>
      <c s="125" r="GY135"/>
      <c s="125" r="GZ135"/>
      <c s="125" r="HA135"/>
      <c s="125" r="HB135"/>
    </row>
    <row s="761" customFormat="1" r="136">
      <c s="125" r="A136"/>
      <c s="125" r="B136"/>
      <c s="125" r="C136"/>
      <c s="125" r="D136"/>
      <c s="125" r="E136"/>
      <c s="125" r="F136"/>
      <c s="125" r="G136"/>
      <c s="125" r="H136"/>
      <c s="125" r="I136"/>
      <c s="822" r="J136"/>
      <c s="687" r="K136"/>
      <c s="482" r="L136"/>
      <c s="482" r="M136"/>
      <c s="482" r="N136"/>
      <c s="482" r="O136"/>
      <c s="418" r="P136"/>
      <c s="550" r="Q136"/>
      <c s="550" r="R136"/>
      <c t="str" s="620" r="S136">
        <f>IF((COUNT(R136:R$146,T136:T$146)=0),NA(),IF(ISBLANK(R136),S135,(S135+(R136-T135))))</f>
        <v>#N/A:explicit</v>
      </c>
      <c s="550" r="T136"/>
      <c t="str" s="620" r="U136">
        <f>IF(OR(ISBLANK(T136),ISNUMBER(R137)),NA(),(S136-T136))</f>
        <v>#N/A:explicit</v>
      </c>
      <c t="b" s="895" r="V136">
        <v>0</v>
      </c>
      <c s="631" r="W136"/>
      <c t="str" s="309" r="X136">
        <f>IF((COUNT(Q136:Q$146)=0),NA(),IF(ISBLANK(Q136),IF(ISBLANK(Q135),MAX(Q$46:Q136),Q135),Q136))</f>
        <v>#N/A:explicit</v>
      </c>
      <c t="str" s="861" r="Y136">
        <f>IF(ISNA(U136),IF(ISNUMBER(X136),Y135,NA()),U136)</f>
        <v>#N/A:explicit</v>
      </c>
      <c s="861" r="Z136">
        <f>IF(ISNUMBER(Y136),Y136,(S$46+1000))</f>
        <v>1000</v>
      </c>
      <c t="str" s="588" r="AA136">
        <f>IF((V136=TRUE),NA(),IF((AA$44=(S$46-MAX(T$46:T$146))),NA(),AA$44))</f>
        <v>#N/A:explicit</v>
      </c>
      <c s="588" r="AB136">
        <f>IF((ISNA(((Y136*X136)*Y135))),0,(IF((X136&lt;X135),-1,1)*(IF((V135=FALSE),IF((V136=FALSE),IF(ISNA(Y136),0,IF((Y135&lt;AA$44),IF((Y136&lt;AA$44),(((X136-X135)^2)^0.5),(((((AA$44-Y135)*(X136-X135))/(Y136-Y135))^2)^0.5)),IF((Y136&lt;AA$44),(((((AA$44-Y136)*(X136-X135))/(Y135-Y136))^2)^0.5),0))),0),0))))</f>
        <v>0</v>
      </c>
      <c s="588" r="AC136">
        <f>IF(ISNA((Y136*Y135)),0,IF((V135=FALSE),IF((V136=FALSE),IF(ISNA(U136),0,IF((Y135&lt;AA$44),IF((Y136&lt;AA$44),((AA$44-((Y135+Y136)*0.5))*AB136),(((AA$44-Y135)*0.5)*AB136)),IF((Y136&lt;AA$44),(((AA$44-Y136)*0.5)*AB136),0))),0),0))</f>
        <v>0</v>
      </c>
      <c s="588" r="AD136">
        <f>IF(ISNA((Y136*Y135)),0,IF((V135=FALSE),IF((V136=FALSE),IF(ISNA(Y136),0,IF((Y135&lt;AA$44),IF((Y136&lt;AA$44),(((AB136^2)+((Y136-Y135)^2))^0.5),(((AB136^2)+((AA$44-Y135)^2))^0.5)),IF((Y136&lt;AA$44),(((AB136^2)+((AA$44-Y136)^2))^0.5),0))),0),0))</f>
        <v>0</v>
      </c>
      <c s="588" r="AE136">
        <f>IF(ISNUMBER((Y136*Y135)),IF((Y135&gt;=K$148),IF((Y136&lt;K$148),1,0),IF((Y136&gt;=K$148),IF((Y135&lt;K$148),1,0),0)),0)</f>
        <v>0</v>
      </c>
      <c s="588" r="AF136">
        <f>IF(ISNA((Y136*Y135)),0,(IF((X136&lt;X135),-1,1)*(IF(ISNA(Y136),0,IF((Y135&lt;K$148),IF((Y136&lt;K$148),(((X136-X135)^2)^0.5),(((((K$148-Y135)*(X136-X135))/(Y136-Y135))^2)^0.5)),IF((Y136&lt;K$148),(((((K$148-Y136)*(X136-X135))/(Y135-Y136))^2)^0.5),0))))))</f>
        <v>0</v>
      </c>
      <c s="441" r="AG136">
        <f>IF((AC136&gt;0),(MAX(AG$47:AG135)+1),0)</f>
        <v>0</v>
      </c>
      <c s="388" r="AH136"/>
      <c s="687" r="AI136"/>
      <c s="482" r="AJ136"/>
      <c s="482" r="AK136"/>
      <c s="482" r="AL136"/>
      <c s="482" r="AM136"/>
      <c s="418" r="AN136"/>
      <c s="550" r="AO136"/>
      <c s="550" r="AP136"/>
      <c t="str" s="620" r="AQ136">
        <f>IF((COUNT(AP136:AP$146,AR136:AR$146)=0),NA(),IF(ISBLANK(AP136),AQ135,(AQ135+(AP136-AR135))))</f>
        <v>#N/A:explicit</v>
      </c>
      <c s="550" r="AR136"/>
      <c t="str" s="620" r="AS136">
        <f>IF(OR(ISBLANK(AR136),ISNUMBER(AP137)),NA(),(AQ136-AR136))</f>
        <v>#N/A:explicit</v>
      </c>
      <c t="b" s="895" r="AT136">
        <v>0</v>
      </c>
      <c s="631" r="AU136"/>
      <c t="str" s="309" r="AV136">
        <f>IF((COUNT(AO136:AO$146)=0),NA(),IF(ISBLANK(AO136),IF(ISBLANK(AO135),MAX(AO$46:AO136),AO135),AO136))</f>
        <v>#N/A:explicit</v>
      </c>
      <c t="str" s="861" r="AW136">
        <f>IF(ISNA(AS136),IF(ISNUMBER(AV136),AW135,NA()),AS136)</f>
        <v>#N/A:explicit</v>
      </c>
      <c s="861" r="AX136">
        <f>IF(ISNUMBER(AW136),AW136,(AQ$46+1000))</f>
        <v>1000</v>
      </c>
      <c t="str" s="588" r="AY136">
        <f>IF((AT136=TRUE),NA(),IF((AY$44=(AQ$46-MAX(AR$46:AR$146))),NA(),AY$44))</f>
        <v>#N/A:explicit</v>
      </c>
      <c s="588" r="AZ136">
        <f>IF((ISNA(((AW136*AV136)*AW135))),0,(IF((AV136&lt;AV135),-1,1)*(IF((AT135=FALSE),IF((AT136=FALSE),IF(ISNA(AW136),0,IF((AW135&lt;AY$44),IF((AW136&lt;AY$44),(((AV136-AV135)^2)^0.5),(((((AY$44-AW135)*(AV136-AV135))/(AW136-AW135))^2)^0.5)),IF((AW136&lt;AY$44),(((((AY$44-AW136)*(AV136-AV135))/(AW135-AW136))^2)^0.5),0))),0),0))))</f>
        <v>0</v>
      </c>
      <c s="588" r="BA136">
        <f>IF(ISNA((AW136*AW135)),0,IF((AT135=FALSE),IF((AT136=FALSE),IF(ISNA(AS136),0,IF((AW135&lt;AY$44),IF((AW136&lt;AY$44),((AY$44-((AW135+AW136)*0.5))*AZ136),(((AY$44-AW135)*0.5)*AZ136)),IF((AW136&lt;AY$44),(((AY$44-AW136)*0.5)*AZ136),0))),0),0))</f>
        <v>0</v>
      </c>
      <c s="588" r="BB136">
        <f>IF(ISNA((AW136*AW135)),0,IF((AT135=FALSE),IF((AT136=FALSE),IF(ISNA(AW136),0,IF((AW135&lt;AY$44),IF((AW136&lt;AY$44),(((AZ136^2)+((AW136-AW135)^2))^0.5),(((AZ136^2)+((AY$44-AW135)^2))^0.5)),IF((AW136&lt;AY$44),(((AZ136^2)+((AY$44-AW136)^2))^0.5),0))),0),0))</f>
        <v>0</v>
      </c>
      <c s="588" r="BC136">
        <f>IF(ISNUMBER((AW136*AW135)),IF((AW135&gt;=AI$148),IF((AW136&lt;AI$148),1,0),IF((AW136&gt;=AI$148),IF((AW135&lt;AI$148),1,0),0)),0)</f>
        <v>0</v>
      </c>
      <c s="588" r="BD136">
        <f>IF(ISNA((AW136*AW135)),0,(IF((AV136&lt;AV135),-1,1)*(IF(ISNA(AW136),0,IF((AW135&lt;AI$148),IF((AW136&lt;AI$148),(((AV136-AV135)^2)^0.5),(((((AI$148-AW135)*(AV136-AV135))/(AW136-AW135))^2)^0.5)),IF((AW136&lt;AI$148),(((((AI$148-AW136)*(AV136-AV135))/(AW135-AW136))^2)^0.5),0))))))</f>
        <v>0</v>
      </c>
      <c s="441" r="BE136">
        <f>IF((BA136&gt;0),(MAX(BE$47:BE135)+1),0)</f>
        <v>0</v>
      </c>
      <c s="388" r="BF136"/>
      <c s="687" r="BG136"/>
      <c s="482" r="BH136"/>
      <c s="482" r="BI136"/>
      <c s="482" r="BJ136"/>
      <c s="482" r="BK136"/>
      <c s="418" r="BL136"/>
      <c s="550" r="BM136"/>
      <c s="550" r="BN136"/>
      <c t="str" s="620" r="BO136">
        <f>IF((COUNT(BN136:BN$146,BP136:BP$146)=0),NA(),IF(ISBLANK(BN136),BO135,(BO135+(BN136-BP135))))</f>
        <v>#N/A:explicit</v>
      </c>
      <c s="550" r="BP136"/>
      <c t="str" s="620" r="BQ136">
        <f>IF(OR(ISBLANK(BP136),ISNUMBER(BN137)),NA(),(BO136-BP136))</f>
        <v>#N/A:explicit</v>
      </c>
      <c t="b" s="895" r="BR136">
        <v>0</v>
      </c>
      <c s="631" r="BS136"/>
      <c t="str" s="309" r="BT136">
        <f>IF((COUNT(BM136:BM$146)=0),NA(),IF(ISBLANK(BM136),IF(ISBLANK(BM135),MAX(BM$46:BM136),BM135),BM136))</f>
        <v>#N/A:explicit</v>
      </c>
      <c t="str" s="861" r="BU136">
        <f>IF(ISNA(BQ136),IF(ISNUMBER(BT136),BU135,NA()),BQ136)</f>
        <v>#N/A:explicit</v>
      </c>
      <c s="861" r="BV136">
        <f>IF(ISNUMBER(BU136),BU136,(BO$46+1000))</f>
        <v>1000</v>
      </c>
      <c t="str" s="588" r="BW136">
        <f>IF((BR136=TRUE),NA(),IF((BW$44=(BO$46-MAX(BP$46:BP$146))),NA(),BW$44))</f>
        <v>#N/A:explicit</v>
      </c>
      <c s="588" r="BX136">
        <f>IF((ISNA(((BU136*BT136)*BU135))),0,(IF((BT136&lt;BT135),-1,1)*(IF((BR135=FALSE),IF((BR136=FALSE),IF(ISNA(BU136),0,IF((BU135&lt;BW$44),IF((BU136&lt;BW$44),(((BT136-BT135)^2)^0.5),(((((BW$44-BU135)*(BT136-BT135))/(BU136-BU135))^2)^0.5)),IF((BU136&lt;BW$44),(((((BW$44-BU136)*(BT136-BT135))/(BU135-BU136))^2)^0.5),0))),0),0))))</f>
        <v>0</v>
      </c>
      <c s="588" r="BY136">
        <f>IF(ISNA((BU136*BU135)),0,IF((BR135=FALSE),IF((BR136=FALSE),IF(ISNA(BQ136),0,IF((BU135&lt;BW$44),IF((BU136&lt;BW$44),((BW$44-((BU135+BU136)*0.5))*BX136),(((BW$44-BU135)*0.5)*BX136)),IF((BU136&lt;BW$44),(((BW$44-BU136)*0.5)*BX136),0))),0),0))</f>
        <v>0</v>
      </c>
      <c s="588" r="BZ136">
        <f>IF(ISNA((BU136*BU135)),0,IF((BR135=FALSE),IF((BR136=FALSE),IF(ISNA(BU136),0,IF((BU135&lt;BW$44),IF((BU136&lt;BW$44),(((BX136^2)+((BU136-BU135)^2))^0.5),(((BX136^2)+((BW$44-BU135)^2))^0.5)),IF((BU136&lt;BW$44),(((BX136^2)+((BW$44-BU136)^2))^0.5),0))),0),0))</f>
        <v>0</v>
      </c>
      <c s="588" r="CA136">
        <f>IF(ISNUMBER((BU136*BU135)),IF((BU135&gt;=BG$148),IF((BU136&lt;BG$148),1,0),IF((BU136&gt;=BG$148),IF((BU135&lt;BG$148),1,0),0)),0)</f>
        <v>0</v>
      </c>
      <c s="588" r="CB136">
        <f>IF(ISNA((BU136*BU135)),0,(IF((BT136&lt;BT135),-1,1)*(IF(ISNA(BU136),0,IF((BU135&lt;BG$148),IF((BU136&lt;BG$148),(((BT136-BT135)^2)^0.5),(((((BG$148-BU135)*(BT136-BT135))/(BU136-BU135))^2)^0.5)),IF((BU136&lt;BG$148),(((((BG$148-BU136)*(BT136-BT135))/(BU135-BU136))^2)^0.5),0))))))</f>
        <v>0</v>
      </c>
      <c s="441" r="CC136">
        <f>IF((BY136&gt;0),(MAX(CC$47:CC135)+1),0)</f>
        <v>0</v>
      </c>
      <c s="388" r="CD136"/>
      <c s="687" r="CE136"/>
      <c s="482" r="CF136"/>
      <c s="482" r="CG136"/>
      <c s="482" r="CH136"/>
      <c s="482" r="CI136"/>
      <c s="418" r="CJ136"/>
      <c s="550" r="CK136"/>
      <c s="550" r="CL136"/>
      <c t="str" s="620" r="CM136">
        <f>IF((COUNT(CL136:CL$146,CN136:CN$146)=0),NA(),IF(ISBLANK(CL136),CM135,(CM135+(CL136-CN135))))</f>
        <v>#N/A:explicit</v>
      </c>
      <c s="550" r="CN136"/>
      <c t="str" s="620" r="CO136">
        <f>IF(OR(ISBLANK(CN136),ISNUMBER(CL137)),NA(),(CM136-CN136))</f>
        <v>#N/A:explicit</v>
      </c>
      <c t="b" s="895" r="CP136">
        <v>0</v>
      </c>
      <c s="631" r="CQ136"/>
      <c t="str" s="309" r="CR136">
        <f>IF((COUNT(CK136:CK$146)=0),NA(),IF(ISBLANK(CK136),IF(ISBLANK(CK135),MAX(CK$46:CK136),CK135),CK136))</f>
        <v>#N/A:explicit</v>
      </c>
      <c t="str" s="861" r="CS136">
        <f>IF(ISNA(CO136),IF(ISNUMBER(CR136),CS135,NA()),CO136)</f>
        <v>#N/A:explicit</v>
      </c>
      <c s="861" r="CT136">
        <f>IF(ISNUMBER(CS136),CS136,(CM$46+1000))</f>
        <v>1000</v>
      </c>
      <c t="str" s="588" r="CU136">
        <f>IF((CP136=TRUE),NA(),IF((CU$44=(CM$46-MAX(CN$46:CN$146))),NA(),CU$44))</f>
        <v>#N/A:explicit</v>
      </c>
      <c s="588" r="CV136">
        <f>IF((ISNA(((CS136*CR136)*CS135))),0,(IF((CR136&lt;CR135),-1,1)*(IF((CP135=FALSE),IF((CP136=FALSE),IF(ISNA(CS136),0,IF((CS135&lt;CU$44),IF((CS136&lt;CU$44),(((CR136-CR135)^2)^0.5),(((((CU$44-CS135)*(CR136-CR135))/(CS136-CS135))^2)^0.5)),IF((CS136&lt;CU$44),(((((CU$44-CS136)*(CR136-CR135))/(CS135-CS136))^2)^0.5),0))),0),0))))</f>
        <v>0</v>
      </c>
      <c s="588" r="CW136">
        <f>IF(ISNA((CS136*CS135)),0,IF((CP135=FALSE),IF((CP136=FALSE),IF(ISNA(CO136),0,IF((CS135&lt;CU$44),IF((CS136&lt;CU$44),((CU$44-((CS135+CS136)*0.5))*CV136),(((CU$44-CS135)*0.5)*CV136)),IF((CS136&lt;CU$44),(((CU$44-CS136)*0.5)*CV136),0))),0),0))</f>
        <v>0</v>
      </c>
      <c s="588" r="CX136">
        <f>IF(ISNA((CS136*CS135)),0,IF((CP135=FALSE),IF((CP136=FALSE),IF(ISNA(CS136),0,IF((CS135&lt;CU$44),IF((CS136&lt;CU$44),(((CV136^2)+((CS136-CS135)^2))^0.5),(((CV136^2)+((CU$44-CS135)^2))^0.5)),IF((CS136&lt;CU$44),(((CV136^2)+((CU$44-CS136)^2))^0.5),0))),0),0))</f>
        <v>0</v>
      </c>
      <c s="588" r="CY136">
        <f>IF(ISNUMBER((CS136*CS135)),IF((CS135&gt;=CE$148),IF((CS136&lt;CE$148),1,0),IF((CS136&gt;=CE$148),IF((CS135&lt;CE$148),1,0),0)),0)</f>
        <v>0</v>
      </c>
      <c s="588" r="CZ136">
        <f>IF(ISNA((CS136*CS135)),0,(IF((CR136&lt;CR135),-1,1)*(IF(ISNA(CS136),0,IF((CS135&lt;CE$148),IF((CS136&lt;CE$148),(((CR136-CR135)^2)^0.5),(((((CE$148-CS135)*(CR136-CR135))/(CS136-CS135))^2)^0.5)),IF((CS136&lt;CE$148),(((((CE$148-CS136)*(CR136-CR135))/(CS135-CS136))^2)^0.5),0))))))</f>
        <v>0</v>
      </c>
      <c s="441" r="DA136">
        <f>IF((CW136&gt;0),(MAX(DA$47:DA135)+1),0)</f>
        <v>0</v>
      </c>
      <c s="388" r="DB136"/>
      <c s="687" r="DC136"/>
      <c s="482" r="DD136"/>
      <c s="482" r="DE136"/>
      <c s="482" r="DF136"/>
      <c s="482" r="DG136"/>
      <c s="418" r="DH136"/>
      <c s="550" r="DI136"/>
      <c s="550" r="DJ136"/>
      <c t="str" s="620" r="DK136">
        <f>IF((COUNT(DJ136:DJ$146,DL136:DL$146)=0),NA(),IF(ISBLANK(DJ136),DK135,(DK135+(DJ136-DL135))))</f>
        <v>#N/A:explicit</v>
      </c>
      <c s="550" r="DL136"/>
      <c t="str" s="620" r="DM136">
        <f>IF(OR(ISBLANK(DL136),ISNUMBER(DJ137)),NA(),(DK136-DL136))</f>
        <v>#N/A:explicit</v>
      </c>
      <c t="b" s="895" r="DN136">
        <v>0</v>
      </c>
      <c s="631" r="DO136"/>
      <c t="str" s="309" r="DP136">
        <f>IF((COUNT(DI136:DI$146)=0),NA(),IF(ISBLANK(DI136),IF(ISBLANK(DI135),MAX(DI$46:DI136),DI135),DI136))</f>
        <v>#N/A:explicit</v>
      </c>
      <c t="str" s="861" r="DQ136">
        <f>IF(ISNA(DM136),IF(ISNUMBER(DP136),DQ135,NA()),DM136)</f>
        <v>#N/A:explicit</v>
      </c>
      <c s="861" r="DR136">
        <f>IF(ISNUMBER(DQ136),DQ136,(DK$46+1000))</f>
        <v>1000</v>
      </c>
      <c t="str" s="588" r="DS136">
        <f>IF((DN136=TRUE),NA(),IF((DS$44=(DK$46-MAX(DL$46:DL$146))),NA(),DS$44))</f>
        <v>#N/A:explicit</v>
      </c>
      <c s="588" r="DT136">
        <f>IF((ISNA(((DQ136*DP136)*DQ135))),0,(IF((DP136&lt;DP135),-1,1)*(IF((DN135=FALSE),IF((DN136=FALSE),IF(ISNA(DQ136),0,IF((DQ135&lt;DS$44),IF((DQ136&lt;DS$44),(((DP136-DP135)^2)^0.5),(((((DS$44-DQ135)*(DP136-DP135))/(DQ136-DQ135))^2)^0.5)),IF((DQ136&lt;DS$44),(((((DS$44-DQ136)*(DP136-DP135))/(DQ135-DQ136))^2)^0.5),0))),0),0))))</f>
        <v>0</v>
      </c>
      <c s="588" r="DU136">
        <f>IF(ISNA((DQ136*DQ135)),0,IF((DN135=FALSE),IF((DN136=FALSE),IF(ISNA(DM136),0,IF((DQ135&lt;DS$44),IF((DQ136&lt;DS$44),((DS$44-((DQ135+DQ136)*0.5))*DT136),(((DS$44-DQ135)*0.5)*DT136)),IF((DQ136&lt;DS$44),(((DS$44-DQ136)*0.5)*DT136),0))),0),0))</f>
        <v>0</v>
      </c>
      <c s="588" r="DV136">
        <f>IF(ISNA((DQ136*DQ135)),0,IF((DN135=FALSE),IF((DN136=FALSE),IF(ISNA(DQ136),0,IF((DQ135&lt;DS$44),IF((DQ136&lt;DS$44),(((DT136^2)+((DQ136-DQ135)^2))^0.5),(((DT136^2)+((DS$44-DQ135)^2))^0.5)),IF((DQ136&lt;DS$44),(((DT136^2)+((DS$44-DQ136)^2))^0.5),0))),0),0))</f>
        <v>0</v>
      </c>
      <c s="588" r="DW136">
        <f>IF(ISNUMBER((DQ136*DQ135)),IF((DQ135&gt;=DC$148),IF((DQ136&lt;DC$148),1,0),IF((DQ136&gt;=DC$148),IF((DQ135&lt;DC$148),1,0),0)),0)</f>
        <v>0</v>
      </c>
      <c s="588" r="DX136">
        <f>IF(ISNA((DQ136*DQ135)),0,(IF((DP136&lt;DP135),-1,1)*(IF(ISNA(DQ136),0,IF((DQ135&lt;DC$148),IF((DQ136&lt;DC$148),(((DP136-DP135)^2)^0.5),(((((DC$148-DQ135)*(DP136-DP135))/(DQ136-DQ135))^2)^0.5)),IF((DQ136&lt;DC$148),(((((DC$148-DQ136)*(DP136-DP135))/(DQ135-DQ136))^2)^0.5),0))))))</f>
        <v>0</v>
      </c>
      <c s="441" r="DY136">
        <f>IF((DU136&gt;0),(MAX(DY$47:DY135)+1),0)</f>
        <v>0</v>
      </c>
      <c s="388" r="DZ136"/>
      <c s="687" r="EA136"/>
      <c s="482" r="EB136"/>
      <c s="482" r="EC136"/>
      <c s="482" r="ED136"/>
      <c s="482" r="EE136"/>
      <c s="418" r="EF136"/>
      <c s="550" r="EG136"/>
      <c s="550" r="EH136"/>
      <c t="str" s="620" r="EI136">
        <f>IF((COUNT(EH136:EH$146,EJ136:EJ$146)=0),NA(),IF(ISBLANK(EH136),EI135,(EI135+(EH136-EJ135))))</f>
        <v>#N/A:explicit</v>
      </c>
      <c s="550" r="EJ136"/>
      <c t="str" s="620" r="EK136">
        <f>IF(OR(ISBLANK(EJ136),ISNUMBER(EH137)),NA(),(EI136-EJ136))</f>
        <v>#N/A:explicit</v>
      </c>
      <c t="b" s="895" r="EL136">
        <v>0</v>
      </c>
      <c s="631" r="EM136"/>
      <c t="str" s="309" r="EN136">
        <f>IF((COUNT(EG136:EG$146)=0),NA(),IF(ISBLANK(EG136),IF(ISBLANK(EG135),MAX(EG$46:EG136),EG135),EG136))</f>
        <v>#N/A:explicit</v>
      </c>
      <c t="str" s="861" r="EO136">
        <f>IF(ISNA(EK136),IF(ISNUMBER(EN136),EO135,NA()),EK136)</f>
        <v>#N/A:explicit</v>
      </c>
      <c s="861" r="EP136">
        <f>IF(ISNUMBER(EO136),EO136,(EI$46+1000))</f>
        <v>1000</v>
      </c>
      <c t="str" s="588" r="EQ136">
        <f>IF((EL136=TRUE),NA(),IF((EQ$44=(EI$46-MAX(EJ$46:EJ$146))),NA(),EQ$44))</f>
        <v>#N/A:explicit</v>
      </c>
      <c s="588" r="ER136">
        <f>IF((ISNA(((EO136*EN136)*EO135))),0,(IF((EN136&lt;EN135),-1,1)*(IF((EL135=FALSE),IF((EL136=FALSE),IF(ISNA(EO136),0,IF((EO135&lt;EQ$44),IF((EO136&lt;EQ$44),(((EN136-EN135)^2)^0.5),(((((EQ$44-EO135)*(EN136-EN135))/(EO136-EO135))^2)^0.5)),IF((EO136&lt;EQ$44),(((((EQ$44-EO136)*(EN136-EN135))/(EO135-EO136))^2)^0.5),0))),0),0))))</f>
        <v>0</v>
      </c>
      <c s="588" r="ES136">
        <f>IF(ISNA((EO136*EO135)),0,IF((EL135=FALSE),IF((EL136=FALSE),IF(ISNA(EK136),0,IF((EO135&lt;EQ$44),IF((EO136&lt;EQ$44),((EQ$44-((EO135+EO136)*0.5))*ER136),(((EQ$44-EO135)*0.5)*ER136)),IF((EO136&lt;EQ$44),(((EQ$44-EO136)*0.5)*ER136),0))),0),0))</f>
        <v>0</v>
      </c>
      <c s="588" r="ET136">
        <f>IF(ISNA((EO136*EO135)),0,IF((EL135=FALSE),IF((EL136=FALSE),IF(ISNA(EO136),0,IF((EO135&lt;EQ$44),IF((EO136&lt;EQ$44),(((ER136^2)+((EO136-EO135)^2))^0.5),(((ER136^2)+((EQ$44-EO135)^2))^0.5)),IF((EO136&lt;EQ$44),(((ER136^2)+((EQ$44-EO136)^2))^0.5),0))),0),0))</f>
        <v>0</v>
      </c>
      <c s="588" r="EU136">
        <f>IF(ISNUMBER((EO136*EO135)),IF((EO135&gt;=EA$148),IF((EO136&lt;EA$148),1,0),IF((EO136&gt;=EA$148),IF((EO135&lt;EA$148),1,0),0)),0)</f>
        <v>0</v>
      </c>
      <c s="588" r="EV136">
        <f>IF(ISNA((EO136*EO135)),0,(IF((EN136&lt;EN135),-1,1)*(IF(ISNA(EO136),0,IF((EO135&lt;EA$148),IF((EO136&lt;EA$148),(((EN136-EN135)^2)^0.5),(((((EA$148-EO135)*(EN136-EN135))/(EO136-EO135))^2)^0.5)),IF((EO136&lt;EA$148),(((((EA$148-EO136)*(EN136-EN135))/(EO135-EO136))^2)^0.5),0))))))</f>
        <v>0</v>
      </c>
      <c s="441" r="EW136">
        <f>IF((ES136&gt;0),(MAX(EW$47:EW135)+1),0)</f>
        <v>0</v>
      </c>
      <c s="388" r="EX136"/>
      <c s="687" r="EY136"/>
      <c s="482" r="EZ136"/>
      <c s="482" r="FA136"/>
      <c s="482" r="FB136"/>
      <c s="482" r="FC136"/>
      <c s="418" r="FD136"/>
      <c s="550" r="FE136"/>
      <c s="550" r="FF136"/>
      <c t="str" s="620" r="FG136">
        <f>IF((COUNT(FF136:FF$146,FH136:FH$146)=0),NA(),IF(ISBLANK(FF136),FG135,(FG135+(FF136-FH135))))</f>
        <v>#N/A:explicit</v>
      </c>
      <c s="550" r="FH136"/>
      <c t="str" s="620" r="FI136">
        <f>IF(OR(ISBLANK(FH136),ISNUMBER(FF137)),NA(),(FG136-FH136))</f>
        <v>#N/A:explicit</v>
      </c>
      <c t="b" s="895" r="FJ136">
        <v>0</v>
      </c>
      <c s="631" r="FK136"/>
      <c t="str" s="309" r="FL136">
        <f>IF((COUNT(FE136:FE$146)=0),NA(),IF(ISBLANK(FE136),IF(ISBLANK(FE135),MAX(FE$46:FE136),FE135),FE136))</f>
        <v>#N/A:explicit</v>
      </c>
      <c t="str" s="861" r="FM136">
        <f>IF(ISNA(FI136),IF(ISNUMBER(FL136),FM135,NA()),FI136)</f>
        <v>#N/A:explicit</v>
      </c>
      <c s="861" r="FN136">
        <f>IF(ISNUMBER(FM136),FM136,(FG$46+1000))</f>
        <v>1000</v>
      </c>
      <c t="str" s="588" r="FO136">
        <f>IF((FJ136=TRUE),NA(),IF((FO$44=(FG$46-MAX(FH$46:FH$146))),NA(),FO$44))</f>
        <v>#N/A:explicit</v>
      </c>
      <c s="588" r="FP136">
        <f>IF((ISNA(((FM136*FL136)*FM135))),0,(IF((FL136&lt;FL135),-1,1)*(IF((FJ135=FALSE),IF((FJ136=FALSE),IF(ISNA(FM136),0,IF((FM135&lt;FO$44),IF((FM136&lt;FO$44),(((FL136-FL135)^2)^0.5),(((((FO$44-FM135)*(FL136-FL135))/(FM136-FM135))^2)^0.5)),IF((FM136&lt;FO$44),(((((FO$44-FM136)*(FL136-FL135))/(FM135-FM136))^2)^0.5),0))),0),0))))</f>
        <v>0</v>
      </c>
      <c s="588" r="FQ136">
        <f>IF(ISNA((FM136*FM135)),0,IF((FJ135=FALSE),IF((FJ136=FALSE),IF(ISNA(FI136),0,IF((FM135&lt;FO$44),IF((FM136&lt;FO$44),((FO$44-((FM135+FM136)*0.5))*FP136),(((FO$44-FM135)*0.5)*FP136)),IF((FM136&lt;FO$44),(((FO$44-FM136)*0.5)*FP136),0))),0),0))</f>
        <v>0</v>
      </c>
      <c s="588" r="FR136">
        <f>IF(ISNA((FM136*FM135)),0,IF((FJ135=FALSE),IF((FJ136=FALSE),IF(ISNA(FM136),0,IF((FM135&lt;FO$44),IF((FM136&lt;FO$44),(((FP136^2)+((FM136-FM135)^2))^0.5),(((FP136^2)+((FO$44-FM135)^2))^0.5)),IF((FM136&lt;FO$44),(((FP136^2)+((FO$44-FM136)^2))^0.5),0))),0),0))</f>
        <v>0</v>
      </c>
      <c s="588" r="FS136">
        <f>IF(ISNUMBER((FM136*FM135)),IF((FM135&gt;=EY$148),IF((FM136&lt;EY$148),1,0),IF((FM136&gt;=EY$148),IF((FM135&lt;EY$148),1,0),0)),0)</f>
        <v>0</v>
      </c>
      <c s="588" r="FT136">
        <f>IF(ISNA((FM136*FM135)),0,(IF((FL136&lt;FL135),-1,1)*(IF(ISNA(FM136),0,IF((FM135&lt;EY$148),IF((FM136&lt;EY$148),(((FL136-FL135)^2)^0.5),(((((EY$148-FM135)*(FL136-FL135))/(FM136-FM135))^2)^0.5)),IF((FM136&lt;EY$148),(((((EY$148-FM136)*(FL136-FL135))/(FM135-FM136))^2)^0.5),0))))))</f>
        <v>0</v>
      </c>
      <c s="441" r="FU136">
        <f>IF((FQ136&gt;0),(MAX(FU$47:FU135)+1),0)</f>
        <v>0</v>
      </c>
      <c s="222" r="FV136"/>
      <c s="125" r="FW136"/>
      <c s="125" r="FX136"/>
      <c s="125" r="FY136"/>
      <c s="125" r="FZ136"/>
      <c s="125" r="GA136"/>
      <c s="125" r="GB136"/>
      <c s="125" r="GC136"/>
      <c s="125" r="GD136"/>
      <c s="125" r="GE136"/>
      <c s="125" r="GF136"/>
      <c s="125" r="GG136"/>
      <c s="125" r="GH136"/>
      <c s="125" r="GI136"/>
      <c s="125" r="GJ136"/>
      <c s="125" r="GK136"/>
      <c s="125" r="GL136"/>
      <c s="125" r="GM136"/>
      <c s="125" r="GN136"/>
      <c s="125" r="GO136"/>
      <c s="125" r="GP136"/>
      <c s="125" r="GQ136"/>
      <c s="125" r="GR136"/>
      <c s="125" r="GS136"/>
      <c s="125" r="GT136"/>
      <c s="125" r="GU136"/>
      <c s="125" r="GV136"/>
      <c s="125" r="GW136"/>
      <c s="125" r="GX136"/>
      <c s="125" r="GY136"/>
      <c s="125" r="GZ136"/>
      <c s="125" r="HA136"/>
      <c s="125" r="HB136"/>
    </row>
    <row s="761" customFormat="1" r="137">
      <c s="125" r="A137"/>
      <c s="125" r="B137"/>
      <c s="125" r="C137"/>
      <c s="125" r="D137"/>
      <c s="125" r="E137"/>
      <c s="125" r="F137"/>
      <c s="125" r="G137"/>
      <c s="125" r="H137"/>
      <c s="125" r="I137"/>
      <c s="822" r="J137"/>
      <c s="687" r="K137"/>
      <c s="482" r="L137"/>
      <c s="482" r="M137"/>
      <c s="482" r="N137"/>
      <c s="482" r="O137"/>
      <c s="418" r="P137"/>
      <c s="550" r="Q137"/>
      <c s="550" r="R137"/>
      <c t="str" s="620" r="S137">
        <f>IF((COUNT(R137:R$146,T137:T$146)=0),NA(),IF(ISBLANK(R137),S136,(S136+(R137-T136))))</f>
        <v>#N/A:explicit</v>
      </c>
      <c s="550" r="T137"/>
      <c t="str" s="620" r="U137">
        <f>IF(OR(ISBLANK(T137),ISNUMBER(R138)),NA(),(S137-T137))</f>
        <v>#N/A:explicit</v>
      </c>
      <c t="b" s="895" r="V137">
        <v>0</v>
      </c>
      <c s="631" r="W137"/>
      <c t="str" s="309" r="X137">
        <f>IF((COUNT(Q137:Q$146)=0),NA(),IF(ISBLANK(Q137),IF(ISBLANK(Q136),MAX(Q$46:Q137),Q136),Q137))</f>
        <v>#N/A:explicit</v>
      </c>
      <c t="str" s="861" r="Y137">
        <f>IF(ISNA(U137),IF(ISNUMBER(X137),Y136,NA()),U137)</f>
        <v>#N/A:explicit</v>
      </c>
      <c s="861" r="Z137">
        <f>IF(ISNUMBER(Y137),Y137,(S$46+1000))</f>
        <v>1000</v>
      </c>
      <c t="str" s="588" r="AA137">
        <f>IF((V137=TRUE),NA(),IF((AA$44=(S$46-MAX(T$46:T$146))),NA(),AA$44))</f>
        <v>#N/A:explicit</v>
      </c>
      <c s="588" r="AB137">
        <f>IF((ISNA(((Y137*X137)*Y136))),0,(IF((X137&lt;X136),-1,1)*(IF((V136=FALSE),IF((V137=FALSE),IF(ISNA(Y137),0,IF((Y136&lt;AA$44),IF((Y137&lt;AA$44),(((X137-X136)^2)^0.5),(((((AA$44-Y136)*(X137-X136))/(Y137-Y136))^2)^0.5)),IF((Y137&lt;AA$44),(((((AA$44-Y137)*(X137-X136))/(Y136-Y137))^2)^0.5),0))),0),0))))</f>
        <v>0</v>
      </c>
      <c s="588" r="AC137">
        <f>IF(ISNA((Y137*Y136)),0,IF((V136=FALSE),IF((V137=FALSE),IF(ISNA(U137),0,IF((Y136&lt;AA$44),IF((Y137&lt;AA$44),((AA$44-((Y136+Y137)*0.5))*AB137),(((AA$44-Y136)*0.5)*AB137)),IF((Y137&lt;AA$44),(((AA$44-Y137)*0.5)*AB137),0))),0),0))</f>
        <v>0</v>
      </c>
      <c s="588" r="AD137">
        <f>IF(ISNA((Y137*Y136)),0,IF((V136=FALSE),IF((V137=FALSE),IF(ISNA(Y137),0,IF((Y136&lt;AA$44),IF((Y137&lt;AA$44),(((AB137^2)+((Y137-Y136)^2))^0.5),(((AB137^2)+((AA$44-Y136)^2))^0.5)),IF((Y137&lt;AA$44),(((AB137^2)+((AA$44-Y137)^2))^0.5),0))),0),0))</f>
        <v>0</v>
      </c>
      <c s="588" r="AE137">
        <f>IF(ISNUMBER((Y137*Y136)),IF((Y136&gt;=K$148),IF((Y137&lt;K$148),1,0),IF((Y137&gt;=K$148),IF((Y136&lt;K$148),1,0),0)),0)</f>
        <v>0</v>
      </c>
      <c s="588" r="AF137">
        <f>IF(ISNA((Y137*Y136)),0,(IF((X137&lt;X136),-1,1)*(IF(ISNA(Y137),0,IF((Y136&lt;K$148),IF((Y137&lt;K$148),(((X137-X136)^2)^0.5),(((((K$148-Y136)*(X137-X136))/(Y137-Y136))^2)^0.5)),IF((Y137&lt;K$148),(((((K$148-Y137)*(X137-X136))/(Y136-Y137))^2)^0.5),0))))))</f>
        <v>0</v>
      </c>
      <c s="441" r="AG137">
        <f>IF((AC137&gt;0),(MAX(AG$47:AG136)+1),0)</f>
        <v>0</v>
      </c>
      <c s="388" r="AH137"/>
      <c s="687" r="AI137"/>
      <c s="482" r="AJ137"/>
      <c s="482" r="AK137"/>
      <c s="482" r="AL137"/>
      <c s="482" r="AM137"/>
      <c s="418" r="AN137"/>
      <c s="550" r="AO137"/>
      <c s="550" r="AP137"/>
      <c t="str" s="620" r="AQ137">
        <f>IF((COUNT(AP137:AP$146,AR137:AR$146)=0),NA(),IF(ISBLANK(AP137),AQ136,(AQ136+(AP137-AR136))))</f>
        <v>#N/A:explicit</v>
      </c>
      <c s="550" r="AR137"/>
      <c t="str" s="620" r="AS137">
        <f>IF(OR(ISBLANK(AR137),ISNUMBER(AP138)),NA(),(AQ137-AR137))</f>
        <v>#N/A:explicit</v>
      </c>
      <c t="b" s="895" r="AT137">
        <v>0</v>
      </c>
      <c s="631" r="AU137"/>
      <c t="str" s="309" r="AV137">
        <f>IF((COUNT(AO137:AO$146)=0),NA(),IF(ISBLANK(AO137),IF(ISBLANK(AO136),MAX(AO$46:AO137),AO136),AO137))</f>
        <v>#N/A:explicit</v>
      </c>
      <c t="str" s="861" r="AW137">
        <f>IF(ISNA(AS137),IF(ISNUMBER(AV137),AW136,NA()),AS137)</f>
        <v>#N/A:explicit</v>
      </c>
      <c s="861" r="AX137">
        <f>IF(ISNUMBER(AW137),AW137,(AQ$46+1000))</f>
        <v>1000</v>
      </c>
      <c t="str" s="588" r="AY137">
        <f>IF((AT137=TRUE),NA(),IF((AY$44=(AQ$46-MAX(AR$46:AR$146))),NA(),AY$44))</f>
        <v>#N/A:explicit</v>
      </c>
      <c s="588" r="AZ137">
        <f>IF((ISNA(((AW137*AV137)*AW136))),0,(IF((AV137&lt;AV136),-1,1)*(IF((AT136=FALSE),IF((AT137=FALSE),IF(ISNA(AW137),0,IF((AW136&lt;AY$44),IF((AW137&lt;AY$44),(((AV137-AV136)^2)^0.5),(((((AY$44-AW136)*(AV137-AV136))/(AW137-AW136))^2)^0.5)),IF((AW137&lt;AY$44),(((((AY$44-AW137)*(AV137-AV136))/(AW136-AW137))^2)^0.5),0))),0),0))))</f>
        <v>0</v>
      </c>
      <c s="588" r="BA137">
        <f>IF(ISNA((AW137*AW136)),0,IF((AT136=FALSE),IF((AT137=FALSE),IF(ISNA(AS137),0,IF((AW136&lt;AY$44),IF((AW137&lt;AY$44),((AY$44-((AW136+AW137)*0.5))*AZ137),(((AY$44-AW136)*0.5)*AZ137)),IF((AW137&lt;AY$44),(((AY$44-AW137)*0.5)*AZ137),0))),0),0))</f>
        <v>0</v>
      </c>
      <c s="588" r="BB137">
        <f>IF(ISNA((AW137*AW136)),0,IF((AT136=FALSE),IF((AT137=FALSE),IF(ISNA(AW137),0,IF((AW136&lt;AY$44),IF((AW137&lt;AY$44),(((AZ137^2)+((AW137-AW136)^2))^0.5),(((AZ137^2)+((AY$44-AW136)^2))^0.5)),IF((AW137&lt;AY$44),(((AZ137^2)+((AY$44-AW137)^2))^0.5),0))),0),0))</f>
        <v>0</v>
      </c>
      <c s="588" r="BC137">
        <f>IF(ISNUMBER((AW137*AW136)),IF((AW136&gt;=AI$148),IF((AW137&lt;AI$148),1,0),IF((AW137&gt;=AI$148),IF((AW136&lt;AI$148),1,0),0)),0)</f>
        <v>0</v>
      </c>
      <c s="588" r="BD137">
        <f>IF(ISNA((AW137*AW136)),0,(IF((AV137&lt;AV136),-1,1)*(IF(ISNA(AW137),0,IF((AW136&lt;AI$148),IF((AW137&lt;AI$148),(((AV137-AV136)^2)^0.5),(((((AI$148-AW136)*(AV137-AV136))/(AW137-AW136))^2)^0.5)),IF((AW137&lt;AI$148),(((((AI$148-AW137)*(AV137-AV136))/(AW136-AW137))^2)^0.5),0))))))</f>
        <v>0</v>
      </c>
      <c s="441" r="BE137">
        <f>IF((BA137&gt;0),(MAX(BE$47:BE136)+1),0)</f>
        <v>0</v>
      </c>
      <c s="388" r="BF137"/>
      <c s="687" r="BG137"/>
      <c s="482" r="BH137"/>
      <c s="482" r="BI137"/>
      <c s="482" r="BJ137"/>
      <c s="482" r="BK137"/>
      <c s="418" r="BL137"/>
      <c s="550" r="BM137"/>
      <c s="550" r="BN137"/>
      <c t="str" s="620" r="BO137">
        <f>IF((COUNT(BN137:BN$146,BP137:BP$146)=0),NA(),IF(ISBLANK(BN137),BO136,(BO136+(BN137-BP136))))</f>
        <v>#N/A:explicit</v>
      </c>
      <c s="550" r="BP137"/>
      <c t="str" s="620" r="BQ137">
        <f>IF(OR(ISBLANK(BP137),ISNUMBER(BN138)),NA(),(BO137-BP137))</f>
        <v>#N/A:explicit</v>
      </c>
      <c t="b" s="895" r="BR137">
        <v>0</v>
      </c>
      <c s="631" r="BS137"/>
      <c t="str" s="309" r="BT137">
        <f>IF((COUNT(BM137:BM$146)=0),NA(),IF(ISBLANK(BM137),IF(ISBLANK(BM136),MAX(BM$46:BM137),BM136),BM137))</f>
        <v>#N/A:explicit</v>
      </c>
      <c t="str" s="861" r="BU137">
        <f>IF(ISNA(BQ137),IF(ISNUMBER(BT137),BU136,NA()),BQ137)</f>
        <v>#N/A:explicit</v>
      </c>
      <c s="861" r="BV137">
        <f>IF(ISNUMBER(BU137),BU137,(BO$46+1000))</f>
        <v>1000</v>
      </c>
      <c t="str" s="588" r="BW137">
        <f>IF((BR137=TRUE),NA(),IF((BW$44=(BO$46-MAX(BP$46:BP$146))),NA(),BW$44))</f>
        <v>#N/A:explicit</v>
      </c>
      <c s="588" r="BX137">
        <f>IF((ISNA(((BU137*BT137)*BU136))),0,(IF((BT137&lt;BT136),-1,1)*(IF((BR136=FALSE),IF((BR137=FALSE),IF(ISNA(BU137),0,IF((BU136&lt;BW$44),IF((BU137&lt;BW$44),(((BT137-BT136)^2)^0.5),(((((BW$44-BU136)*(BT137-BT136))/(BU137-BU136))^2)^0.5)),IF((BU137&lt;BW$44),(((((BW$44-BU137)*(BT137-BT136))/(BU136-BU137))^2)^0.5),0))),0),0))))</f>
        <v>0</v>
      </c>
      <c s="588" r="BY137">
        <f>IF(ISNA((BU137*BU136)),0,IF((BR136=FALSE),IF((BR137=FALSE),IF(ISNA(BQ137),0,IF((BU136&lt;BW$44),IF((BU137&lt;BW$44),((BW$44-((BU136+BU137)*0.5))*BX137),(((BW$44-BU136)*0.5)*BX137)),IF((BU137&lt;BW$44),(((BW$44-BU137)*0.5)*BX137),0))),0),0))</f>
        <v>0</v>
      </c>
      <c s="588" r="BZ137">
        <f>IF(ISNA((BU137*BU136)),0,IF((BR136=FALSE),IF((BR137=FALSE),IF(ISNA(BU137),0,IF((BU136&lt;BW$44),IF((BU137&lt;BW$44),(((BX137^2)+((BU137-BU136)^2))^0.5),(((BX137^2)+((BW$44-BU136)^2))^0.5)),IF((BU137&lt;BW$44),(((BX137^2)+((BW$44-BU137)^2))^0.5),0))),0),0))</f>
        <v>0</v>
      </c>
      <c s="588" r="CA137">
        <f>IF(ISNUMBER((BU137*BU136)),IF((BU136&gt;=BG$148),IF((BU137&lt;BG$148),1,0),IF((BU137&gt;=BG$148),IF((BU136&lt;BG$148),1,0),0)),0)</f>
        <v>0</v>
      </c>
      <c s="588" r="CB137">
        <f>IF(ISNA((BU137*BU136)),0,(IF((BT137&lt;BT136),-1,1)*(IF(ISNA(BU137),0,IF((BU136&lt;BG$148),IF((BU137&lt;BG$148),(((BT137-BT136)^2)^0.5),(((((BG$148-BU136)*(BT137-BT136))/(BU137-BU136))^2)^0.5)),IF((BU137&lt;BG$148),(((((BG$148-BU137)*(BT137-BT136))/(BU136-BU137))^2)^0.5),0))))))</f>
        <v>0</v>
      </c>
      <c s="441" r="CC137">
        <f>IF((BY137&gt;0),(MAX(CC$47:CC136)+1),0)</f>
        <v>0</v>
      </c>
      <c s="388" r="CD137"/>
      <c s="687" r="CE137"/>
      <c s="482" r="CF137"/>
      <c s="482" r="CG137"/>
      <c s="482" r="CH137"/>
      <c s="482" r="CI137"/>
      <c s="418" r="CJ137"/>
      <c s="550" r="CK137"/>
      <c s="550" r="CL137"/>
      <c t="str" s="620" r="CM137">
        <f>IF((COUNT(CL137:CL$146,CN137:CN$146)=0),NA(),IF(ISBLANK(CL137),CM136,(CM136+(CL137-CN136))))</f>
        <v>#N/A:explicit</v>
      </c>
      <c s="550" r="CN137"/>
      <c t="str" s="620" r="CO137">
        <f>IF(OR(ISBLANK(CN137),ISNUMBER(CL138)),NA(),(CM137-CN137))</f>
        <v>#N/A:explicit</v>
      </c>
      <c t="b" s="895" r="CP137">
        <v>0</v>
      </c>
      <c s="631" r="CQ137"/>
      <c t="str" s="309" r="CR137">
        <f>IF((COUNT(CK137:CK$146)=0),NA(),IF(ISBLANK(CK137),IF(ISBLANK(CK136),MAX(CK$46:CK137),CK136),CK137))</f>
        <v>#N/A:explicit</v>
      </c>
      <c t="str" s="861" r="CS137">
        <f>IF(ISNA(CO137),IF(ISNUMBER(CR137),CS136,NA()),CO137)</f>
        <v>#N/A:explicit</v>
      </c>
      <c s="861" r="CT137">
        <f>IF(ISNUMBER(CS137),CS137,(CM$46+1000))</f>
        <v>1000</v>
      </c>
      <c t="str" s="588" r="CU137">
        <f>IF((CP137=TRUE),NA(),IF((CU$44=(CM$46-MAX(CN$46:CN$146))),NA(),CU$44))</f>
        <v>#N/A:explicit</v>
      </c>
      <c s="588" r="CV137">
        <f>IF((ISNA(((CS137*CR137)*CS136))),0,(IF((CR137&lt;CR136),-1,1)*(IF((CP136=FALSE),IF((CP137=FALSE),IF(ISNA(CS137),0,IF((CS136&lt;CU$44),IF((CS137&lt;CU$44),(((CR137-CR136)^2)^0.5),(((((CU$44-CS136)*(CR137-CR136))/(CS137-CS136))^2)^0.5)),IF((CS137&lt;CU$44),(((((CU$44-CS137)*(CR137-CR136))/(CS136-CS137))^2)^0.5),0))),0),0))))</f>
        <v>0</v>
      </c>
      <c s="588" r="CW137">
        <f>IF(ISNA((CS137*CS136)),0,IF((CP136=FALSE),IF((CP137=FALSE),IF(ISNA(CO137),0,IF((CS136&lt;CU$44),IF((CS137&lt;CU$44),((CU$44-((CS136+CS137)*0.5))*CV137),(((CU$44-CS136)*0.5)*CV137)),IF((CS137&lt;CU$44),(((CU$44-CS137)*0.5)*CV137),0))),0),0))</f>
        <v>0</v>
      </c>
      <c s="588" r="CX137">
        <f>IF(ISNA((CS137*CS136)),0,IF((CP136=FALSE),IF((CP137=FALSE),IF(ISNA(CS137),0,IF((CS136&lt;CU$44),IF((CS137&lt;CU$44),(((CV137^2)+((CS137-CS136)^2))^0.5),(((CV137^2)+((CU$44-CS136)^2))^0.5)),IF((CS137&lt;CU$44),(((CV137^2)+((CU$44-CS137)^2))^0.5),0))),0),0))</f>
        <v>0</v>
      </c>
      <c s="588" r="CY137">
        <f>IF(ISNUMBER((CS137*CS136)),IF((CS136&gt;=CE$148),IF((CS137&lt;CE$148),1,0),IF((CS137&gt;=CE$148),IF((CS136&lt;CE$148),1,0),0)),0)</f>
        <v>0</v>
      </c>
      <c s="588" r="CZ137">
        <f>IF(ISNA((CS137*CS136)),0,(IF((CR137&lt;CR136),-1,1)*(IF(ISNA(CS137),0,IF((CS136&lt;CE$148),IF((CS137&lt;CE$148),(((CR137-CR136)^2)^0.5),(((((CE$148-CS136)*(CR137-CR136))/(CS137-CS136))^2)^0.5)),IF((CS137&lt;CE$148),(((((CE$148-CS137)*(CR137-CR136))/(CS136-CS137))^2)^0.5),0))))))</f>
        <v>0</v>
      </c>
      <c s="441" r="DA137">
        <f>IF((CW137&gt;0),(MAX(DA$47:DA136)+1),0)</f>
        <v>0</v>
      </c>
      <c s="388" r="DB137"/>
      <c s="687" r="DC137"/>
      <c s="482" r="DD137"/>
      <c s="482" r="DE137"/>
      <c s="482" r="DF137"/>
      <c s="482" r="DG137"/>
      <c s="418" r="DH137"/>
      <c s="550" r="DI137"/>
      <c s="550" r="DJ137"/>
      <c t="str" s="620" r="DK137">
        <f>IF((COUNT(DJ137:DJ$146,DL137:DL$146)=0),NA(),IF(ISBLANK(DJ137),DK136,(DK136+(DJ137-DL136))))</f>
        <v>#N/A:explicit</v>
      </c>
      <c s="550" r="DL137"/>
      <c t="str" s="620" r="DM137">
        <f>IF(OR(ISBLANK(DL137),ISNUMBER(DJ138)),NA(),(DK137-DL137))</f>
        <v>#N/A:explicit</v>
      </c>
      <c t="b" s="895" r="DN137">
        <v>0</v>
      </c>
      <c s="631" r="DO137"/>
      <c t="str" s="309" r="DP137">
        <f>IF((COUNT(DI137:DI$146)=0),NA(),IF(ISBLANK(DI137),IF(ISBLANK(DI136),MAX(DI$46:DI137),DI136),DI137))</f>
        <v>#N/A:explicit</v>
      </c>
      <c t="str" s="861" r="DQ137">
        <f>IF(ISNA(DM137),IF(ISNUMBER(DP137),DQ136,NA()),DM137)</f>
        <v>#N/A:explicit</v>
      </c>
      <c s="861" r="DR137">
        <f>IF(ISNUMBER(DQ137),DQ137,(DK$46+1000))</f>
        <v>1000</v>
      </c>
      <c t="str" s="588" r="DS137">
        <f>IF((DN137=TRUE),NA(),IF((DS$44=(DK$46-MAX(DL$46:DL$146))),NA(),DS$44))</f>
        <v>#N/A:explicit</v>
      </c>
      <c s="588" r="DT137">
        <f>IF((ISNA(((DQ137*DP137)*DQ136))),0,(IF((DP137&lt;DP136),-1,1)*(IF((DN136=FALSE),IF((DN137=FALSE),IF(ISNA(DQ137),0,IF((DQ136&lt;DS$44),IF((DQ137&lt;DS$44),(((DP137-DP136)^2)^0.5),(((((DS$44-DQ136)*(DP137-DP136))/(DQ137-DQ136))^2)^0.5)),IF((DQ137&lt;DS$44),(((((DS$44-DQ137)*(DP137-DP136))/(DQ136-DQ137))^2)^0.5),0))),0),0))))</f>
        <v>0</v>
      </c>
      <c s="588" r="DU137">
        <f>IF(ISNA((DQ137*DQ136)),0,IF((DN136=FALSE),IF((DN137=FALSE),IF(ISNA(DM137),0,IF((DQ136&lt;DS$44),IF((DQ137&lt;DS$44),((DS$44-((DQ136+DQ137)*0.5))*DT137),(((DS$44-DQ136)*0.5)*DT137)),IF((DQ137&lt;DS$44),(((DS$44-DQ137)*0.5)*DT137),0))),0),0))</f>
        <v>0</v>
      </c>
      <c s="588" r="DV137">
        <f>IF(ISNA((DQ137*DQ136)),0,IF((DN136=FALSE),IF((DN137=FALSE),IF(ISNA(DQ137),0,IF((DQ136&lt;DS$44),IF((DQ137&lt;DS$44),(((DT137^2)+((DQ137-DQ136)^2))^0.5),(((DT137^2)+((DS$44-DQ136)^2))^0.5)),IF((DQ137&lt;DS$44),(((DT137^2)+((DS$44-DQ137)^2))^0.5),0))),0),0))</f>
        <v>0</v>
      </c>
      <c s="588" r="DW137">
        <f>IF(ISNUMBER((DQ137*DQ136)),IF((DQ136&gt;=DC$148),IF((DQ137&lt;DC$148),1,0),IF((DQ137&gt;=DC$148),IF((DQ136&lt;DC$148),1,0),0)),0)</f>
        <v>0</v>
      </c>
      <c s="588" r="DX137">
        <f>IF(ISNA((DQ137*DQ136)),0,(IF((DP137&lt;DP136),-1,1)*(IF(ISNA(DQ137),0,IF((DQ136&lt;DC$148),IF((DQ137&lt;DC$148),(((DP137-DP136)^2)^0.5),(((((DC$148-DQ136)*(DP137-DP136))/(DQ137-DQ136))^2)^0.5)),IF((DQ137&lt;DC$148),(((((DC$148-DQ137)*(DP137-DP136))/(DQ136-DQ137))^2)^0.5),0))))))</f>
        <v>0</v>
      </c>
      <c s="441" r="DY137">
        <f>IF((DU137&gt;0),(MAX(DY$47:DY136)+1),0)</f>
        <v>0</v>
      </c>
      <c s="388" r="DZ137"/>
      <c s="687" r="EA137"/>
      <c s="482" r="EB137"/>
      <c s="482" r="EC137"/>
      <c s="482" r="ED137"/>
      <c s="482" r="EE137"/>
      <c s="418" r="EF137"/>
      <c s="550" r="EG137"/>
      <c s="550" r="EH137"/>
      <c t="str" s="620" r="EI137">
        <f>IF((COUNT(EH137:EH$146,EJ137:EJ$146)=0),NA(),IF(ISBLANK(EH137),EI136,(EI136+(EH137-EJ136))))</f>
        <v>#N/A:explicit</v>
      </c>
      <c s="550" r="EJ137"/>
      <c t="str" s="620" r="EK137">
        <f>IF(OR(ISBLANK(EJ137),ISNUMBER(EH138)),NA(),(EI137-EJ137))</f>
        <v>#N/A:explicit</v>
      </c>
      <c t="b" s="895" r="EL137">
        <v>0</v>
      </c>
      <c s="631" r="EM137"/>
      <c t="str" s="309" r="EN137">
        <f>IF((COUNT(EG137:EG$146)=0),NA(),IF(ISBLANK(EG137),IF(ISBLANK(EG136),MAX(EG$46:EG137),EG136),EG137))</f>
        <v>#N/A:explicit</v>
      </c>
      <c t="str" s="861" r="EO137">
        <f>IF(ISNA(EK137),IF(ISNUMBER(EN137),EO136,NA()),EK137)</f>
        <v>#N/A:explicit</v>
      </c>
      <c s="861" r="EP137">
        <f>IF(ISNUMBER(EO137),EO137,(EI$46+1000))</f>
        <v>1000</v>
      </c>
      <c t="str" s="588" r="EQ137">
        <f>IF((EL137=TRUE),NA(),IF((EQ$44=(EI$46-MAX(EJ$46:EJ$146))),NA(),EQ$44))</f>
        <v>#N/A:explicit</v>
      </c>
      <c s="588" r="ER137">
        <f>IF((ISNA(((EO137*EN137)*EO136))),0,(IF((EN137&lt;EN136),-1,1)*(IF((EL136=FALSE),IF((EL137=FALSE),IF(ISNA(EO137),0,IF((EO136&lt;EQ$44),IF((EO137&lt;EQ$44),(((EN137-EN136)^2)^0.5),(((((EQ$44-EO136)*(EN137-EN136))/(EO137-EO136))^2)^0.5)),IF((EO137&lt;EQ$44),(((((EQ$44-EO137)*(EN137-EN136))/(EO136-EO137))^2)^0.5),0))),0),0))))</f>
        <v>0</v>
      </c>
      <c s="588" r="ES137">
        <f>IF(ISNA((EO137*EO136)),0,IF((EL136=FALSE),IF((EL137=FALSE),IF(ISNA(EK137),0,IF((EO136&lt;EQ$44),IF((EO137&lt;EQ$44),((EQ$44-((EO136+EO137)*0.5))*ER137),(((EQ$44-EO136)*0.5)*ER137)),IF((EO137&lt;EQ$44),(((EQ$44-EO137)*0.5)*ER137),0))),0),0))</f>
        <v>0</v>
      </c>
      <c s="588" r="ET137">
        <f>IF(ISNA((EO137*EO136)),0,IF((EL136=FALSE),IF((EL137=FALSE),IF(ISNA(EO137),0,IF((EO136&lt;EQ$44),IF((EO137&lt;EQ$44),(((ER137^2)+((EO137-EO136)^2))^0.5),(((ER137^2)+((EQ$44-EO136)^2))^0.5)),IF((EO137&lt;EQ$44),(((ER137^2)+((EQ$44-EO137)^2))^0.5),0))),0),0))</f>
        <v>0</v>
      </c>
      <c s="588" r="EU137">
        <f>IF(ISNUMBER((EO137*EO136)),IF((EO136&gt;=EA$148),IF((EO137&lt;EA$148),1,0),IF((EO137&gt;=EA$148),IF((EO136&lt;EA$148),1,0),0)),0)</f>
        <v>0</v>
      </c>
      <c s="588" r="EV137">
        <f>IF(ISNA((EO137*EO136)),0,(IF((EN137&lt;EN136),-1,1)*(IF(ISNA(EO137),0,IF((EO136&lt;EA$148),IF((EO137&lt;EA$148),(((EN137-EN136)^2)^0.5),(((((EA$148-EO136)*(EN137-EN136))/(EO137-EO136))^2)^0.5)),IF((EO137&lt;EA$148),(((((EA$148-EO137)*(EN137-EN136))/(EO136-EO137))^2)^0.5),0))))))</f>
        <v>0</v>
      </c>
      <c s="441" r="EW137">
        <f>IF((ES137&gt;0),(MAX(EW$47:EW136)+1),0)</f>
        <v>0</v>
      </c>
      <c s="388" r="EX137"/>
      <c s="687" r="EY137"/>
      <c s="482" r="EZ137"/>
      <c s="482" r="FA137"/>
      <c s="482" r="FB137"/>
      <c s="482" r="FC137"/>
      <c s="418" r="FD137"/>
      <c s="550" r="FE137"/>
      <c s="550" r="FF137"/>
      <c t="str" s="620" r="FG137">
        <f>IF((COUNT(FF137:FF$146,FH137:FH$146)=0),NA(),IF(ISBLANK(FF137),FG136,(FG136+(FF137-FH136))))</f>
        <v>#N/A:explicit</v>
      </c>
      <c s="550" r="FH137"/>
      <c t="str" s="620" r="FI137">
        <f>IF(OR(ISBLANK(FH137),ISNUMBER(FF138)),NA(),(FG137-FH137))</f>
        <v>#N/A:explicit</v>
      </c>
      <c t="b" s="895" r="FJ137">
        <v>0</v>
      </c>
      <c s="631" r="FK137"/>
      <c t="str" s="309" r="FL137">
        <f>IF((COUNT(FE137:FE$146)=0),NA(),IF(ISBLANK(FE137),IF(ISBLANK(FE136),MAX(FE$46:FE137),FE136),FE137))</f>
        <v>#N/A:explicit</v>
      </c>
      <c t="str" s="861" r="FM137">
        <f>IF(ISNA(FI137),IF(ISNUMBER(FL137),FM136,NA()),FI137)</f>
        <v>#N/A:explicit</v>
      </c>
      <c s="861" r="FN137">
        <f>IF(ISNUMBER(FM137),FM137,(FG$46+1000))</f>
        <v>1000</v>
      </c>
      <c t="str" s="588" r="FO137">
        <f>IF((FJ137=TRUE),NA(),IF((FO$44=(FG$46-MAX(FH$46:FH$146))),NA(),FO$44))</f>
        <v>#N/A:explicit</v>
      </c>
      <c s="588" r="FP137">
        <f>IF((ISNA(((FM137*FL137)*FM136))),0,(IF((FL137&lt;FL136),-1,1)*(IF((FJ136=FALSE),IF((FJ137=FALSE),IF(ISNA(FM137),0,IF((FM136&lt;FO$44),IF((FM137&lt;FO$44),(((FL137-FL136)^2)^0.5),(((((FO$44-FM136)*(FL137-FL136))/(FM137-FM136))^2)^0.5)),IF((FM137&lt;FO$44),(((((FO$44-FM137)*(FL137-FL136))/(FM136-FM137))^2)^0.5),0))),0),0))))</f>
        <v>0</v>
      </c>
      <c s="588" r="FQ137">
        <f>IF(ISNA((FM137*FM136)),0,IF((FJ136=FALSE),IF((FJ137=FALSE),IF(ISNA(FI137),0,IF((FM136&lt;FO$44),IF((FM137&lt;FO$44),((FO$44-((FM136+FM137)*0.5))*FP137),(((FO$44-FM136)*0.5)*FP137)),IF((FM137&lt;FO$44),(((FO$44-FM137)*0.5)*FP137),0))),0),0))</f>
        <v>0</v>
      </c>
      <c s="588" r="FR137">
        <f>IF(ISNA((FM137*FM136)),0,IF((FJ136=FALSE),IF((FJ137=FALSE),IF(ISNA(FM137),0,IF((FM136&lt;FO$44),IF((FM137&lt;FO$44),(((FP137^2)+((FM137-FM136)^2))^0.5),(((FP137^2)+((FO$44-FM136)^2))^0.5)),IF((FM137&lt;FO$44),(((FP137^2)+((FO$44-FM137)^2))^0.5),0))),0),0))</f>
        <v>0</v>
      </c>
      <c s="588" r="FS137">
        <f>IF(ISNUMBER((FM137*FM136)),IF((FM136&gt;=EY$148),IF((FM137&lt;EY$148),1,0),IF((FM137&gt;=EY$148),IF((FM136&lt;EY$148),1,0),0)),0)</f>
        <v>0</v>
      </c>
      <c s="588" r="FT137">
        <f>IF(ISNA((FM137*FM136)),0,(IF((FL137&lt;FL136),-1,1)*(IF(ISNA(FM137),0,IF((FM136&lt;EY$148),IF((FM137&lt;EY$148),(((FL137-FL136)^2)^0.5),(((((EY$148-FM136)*(FL137-FL136))/(FM137-FM136))^2)^0.5)),IF((FM137&lt;EY$148),(((((EY$148-FM137)*(FL137-FL136))/(FM136-FM137))^2)^0.5),0))))))</f>
        <v>0</v>
      </c>
      <c s="441" r="FU137">
        <f>IF((FQ137&gt;0),(MAX(FU$47:FU136)+1),0)</f>
        <v>0</v>
      </c>
      <c s="222" r="FV137"/>
      <c s="125" r="FW137"/>
      <c s="125" r="FX137"/>
      <c s="125" r="FY137"/>
      <c s="125" r="FZ137"/>
      <c s="125" r="GA137"/>
      <c s="125" r="GB137"/>
      <c s="125" r="GC137"/>
      <c s="125" r="GD137"/>
      <c s="125" r="GE137"/>
      <c s="125" r="GF137"/>
      <c s="125" r="GG137"/>
      <c s="125" r="GH137"/>
      <c s="125" r="GI137"/>
      <c s="125" r="GJ137"/>
      <c s="125" r="GK137"/>
      <c s="125" r="GL137"/>
      <c s="125" r="GM137"/>
      <c s="125" r="GN137"/>
      <c s="125" r="GO137"/>
      <c s="125" r="GP137"/>
      <c s="125" r="GQ137"/>
      <c s="125" r="GR137"/>
      <c s="125" r="GS137"/>
      <c s="125" r="GT137"/>
      <c s="125" r="GU137"/>
      <c s="125" r="GV137"/>
      <c s="125" r="GW137"/>
      <c s="125" r="GX137"/>
      <c s="125" r="GY137"/>
      <c s="125" r="GZ137"/>
      <c s="125" r="HA137"/>
      <c s="125" r="HB137"/>
    </row>
    <row s="761" customFormat="1" r="138">
      <c s="125" r="A138"/>
      <c s="125" r="B138"/>
      <c s="125" r="C138"/>
      <c s="125" r="D138"/>
      <c s="125" r="E138"/>
      <c s="125" r="F138"/>
      <c s="125" r="G138"/>
      <c s="125" r="H138"/>
      <c s="125" r="I138"/>
      <c s="822" r="J138"/>
      <c s="687" r="K138"/>
      <c s="482" r="L138"/>
      <c s="482" r="M138"/>
      <c s="482" r="N138"/>
      <c s="482" r="O138"/>
      <c s="418" r="P138"/>
      <c s="550" r="Q138"/>
      <c s="550" r="R138"/>
      <c t="str" s="620" r="S138">
        <f>IF((COUNT(R138:R$146,T138:T$146)=0),NA(),IF(ISBLANK(R138),S137,(S137+(R138-T137))))</f>
        <v>#N/A:explicit</v>
      </c>
      <c s="550" r="T138"/>
      <c t="str" s="620" r="U138">
        <f>IF(OR(ISBLANK(T138),ISNUMBER(R139)),NA(),(S138-T138))</f>
        <v>#N/A:explicit</v>
      </c>
      <c t="b" s="895" r="V138">
        <v>0</v>
      </c>
      <c s="631" r="W138"/>
      <c t="str" s="309" r="X138">
        <f>IF((COUNT(Q138:Q$146)=0),NA(),IF(ISBLANK(Q138),IF(ISBLANK(Q137),MAX(Q$46:Q138),Q137),Q138))</f>
        <v>#N/A:explicit</v>
      </c>
      <c t="str" s="861" r="Y138">
        <f>IF(ISNA(U138),IF(ISNUMBER(X138),Y137,NA()),U138)</f>
        <v>#N/A:explicit</v>
      </c>
      <c s="861" r="Z138">
        <f>IF(ISNUMBER(Y138),Y138,(S$46+1000))</f>
        <v>1000</v>
      </c>
      <c t="str" s="588" r="AA138">
        <f>IF((V138=TRUE),NA(),IF((AA$44=(S$46-MAX(T$46:T$146))),NA(),AA$44))</f>
        <v>#N/A:explicit</v>
      </c>
      <c s="588" r="AB138">
        <f>IF((ISNA(((Y138*X138)*Y137))),0,(IF((X138&lt;X137),-1,1)*(IF((V137=FALSE),IF((V138=FALSE),IF(ISNA(Y138),0,IF((Y137&lt;AA$44),IF((Y138&lt;AA$44),(((X138-X137)^2)^0.5),(((((AA$44-Y137)*(X138-X137))/(Y138-Y137))^2)^0.5)),IF((Y138&lt;AA$44),(((((AA$44-Y138)*(X138-X137))/(Y137-Y138))^2)^0.5),0))),0),0))))</f>
        <v>0</v>
      </c>
      <c s="588" r="AC138">
        <f>IF(ISNA((Y138*Y137)),0,IF((V137=FALSE),IF((V138=FALSE),IF(ISNA(U138),0,IF((Y137&lt;AA$44),IF((Y138&lt;AA$44),((AA$44-((Y137+Y138)*0.5))*AB138),(((AA$44-Y137)*0.5)*AB138)),IF((Y138&lt;AA$44),(((AA$44-Y138)*0.5)*AB138),0))),0),0))</f>
        <v>0</v>
      </c>
      <c s="588" r="AD138">
        <f>IF(ISNA((Y138*Y137)),0,IF((V137=FALSE),IF((V138=FALSE),IF(ISNA(Y138),0,IF((Y137&lt;AA$44),IF((Y138&lt;AA$44),(((AB138^2)+((Y138-Y137)^2))^0.5),(((AB138^2)+((AA$44-Y137)^2))^0.5)),IF((Y138&lt;AA$44),(((AB138^2)+((AA$44-Y138)^2))^0.5),0))),0),0))</f>
        <v>0</v>
      </c>
      <c s="588" r="AE138">
        <f>IF(ISNUMBER((Y138*Y137)),IF((Y137&gt;=K$148),IF((Y138&lt;K$148),1,0),IF((Y138&gt;=K$148),IF((Y137&lt;K$148),1,0),0)),0)</f>
        <v>0</v>
      </c>
      <c s="588" r="AF138">
        <f>IF(ISNA((Y138*Y137)),0,(IF((X138&lt;X137),-1,1)*(IF(ISNA(Y138),0,IF((Y137&lt;K$148),IF((Y138&lt;K$148),(((X138-X137)^2)^0.5),(((((K$148-Y137)*(X138-X137))/(Y138-Y137))^2)^0.5)),IF((Y138&lt;K$148),(((((K$148-Y138)*(X138-X137))/(Y137-Y138))^2)^0.5),0))))))</f>
        <v>0</v>
      </c>
      <c s="441" r="AG138">
        <f>IF((AC138&gt;0),(MAX(AG$47:AG137)+1),0)</f>
        <v>0</v>
      </c>
      <c s="388" r="AH138"/>
      <c s="687" r="AI138"/>
      <c s="482" r="AJ138"/>
      <c s="482" r="AK138"/>
      <c s="482" r="AL138"/>
      <c s="482" r="AM138"/>
      <c s="418" r="AN138"/>
      <c s="550" r="AO138"/>
      <c s="550" r="AP138"/>
      <c t="str" s="620" r="AQ138">
        <f>IF((COUNT(AP138:AP$146,AR138:AR$146)=0),NA(),IF(ISBLANK(AP138),AQ137,(AQ137+(AP138-AR137))))</f>
        <v>#N/A:explicit</v>
      </c>
      <c s="550" r="AR138"/>
      <c t="str" s="620" r="AS138">
        <f>IF(OR(ISBLANK(AR138),ISNUMBER(AP139)),NA(),(AQ138-AR138))</f>
        <v>#N/A:explicit</v>
      </c>
      <c t="b" s="895" r="AT138">
        <v>0</v>
      </c>
      <c s="631" r="AU138"/>
      <c t="str" s="309" r="AV138">
        <f>IF((COUNT(AO138:AO$146)=0),NA(),IF(ISBLANK(AO138),IF(ISBLANK(AO137),MAX(AO$46:AO138),AO137),AO138))</f>
        <v>#N/A:explicit</v>
      </c>
      <c t="str" s="861" r="AW138">
        <f>IF(ISNA(AS138),IF(ISNUMBER(AV138),AW137,NA()),AS138)</f>
        <v>#N/A:explicit</v>
      </c>
      <c s="861" r="AX138">
        <f>IF(ISNUMBER(AW138),AW138,(AQ$46+1000))</f>
        <v>1000</v>
      </c>
      <c t="str" s="588" r="AY138">
        <f>IF((AT138=TRUE),NA(),IF((AY$44=(AQ$46-MAX(AR$46:AR$146))),NA(),AY$44))</f>
        <v>#N/A:explicit</v>
      </c>
      <c s="588" r="AZ138">
        <f>IF((ISNA(((AW138*AV138)*AW137))),0,(IF((AV138&lt;AV137),-1,1)*(IF((AT137=FALSE),IF((AT138=FALSE),IF(ISNA(AW138),0,IF((AW137&lt;AY$44),IF((AW138&lt;AY$44),(((AV138-AV137)^2)^0.5),(((((AY$44-AW137)*(AV138-AV137))/(AW138-AW137))^2)^0.5)),IF((AW138&lt;AY$44),(((((AY$44-AW138)*(AV138-AV137))/(AW137-AW138))^2)^0.5),0))),0),0))))</f>
        <v>0</v>
      </c>
      <c s="588" r="BA138">
        <f>IF(ISNA((AW138*AW137)),0,IF((AT137=FALSE),IF((AT138=FALSE),IF(ISNA(AS138),0,IF((AW137&lt;AY$44),IF((AW138&lt;AY$44),((AY$44-((AW137+AW138)*0.5))*AZ138),(((AY$44-AW137)*0.5)*AZ138)),IF((AW138&lt;AY$44),(((AY$44-AW138)*0.5)*AZ138),0))),0),0))</f>
        <v>0</v>
      </c>
      <c s="588" r="BB138">
        <f>IF(ISNA((AW138*AW137)),0,IF((AT137=FALSE),IF((AT138=FALSE),IF(ISNA(AW138),0,IF((AW137&lt;AY$44),IF((AW138&lt;AY$44),(((AZ138^2)+((AW138-AW137)^2))^0.5),(((AZ138^2)+((AY$44-AW137)^2))^0.5)),IF((AW138&lt;AY$44),(((AZ138^2)+((AY$44-AW138)^2))^0.5),0))),0),0))</f>
        <v>0</v>
      </c>
      <c s="588" r="BC138">
        <f>IF(ISNUMBER((AW138*AW137)),IF((AW137&gt;=AI$148),IF((AW138&lt;AI$148),1,0),IF((AW138&gt;=AI$148),IF((AW137&lt;AI$148),1,0),0)),0)</f>
        <v>0</v>
      </c>
      <c s="588" r="BD138">
        <f>IF(ISNA((AW138*AW137)),0,(IF((AV138&lt;AV137),-1,1)*(IF(ISNA(AW138),0,IF((AW137&lt;AI$148),IF((AW138&lt;AI$148),(((AV138-AV137)^2)^0.5),(((((AI$148-AW137)*(AV138-AV137))/(AW138-AW137))^2)^0.5)),IF((AW138&lt;AI$148),(((((AI$148-AW138)*(AV138-AV137))/(AW137-AW138))^2)^0.5),0))))))</f>
        <v>0</v>
      </c>
      <c s="441" r="BE138">
        <f>IF((BA138&gt;0),(MAX(BE$47:BE137)+1),0)</f>
        <v>0</v>
      </c>
      <c s="388" r="BF138"/>
      <c s="687" r="BG138"/>
      <c s="482" r="BH138"/>
      <c s="482" r="BI138"/>
      <c s="482" r="BJ138"/>
      <c s="482" r="BK138"/>
      <c s="418" r="BL138"/>
      <c s="550" r="BM138"/>
      <c s="550" r="BN138"/>
      <c t="str" s="620" r="BO138">
        <f>IF((COUNT(BN138:BN$146,BP138:BP$146)=0),NA(),IF(ISBLANK(BN138),BO137,(BO137+(BN138-BP137))))</f>
        <v>#N/A:explicit</v>
      </c>
      <c s="550" r="BP138"/>
      <c t="str" s="620" r="BQ138">
        <f>IF(OR(ISBLANK(BP138),ISNUMBER(BN139)),NA(),(BO138-BP138))</f>
        <v>#N/A:explicit</v>
      </c>
      <c t="b" s="895" r="BR138">
        <v>0</v>
      </c>
      <c s="631" r="BS138"/>
      <c t="str" s="309" r="BT138">
        <f>IF((COUNT(BM138:BM$146)=0),NA(),IF(ISBLANK(BM138),IF(ISBLANK(BM137),MAX(BM$46:BM138),BM137),BM138))</f>
        <v>#N/A:explicit</v>
      </c>
      <c t="str" s="861" r="BU138">
        <f>IF(ISNA(BQ138),IF(ISNUMBER(BT138),BU137,NA()),BQ138)</f>
        <v>#N/A:explicit</v>
      </c>
      <c s="861" r="BV138">
        <f>IF(ISNUMBER(BU138),BU138,(BO$46+1000))</f>
        <v>1000</v>
      </c>
      <c t="str" s="588" r="BW138">
        <f>IF((BR138=TRUE),NA(),IF((BW$44=(BO$46-MAX(BP$46:BP$146))),NA(),BW$44))</f>
        <v>#N/A:explicit</v>
      </c>
      <c s="588" r="BX138">
        <f>IF((ISNA(((BU138*BT138)*BU137))),0,(IF((BT138&lt;BT137),-1,1)*(IF((BR137=FALSE),IF((BR138=FALSE),IF(ISNA(BU138),0,IF((BU137&lt;BW$44),IF((BU138&lt;BW$44),(((BT138-BT137)^2)^0.5),(((((BW$44-BU137)*(BT138-BT137))/(BU138-BU137))^2)^0.5)),IF((BU138&lt;BW$44),(((((BW$44-BU138)*(BT138-BT137))/(BU137-BU138))^2)^0.5),0))),0),0))))</f>
        <v>0</v>
      </c>
      <c s="588" r="BY138">
        <f>IF(ISNA((BU138*BU137)),0,IF((BR137=FALSE),IF((BR138=FALSE),IF(ISNA(BQ138),0,IF((BU137&lt;BW$44),IF((BU138&lt;BW$44),((BW$44-((BU137+BU138)*0.5))*BX138),(((BW$44-BU137)*0.5)*BX138)),IF((BU138&lt;BW$44),(((BW$44-BU138)*0.5)*BX138),0))),0),0))</f>
        <v>0</v>
      </c>
      <c s="588" r="BZ138">
        <f>IF(ISNA((BU138*BU137)),0,IF((BR137=FALSE),IF((BR138=FALSE),IF(ISNA(BU138),0,IF((BU137&lt;BW$44),IF((BU138&lt;BW$44),(((BX138^2)+((BU138-BU137)^2))^0.5),(((BX138^2)+((BW$44-BU137)^2))^0.5)),IF((BU138&lt;BW$44),(((BX138^2)+((BW$44-BU138)^2))^0.5),0))),0),0))</f>
        <v>0</v>
      </c>
      <c s="588" r="CA138">
        <f>IF(ISNUMBER((BU138*BU137)),IF((BU137&gt;=BG$148),IF((BU138&lt;BG$148),1,0),IF((BU138&gt;=BG$148),IF((BU137&lt;BG$148),1,0),0)),0)</f>
        <v>0</v>
      </c>
      <c s="588" r="CB138">
        <f>IF(ISNA((BU138*BU137)),0,(IF((BT138&lt;BT137),-1,1)*(IF(ISNA(BU138),0,IF((BU137&lt;BG$148),IF((BU138&lt;BG$148),(((BT138-BT137)^2)^0.5),(((((BG$148-BU137)*(BT138-BT137))/(BU138-BU137))^2)^0.5)),IF((BU138&lt;BG$148),(((((BG$148-BU138)*(BT138-BT137))/(BU137-BU138))^2)^0.5),0))))))</f>
        <v>0</v>
      </c>
      <c s="441" r="CC138">
        <f>IF((BY138&gt;0),(MAX(CC$47:CC137)+1),0)</f>
        <v>0</v>
      </c>
      <c s="388" r="CD138"/>
      <c s="687" r="CE138"/>
      <c s="482" r="CF138"/>
      <c s="482" r="CG138"/>
      <c s="482" r="CH138"/>
      <c s="482" r="CI138"/>
      <c s="418" r="CJ138"/>
      <c s="550" r="CK138"/>
      <c s="550" r="CL138"/>
      <c t="str" s="620" r="CM138">
        <f>IF((COUNT(CL138:CL$146,CN138:CN$146)=0),NA(),IF(ISBLANK(CL138),CM137,(CM137+(CL138-CN137))))</f>
        <v>#N/A:explicit</v>
      </c>
      <c s="550" r="CN138"/>
      <c t="str" s="620" r="CO138">
        <f>IF(OR(ISBLANK(CN138),ISNUMBER(CL139)),NA(),(CM138-CN138))</f>
        <v>#N/A:explicit</v>
      </c>
      <c t="b" s="895" r="CP138">
        <v>0</v>
      </c>
      <c s="631" r="CQ138"/>
      <c t="str" s="309" r="CR138">
        <f>IF((COUNT(CK138:CK$146)=0),NA(),IF(ISBLANK(CK138),IF(ISBLANK(CK137),MAX(CK$46:CK138),CK137),CK138))</f>
        <v>#N/A:explicit</v>
      </c>
      <c t="str" s="861" r="CS138">
        <f>IF(ISNA(CO138),IF(ISNUMBER(CR138),CS137,NA()),CO138)</f>
        <v>#N/A:explicit</v>
      </c>
      <c s="861" r="CT138">
        <f>IF(ISNUMBER(CS138),CS138,(CM$46+1000))</f>
        <v>1000</v>
      </c>
      <c t="str" s="588" r="CU138">
        <f>IF((CP138=TRUE),NA(),IF((CU$44=(CM$46-MAX(CN$46:CN$146))),NA(),CU$44))</f>
        <v>#N/A:explicit</v>
      </c>
      <c s="588" r="CV138">
        <f>IF((ISNA(((CS138*CR138)*CS137))),0,(IF((CR138&lt;CR137),-1,1)*(IF((CP137=FALSE),IF((CP138=FALSE),IF(ISNA(CS138),0,IF((CS137&lt;CU$44),IF((CS138&lt;CU$44),(((CR138-CR137)^2)^0.5),(((((CU$44-CS137)*(CR138-CR137))/(CS138-CS137))^2)^0.5)),IF((CS138&lt;CU$44),(((((CU$44-CS138)*(CR138-CR137))/(CS137-CS138))^2)^0.5),0))),0),0))))</f>
        <v>0</v>
      </c>
      <c s="588" r="CW138">
        <f>IF(ISNA((CS138*CS137)),0,IF((CP137=FALSE),IF((CP138=FALSE),IF(ISNA(CO138),0,IF((CS137&lt;CU$44),IF((CS138&lt;CU$44),((CU$44-((CS137+CS138)*0.5))*CV138),(((CU$44-CS137)*0.5)*CV138)),IF((CS138&lt;CU$44),(((CU$44-CS138)*0.5)*CV138),0))),0),0))</f>
        <v>0</v>
      </c>
      <c s="588" r="CX138">
        <f>IF(ISNA((CS138*CS137)),0,IF((CP137=FALSE),IF((CP138=FALSE),IF(ISNA(CS138),0,IF((CS137&lt;CU$44),IF((CS138&lt;CU$44),(((CV138^2)+((CS138-CS137)^2))^0.5),(((CV138^2)+((CU$44-CS137)^2))^0.5)),IF((CS138&lt;CU$44),(((CV138^2)+((CU$44-CS138)^2))^0.5),0))),0),0))</f>
        <v>0</v>
      </c>
      <c s="588" r="CY138">
        <f>IF(ISNUMBER((CS138*CS137)),IF((CS137&gt;=CE$148),IF((CS138&lt;CE$148),1,0),IF((CS138&gt;=CE$148),IF((CS137&lt;CE$148),1,0),0)),0)</f>
        <v>0</v>
      </c>
      <c s="588" r="CZ138">
        <f>IF(ISNA((CS138*CS137)),0,(IF((CR138&lt;CR137),-1,1)*(IF(ISNA(CS138),0,IF((CS137&lt;CE$148),IF((CS138&lt;CE$148),(((CR138-CR137)^2)^0.5),(((((CE$148-CS137)*(CR138-CR137))/(CS138-CS137))^2)^0.5)),IF((CS138&lt;CE$148),(((((CE$148-CS138)*(CR138-CR137))/(CS137-CS138))^2)^0.5),0))))))</f>
        <v>0</v>
      </c>
      <c s="441" r="DA138">
        <f>IF((CW138&gt;0),(MAX(DA$47:DA137)+1),0)</f>
        <v>0</v>
      </c>
      <c s="388" r="DB138"/>
      <c s="687" r="DC138"/>
      <c s="482" r="DD138"/>
      <c s="482" r="DE138"/>
      <c s="482" r="DF138"/>
      <c s="482" r="DG138"/>
      <c s="418" r="DH138"/>
      <c s="550" r="DI138"/>
      <c s="550" r="DJ138"/>
      <c t="str" s="620" r="DK138">
        <f>IF((COUNT(DJ138:DJ$146,DL138:DL$146)=0),NA(),IF(ISBLANK(DJ138),DK137,(DK137+(DJ138-DL137))))</f>
        <v>#N/A:explicit</v>
      </c>
      <c s="550" r="DL138"/>
      <c t="str" s="620" r="DM138">
        <f>IF(OR(ISBLANK(DL138),ISNUMBER(DJ139)),NA(),(DK138-DL138))</f>
        <v>#N/A:explicit</v>
      </c>
      <c t="b" s="895" r="DN138">
        <v>0</v>
      </c>
      <c s="631" r="DO138"/>
      <c t="str" s="309" r="DP138">
        <f>IF((COUNT(DI138:DI$146)=0),NA(),IF(ISBLANK(DI138),IF(ISBLANK(DI137),MAX(DI$46:DI138),DI137),DI138))</f>
        <v>#N/A:explicit</v>
      </c>
      <c t="str" s="861" r="DQ138">
        <f>IF(ISNA(DM138),IF(ISNUMBER(DP138),DQ137,NA()),DM138)</f>
        <v>#N/A:explicit</v>
      </c>
      <c s="861" r="DR138">
        <f>IF(ISNUMBER(DQ138),DQ138,(DK$46+1000))</f>
        <v>1000</v>
      </c>
      <c t="str" s="588" r="DS138">
        <f>IF((DN138=TRUE),NA(),IF((DS$44=(DK$46-MAX(DL$46:DL$146))),NA(),DS$44))</f>
        <v>#N/A:explicit</v>
      </c>
      <c s="588" r="DT138">
        <f>IF((ISNA(((DQ138*DP138)*DQ137))),0,(IF((DP138&lt;DP137),-1,1)*(IF((DN137=FALSE),IF((DN138=FALSE),IF(ISNA(DQ138),0,IF((DQ137&lt;DS$44),IF((DQ138&lt;DS$44),(((DP138-DP137)^2)^0.5),(((((DS$44-DQ137)*(DP138-DP137))/(DQ138-DQ137))^2)^0.5)),IF((DQ138&lt;DS$44),(((((DS$44-DQ138)*(DP138-DP137))/(DQ137-DQ138))^2)^0.5),0))),0),0))))</f>
        <v>0</v>
      </c>
      <c s="588" r="DU138">
        <f>IF(ISNA((DQ138*DQ137)),0,IF((DN137=FALSE),IF((DN138=FALSE),IF(ISNA(DM138),0,IF((DQ137&lt;DS$44),IF((DQ138&lt;DS$44),((DS$44-((DQ137+DQ138)*0.5))*DT138),(((DS$44-DQ137)*0.5)*DT138)),IF((DQ138&lt;DS$44),(((DS$44-DQ138)*0.5)*DT138),0))),0),0))</f>
        <v>0</v>
      </c>
      <c s="588" r="DV138">
        <f>IF(ISNA((DQ138*DQ137)),0,IF((DN137=FALSE),IF((DN138=FALSE),IF(ISNA(DQ138),0,IF((DQ137&lt;DS$44),IF((DQ138&lt;DS$44),(((DT138^2)+((DQ138-DQ137)^2))^0.5),(((DT138^2)+((DS$44-DQ137)^2))^0.5)),IF((DQ138&lt;DS$44),(((DT138^2)+((DS$44-DQ138)^2))^0.5),0))),0),0))</f>
        <v>0</v>
      </c>
      <c s="588" r="DW138">
        <f>IF(ISNUMBER((DQ138*DQ137)),IF((DQ137&gt;=DC$148),IF((DQ138&lt;DC$148),1,0),IF((DQ138&gt;=DC$148),IF((DQ137&lt;DC$148),1,0),0)),0)</f>
        <v>0</v>
      </c>
      <c s="588" r="DX138">
        <f>IF(ISNA((DQ138*DQ137)),0,(IF((DP138&lt;DP137),-1,1)*(IF(ISNA(DQ138),0,IF((DQ137&lt;DC$148),IF((DQ138&lt;DC$148),(((DP138-DP137)^2)^0.5),(((((DC$148-DQ137)*(DP138-DP137))/(DQ138-DQ137))^2)^0.5)),IF((DQ138&lt;DC$148),(((((DC$148-DQ138)*(DP138-DP137))/(DQ137-DQ138))^2)^0.5),0))))))</f>
        <v>0</v>
      </c>
      <c s="441" r="DY138">
        <f>IF((DU138&gt;0),(MAX(DY$47:DY137)+1),0)</f>
        <v>0</v>
      </c>
      <c s="388" r="DZ138"/>
      <c s="687" r="EA138"/>
      <c s="482" r="EB138"/>
      <c s="482" r="EC138"/>
      <c s="482" r="ED138"/>
      <c s="482" r="EE138"/>
      <c s="418" r="EF138"/>
      <c s="550" r="EG138"/>
      <c s="550" r="EH138"/>
      <c t="str" s="620" r="EI138">
        <f>IF((COUNT(EH138:EH$146,EJ138:EJ$146)=0),NA(),IF(ISBLANK(EH138),EI137,(EI137+(EH138-EJ137))))</f>
        <v>#N/A:explicit</v>
      </c>
      <c s="550" r="EJ138"/>
      <c t="str" s="620" r="EK138">
        <f>IF(OR(ISBLANK(EJ138),ISNUMBER(EH139)),NA(),(EI138-EJ138))</f>
        <v>#N/A:explicit</v>
      </c>
      <c t="b" s="895" r="EL138">
        <v>0</v>
      </c>
      <c s="631" r="EM138"/>
      <c t="str" s="309" r="EN138">
        <f>IF((COUNT(EG138:EG$146)=0),NA(),IF(ISBLANK(EG138),IF(ISBLANK(EG137),MAX(EG$46:EG138),EG137),EG138))</f>
        <v>#N/A:explicit</v>
      </c>
      <c t="str" s="861" r="EO138">
        <f>IF(ISNA(EK138),IF(ISNUMBER(EN138),EO137,NA()),EK138)</f>
        <v>#N/A:explicit</v>
      </c>
      <c s="861" r="EP138">
        <f>IF(ISNUMBER(EO138),EO138,(EI$46+1000))</f>
        <v>1000</v>
      </c>
      <c t="str" s="588" r="EQ138">
        <f>IF((EL138=TRUE),NA(),IF((EQ$44=(EI$46-MAX(EJ$46:EJ$146))),NA(),EQ$44))</f>
        <v>#N/A:explicit</v>
      </c>
      <c s="588" r="ER138">
        <f>IF((ISNA(((EO138*EN138)*EO137))),0,(IF((EN138&lt;EN137),-1,1)*(IF((EL137=FALSE),IF((EL138=FALSE),IF(ISNA(EO138),0,IF((EO137&lt;EQ$44),IF((EO138&lt;EQ$44),(((EN138-EN137)^2)^0.5),(((((EQ$44-EO137)*(EN138-EN137))/(EO138-EO137))^2)^0.5)),IF((EO138&lt;EQ$44),(((((EQ$44-EO138)*(EN138-EN137))/(EO137-EO138))^2)^0.5),0))),0),0))))</f>
        <v>0</v>
      </c>
      <c s="588" r="ES138">
        <f>IF(ISNA((EO138*EO137)),0,IF((EL137=FALSE),IF((EL138=FALSE),IF(ISNA(EK138),0,IF((EO137&lt;EQ$44),IF((EO138&lt;EQ$44),((EQ$44-((EO137+EO138)*0.5))*ER138),(((EQ$44-EO137)*0.5)*ER138)),IF((EO138&lt;EQ$44),(((EQ$44-EO138)*0.5)*ER138),0))),0),0))</f>
        <v>0</v>
      </c>
      <c s="588" r="ET138">
        <f>IF(ISNA((EO138*EO137)),0,IF((EL137=FALSE),IF((EL138=FALSE),IF(ISNA(EO138),0,IF((EO137&lt;EQ$44),IF((EO138&lt;EQ$44),(((ER138^2)+((EO138-EO137)^2))^0.5),(((ER138^2)+((EQ$44-EO137)^2))^0.5)),IF((EO138&lt;EQ$44),(((ER138^2)+((EQ$44-EO138)^2))^0.5),0))),0),0))</f>
        <v>0</v>
      </c>
      <c s="588" r="EU138">
        <f>IF(ISNUMBER((EO138*EO137)),IF((EO137&gt;=EA$148),IF((EO138&lt;EA$148),1,0),IF((EO138&gt;=EA$148),IF((EO137&lt;EA$148),1,0),0)),0)</f>
        <v>0</v>
      </c>
      <c s="588" r="EV138">
        <f>IF(ISNA((EO138*EO137)),0,(IF((EN138&lt;EN137),-1,1)*(IF(ISNA(EO138),0,IF((EO137&lt;EA$148),IF((EO138&lt;EA$148),(((EN138-EN137)^2)^0.5),(((((EA$148-EO137)*(EN138-EN137))/(EO138-EO137))^2)^0.5)),IF((EO138&lt;EA$148),(((((EA$148-EO138)*(EN138-EN137))/(EO137-EO138))^2)^0.5),0))))))</f>
        <v>0</v>
      </c>
      <c s="441" r="EW138">
        <f>IF((ES138&gt;0),(MAX(EW$47:EW137)+1),0)</f>
        <v>0</v>
      </c>
      <c s="388" r="EX138"/>
      <c s="687" r="EY138"/>
      <c s="482" r="EZ138"/>
      <c s="482" r="FA138"/>
      <c s="482" r="FB138"/>
      <c s="482" r="FC138"/>
      <c s="418" r="FD138"/>
      <c s="550" r="FE138"/>
      <c s="550" r="FF138"/>
      <c t="str" s="620" r="FG138">
        <f>IF((COUNT(FF138:FF$146,FH138:FH$146)=0),NA(),IF(ISBLANK(FF138),FG137,(FG137+(FF138-FH137))))</f>
        <v>#N/A:explicit</v>
      </c>
      <c s="550" r="FH138"/>
      <c t="str" s="620" r="FI138">
        <f>IF(OR(ISBLANK(FH138),ISNUMBER(FF139)),NA(),(FG138-FH138))</f>
        <v>#N/A:explicit</v>
      </c>
      <c t="b" s="895" r="FJ138">
        <v>0</v>
      </c>
      <c s="631" r="FK138"/>
      <c t="str" s="309" r="FL138">
        <f>IF((COUNT(FE138:FE$146)=0),NA(),IF(ISBLANK(FE138),IF(ISBLANK(FE137),MAX(FE$46:FE138),FE137),FE138))</f>
        <v>#N/A:explicit</v>
      </c>
      <c t="str" s="861" r="FM138">
        <f>IF(ISNA(FI138),IF(ISNUMBER(FL138),FM137,NA()),FI138)</f>
        <v>#N/A:explicit</v>
      </c>
      <c s="861" r="FN138">
        <f>IF(ISNUMBER(FM138),FM138,(FG$46+1000))</f>
        <v>1000</v>
      </c>
      <c t="str" s="588" r="FO138">
        <f>IF((FJ138=TRUE),NA(),IF((FO$44=(FG$46-MAX(FH$46:FH$146))),NA(),FO$44))</f>
        <v>#N/A:explicit</v>
      </c>
      <c s="588" r="FP138">
        <f>IF((ISNA(((FM138*FL138)*FM137))),0,(IF((FL138&lt;FL137),-1,1)*(IF((FJ137=FALSE),IF((FJ138=FALSE),IF(ISNA(FM138),0,IF((FM137&lt;FO$44),IF((FM138&lt;FO$44),(((FL138-FL137)^2)^0.5),(((((FO$44-FM137)*(FL138-FL137))/(FM138-FM137))^2)^0.5)),IF((FM138&lt;FO$44),(((((FO$44-FM138)*(FL138-FL137))/(FM137-FM138))^2)^0.5),0))),0),0))))</f>
        <v>0</v>
      </c>
      <c s="588" r="FQ138">
        <f>IF(ISNA((FM138*FM137)),0,IF((FJ137=FALSE),IF((FJ138=FALSE),IF(ISNA(FI138),0,IF((FM137&lt;FO$44),IF((FM138&lt;FO$44),((FO$44-((FM137+FM138)*0.5))*FP138),(((FO$44-FM137)*0.5)*FP138)),IF((FM138&lt;FO$44),(((FO$44-FM138)*0.5)*FP138),0))),0),0))</f>
        <v>0</v>
      </c>
      <c s="588" r="FR138">
        <f>IF(ISNA((FM138*FM137)),0,IF((FJ137=FALSE),IF((FJ138=FALSE),IF(ISNA(FM138),0,IF((FM137&lt;FO$44),IF((FM138&lt;FO$44),(((FP138^2)+((FM138-FM137)^2))^0.5),(((FP138^2)+((FO$44-FM137)^2))^0.5)),IF((FM138&lt;FO$44),(((FP138^2)+((FO$44-FM138)^2))^0.5),0))),0),0))</f>
        <v>0</v>
      </c>
      <c s="588" r="FS138">
        <f>IF(ISNUMBER((FM138*FM137)),IF((FM137&gt;=EY$148),IF((FM138&lt;EY$148),1,0),IF((FM138&gt;=EY$148),IF((FM137&lt;EY$148),1,0),0)),0)</f>
        <v>0</v>
      </c>
      <c s="588" r="FT138">
        <f>IF(ISNA((FM138*FM137)),0,(IF((FL138&lt;FL137),-1,1)*(IF(ISNA(FM138),0,IF((FM137&lt;EY$148),IF((FM138&lt;EY$148),(((FL138-FL137)^2)^0.5),(((((EY$148-FM137)*(FL138-FL137))/(FM138-FM137))^2)^0.5)),IF((FM138&lt;EY$148),(((((EY$148-FM138)*(FL138-FL137))/(FM137-FM138))^2)^0.5),0))))))</f>
        <v>0</v>
      </c>
      <c s="441" r="FU138">
        <f>IF((FQ138&gt;0),(MAX(FU$47:FU137)+1),0)</f>
        <v>0</v>
      </c>
      <c s="222" r="FV138"/>
      <c s="125" r="FW138"/>
      <c s="125" r="FX138"/>
      <c s="125" r="FY138"/>
      <c s="125" r="FZ138"/>
      <c s="125" r="GA138"/>
      <c s="125" r="GB138"/>
      <c s="125" r="GC138"/>
      <c s="125" r="GD138"/>
      <c s="125" r="GE138"/>
      <c s="125" r="GF138"/>
      <c s="125" r="GG138"/>
      <c s="125" r="GH138"/>
      <c s="125" r="GI138"/>
      <c s="125" r="GJ138"/>
      <c s="125" r="GK138"/>
      <c s="125" r="GL138"/>
      <c s="125" r="GM138"/>
      <c s="125" r="GN138"/>
      <c s="125" r="GO138"/>
      <c s="125" r="GP138"/>
      <c s="125" r="GQ138"/>
      <c s="125" r="GR138"/>
      <c s="125" r="GS138"/>
      <c s="125" r="GT138"/>
      <c s="125" r="GU138"/>
      <c s="125" r="GV138"/>
      <c s="125" r="GW138"/>
      <c s="125" r="GX138"/>
      <c s="125" r="GY138"/>
      <c s="125" r="GZ138"/>
      <c s="125" r="HA138"/>
      <c s="125" r="HB138"/>
    </row>
    <row r="139">
      <c s="125" r="A139"/>
      <c s="125" r="B139"/>
      <c s="125" r="C139"/>
      <c s="125" r="D139"/>
      <c s="125" r="E139"/>
      <c s="125" r="F139"/>
      <c s="125" r="G139"/>
      <c s="125" r="H139"/>
      <c s="125" r="I139"/>
      <c s="822" r="J139"/>
      <c s="687" r="K139"/>
      <c s="482" r="L139"/>
      <c s="482" r="M139"/>
      <c s="482" r="N139"/>
      <c s="482" r="O139"/>
      <c s="418" r="P139"/>
      <c s="550" r="Q139"/>
      <c s="550" r="R139"/>
      <c t="str" s="620" r="S139">
        <f>IF((COUNT(R139:R$146,T139:T$146)=0),NA(),IF(ISBLANK(R139),S138,(S138+(R139-T138))))</f>
        <v>#N/A:explicit</v>
      </c>
      <c s="550" r="T139"/>
      <c t="str" s="620" r="U139">
        <f>IF(OR(ISBLANK(T139),ISNUMBER(R140)),NA(),(S139-T139))</f>
        <v>#N/A:explicit</v>
      </c>
      <c t="b" s="895" r="V139">
        <v>0</v>
      </c>
      <c s="631" r="W139"/>
      <c t="str" s="309" r="X139">
        <f>IF((COUNT(Q139:Q$146)=0),NA(),IF(ISBLANK(Q139),IF(ISBLANK(Q138),MAX(Q$46:Q139),Q138),Q139))</f>
        <v>#N/A:explicit</v>
      </c>
      <c t="str" s="861" r="Y139">
        <f>IF(ISNA(U139),IF(ISNUMBER(X139),Y138,NA()),U139)</f>
        <v>#N/A:explicit</v>
      </c>
      <c s="861" r="Z139">
        <f>IF(ISNUMBER(Y139),Y139,(S$46+1000))</f>
        <v>1000</v>
      </c>
      <c t="str" s="588" r="AA139">
        <f>IF((V139=TRUE),NA(),IF((AA$44=(S$46-MAX(T$46:T$146))),NA(),AA$44))</f>
        <v>#N/A:explicit</v>
      </c>
      <c s="588" r="AB139">
        <f>IF((ISNA(((Y139*X139)*Y138))),0,(IF((X139&lt;X138),-1,1)*(IF((V138=FALSE),IF((V139=FALSE),IF(ISNA(Y139),0,IF((Y138&lt;AA$44),IF((Y139&lt;AA$44),(((X139-X138)^2)^0.5),(((((AA$44-Y138)*(X139-X138))/(Y139-Y138))^2)^0.5)),IF((Y139&lt;AA$44),(((((AA$44-Y139)*(X139-X138))/(Y138-Y139))^2)^0.5),0))),0),0))))</f>
        <v>0</v>
      </c>
      <c s="588" r="AC139">
        <f>IF(ISNA((Y139*Y138)),0,IF((V138=FALSE),IF((V139=FALSE),IF(ISNA(U139),0,IF((Y138&lt;AA$44),IF((Y139&lt;AA$44),((AA$44-((Y138+Y139)*0.5))*AB139),(((AA$44-Y138)*0.5)*AB139)),IF((Y139&lt;AA$44),(((AA$44-Y139)*0.5)*AB139),0))),0),0))</f>
        <v>0</v>
      </c>
      <c s="588" r="AD139">
        <f>IF(ISNA((Y139*Y138)),0,IF((V138=FALSE),IF((V139=FALSE),IF(ISNA(Y139),0,IF((Y138&lt;AA$44),IF((Y139&lt;AA$44),(((AB139^2)+((Y139-Y138)^2))^0.5),(((AB139^2)+((AA$44-Y138)^2))^0.5)),IF((Y139&lt;AA$44),(((AB139^2)+((AA$44-Y139)^2))^0.5),0))),0),0))</f>
        <v>0</v>
      </c>
      <c s="588" r="AE139">
        <f>IF(ISNUMBER((Y139*Y138)),IF((Y138&gt;=K$148),IF((Y139&lt;K$148),1,0),IF((Y139&gt;=K$148),IF((Y138&lt;K$148),1,0),0)),0)</f>
        <v>0</v>
      </c>
      <c s="588" r="AF139">
        <f>IF(ISNA((Y139*Y138)),0,(IF((X139&lt;X138),-1,1)*(IF(ISNA(Y139),0,IF((Y138&lt;K$148),IF((Y139&lt;K$148),(((X139-X138)^2)^0.5),(((((K$148-Y138)*(X139-X138))/(Y139-Y138))^2)^0.5)),IF((Y139&lt;K$148),(((((K$148-Y139)*(X139-X138))/(Y138-Y139))^2)^0.5),0))))))</f>
        <v>0</v>
      </c>
      <c s="441" r="AG139">
        <f>IF((AC139&gt;0),(MAX(AG$47:AG138)+1),0)</f>
        <v>0</v>
      </c>
      <c s="466" r="AH139"/>
      <c s="687" r="AI139"/>
      <c s="482" r="AJ139"/>
      <c s="482" r="AK139"/>
      <c s="482" r="AL139"/>
      <c s="482" r="AM139"/>
      <c s="418" r="AN139"/>
      <c s="550" r="AO139"/>
      <c s="550" r="AP139"/>
      <c t="str" s="620" r="AQ139">
        <f>IF((COUNT(AP139:AP$146,AR139:AR$146)=0),NA(),IF(ISBLANK(AP139),AQ138,(AQ138+(AP139-AR138))))</f>
        <v>#N/A:explicit</v>
      </c>
      <c s="550" r="AR139"/>
      <c t="str" s="620" r="AS139">
        <f>IF(OR(ISBLANK(AR139),ISNUMBER(AP140)),NA(),(AQ139-AR139))</f>
        <v>#N/A:explicit</v>
      </c>
      <c t="b" s="895" r="AT139">
        <v>0</v>
      </c>
      <c s="631" r="AU139"/>
      <c t="str" s="309" r="AV139">
        <f>IF((COUNT(AO139:AO$146)=0),NA(),IF(ISBLANK(AO139),IF(ISBLANK(AO138),MAX(AO$46:AO139),AO138),AO139))</f>
        <v>#N/A:explicit</v>
      </c>
      <c t="str" s="861" r="AW139">
        <f>IF(ISNA(AS139),IF(ISNUMBER(AV139),AW138,NA()),AS139)</f>
        <v>#N/A:explicit</v>
      </c>
      <c s="861" r="AX139">
        <f>IF(ISNUMBER(AW139),AW139,(AQ$46+1000))</f>
        <v>1000</v>
      </c>
      <c t="str" s="588" r="AY139">
        <f>IF((AT139=TRUE),NA(),IF((AY$44=(AQ$46-MAX(AR$46:AR$146))),NA(),AY$44))</f>
        <v>#N/A:explicit</v>
      </c>
      <c s="588" r="AZ139">
        <f>IF((ISNA(((AW139*AV139)*AW138))),0,(IF((AV139&lt;AV138),-1,1)*(IF((AT138=FALSE),IF((AT139=FALSE),IF(ISNA(AW139),0,IF((AW138&lt;AY$44),IF((AW139&lt;AY$44),(((AV139-AV138)^2)^0.5),(((((AY$44-AW138)*(AV139-AV138))/(AW139-AW138))^2)^0.5)),IF((AW139&lt;AY$44),(((((AY$44-AW139)*(AV139-AV138))/(AW138-AW139))^2)^0.5),0))),0),0))))</f>
        <v>0</v>
      </c>
      <c s="588" r="BA139">
        <f>IF(ISNA((AW139*AW138)),0,IF((AT138=FALSE),IF((AT139=FALSE),IF(ISNA(AS139),0,IF((AW138&lt;AY$44),IF((AW139&lt;AY$44),((AY$44-((AW138+AW139)*0.5))*AZ139),(((AY$44-AW138)*0.5)*AZ139)),IF((AW139&lt;AY$44),(((AY$44-AW139)*0.5)*AZ139),0))),0),0))</f>
        <v>0</v>
      </c>
      <c s="588" r="BB139">
        <f>IF(ISNA((AW139*AW138)),0,IF((AT138=FALSE),IF((AT139=FALSE),IF(ISNA(AW139),0,IF((AW138&lt;AY$44),IF((AW139&lt;AY$44),(((AZ139^2)+((AW139-AW138)^2))^0.5),(((AZ139^2)+((AY$44-AW138)^2))^0.5)),IF((AW139&lt;AY$44),(((AZ139^2)+((AY$44-AW139)^2))^0.5),0))),0),0))</f>
        <v>0</v>
      </c>
      <c s="588" r="BC139">
        <f>IF(ISNUMBER((AW139*AW138)),IF((AW138&gt;=AI$148),IF((AW139&lt;AI$148),1,0),IF((AW139&gt;=AI$148),IF((AW138&lt;AI$148),1,0),0)),0)</f>
        <v>0</v>
      </c>
      <c s="588" r="BD139">
        <f>IF(ISNA((AW139*AW138)),0,(IF((AV139&lt;AV138),-1,1)*(IF(ISNA(AW139),0,IF((AW138&lt;AI$148),IF((AW139&lt;AI$148),(((AV139-AV138)^2)^0.5),(((((AI$148-AW138)*(AV139-AV138))/(AW139-AW138))^2)^0.5)),IF((AW139&lt;AI$148),(((((AI$148-AW139)*(AV139-AV138))/(AW138-AW139))^2)^0.5),0))))))</f>
        <v>0</v>
      </c>
      <c s="441" r="BE139">
        <f>IF((BA139&gt;0),(MAX(BE$47:BE138)+1),0)</f>
        <v>0</v>
      </c>
      <c s="466" r="BF139"/>
      <c s="687" r="BG139"/>
      <c s="482" r="BH139"/>
      <c s="482" r="BI139"/>
      <c s="482" r="BJ139"/>
      <c s="482" r="BK139"/>
      <c s="418" r="BL139"/>
      <c s="550" r="BM139"/>
      <c s="550" r="BN139"/>
      <c t="str" s="620" r="BO139">
        <f>IF((COUNT(BN139:BN$146,BP139:BP$146)=0),NA(),IF(ISBLANK(BN139),BO138,(BO138+(BN139-BP138))))</f>
        <v>#N/A:explicit</v>
      </c>
      <c s="550" r="BP139"/>
      <c t="str" s="620" r="BQ139">
        <f>IF(OR(ISBLANK(BP139),ISNUMBER(BN140)),NA(),(BO139-BP139))</f>
        <v>#N/A:explicit</v>
      </c>
      <c t="b" s="895" r="BR139">
        <v>0</v>
      </c>
      <c s="631" r="BS139"/>
      <c t="str" s="309" r="BT139">
        <f>IF((COUNT(BM139:BM$146)=0),NA(),IF(ISBLANK(BM139),IF(ISBLANK(BM138),MAX(BM$46:BM139),BM138),BM139))</f>
        <v>#N/A:explicit</v>
      </c>
      <c t="str" s="861" r="BU139">
        <f>IF(ISNA(BQ139),IF(ISNUMBER(BT139),BU138,NA()),BQ139)</f>
        <v>#N/A:explicit</v>
      </c>
      <c s="861" r="BV139">
        <f>IF(ISNUMBER(BU139),BU139,(BO$46+1000))</f>
        <v>1000</v>
      </c>
      <c t="str" s="588" r="BW139">
        <f>IF((BR139=TRUE),NA(),IF((BW$44=(BO$46-MAX(BP$46:BP$146))),NA(),BW$44))</f>
        <v>#N/A:explicit</v>
      </c>
      <c s="588" r="BX139">
        <f>IF((ISNA(((BU139*BT139)*BU138))),0,(IF((BT139&lt;BT138),-1,1)*(IF((BR138=FALSE),IF((BR139=FALSE),IF(ISNA(BU139),0,IF((BU138&lt;BW$44),IF((BU139&lt;BW$44),(((BT139-BT138)^2)^0.5),(((((BW$44-BU138)*(BT139-BT138))/(BU139-BU138))^2)^0.5)),IF((BU139&lt;BW$44),(((((BW$44-BU139)*(BT139-BT138))/(BU138-BU139))^2)^0.5),0))),0),0))))</f>
        <v>0</v>
      </c>
      <c s="588" r="BY139">
        <f>IF(ISNA((BU139*BU138)),0,IF((BR138=FALSE),IF((BR139=FALSE),IF(ISNA(BQ139),0,IF((BU138&lt;BW$44),IF((BU139&lt;BW$44),((BW$44-((BU138+BU139)*0.5))*BX139),(((BW$44-BU138)*0.5)*BX139)),IF((BU139&lt;BW$44),(((BW$44-BU139)*0.5)*BX139),0))),0),0))</f>
        <v>0</v>
      </c>
      <c s="588" r="BZ139">
        <f>IF(ISNA((BU139*BU138)),0,IF((BR138=FALSE),IF((BR139=FALSE),IF(ISNA(BU139),0,IF((BU138&lt;BW$44),IF((BU139&lt;BW$44),(((BX139^2)+((BU139-BU138)^2))^0.5),(((BX139^2)+((BW$44-BU138)^2))^0.5)),IF((BU139&lt;BW$44),(((BX139^2)+((BW$44-BU139)^2))^0.5),0))),0),0))</f>
        <v>0</v>
      </c>
      <c s="588" r="CA139">
        <f>IF(ISNUMBER((BU139*BU138)),IF((BU138&gt;=BG$148),IF((BU139&lt;BG$148),1,0),IF((BU139&gt;=BG$148),IF((BU138&lt;BG$148),1,0),0)),0)</f>
        <v>0</v>
      </c>
      <c s="588" r="CB139">
        <f>IF(ISNA((BU139*BU138)),0,(IF((BT139&lt;BT138),-1,1)*(IF(ISNA(BU139),0,IF((BU138&lt;BG$148),IF((BU139&lt;BG$148),(((BT139-BT138)^2)^0.5),(((((BG$148-BU138)*(BT139-BT138))/(BU139-BU138))^2)^0.5)),IF((BU139&lt;BG$148),(((((BG$148-BU139)*(BT139-BT138))/(BU138-BU139))^2)^0.5),0))))))</f>
        <v>0</v>
      </c>
      <c s="441" r="CC139">
        <f>IF((BY139&gt;0),(MAX(CC$47:CC138)+1),0)</f>
        <v>0</v>
      </c>
      <c s="466" r="CD139"/>
      <c s="687" r="CE139"/>
      <c s="482" r="CF139"/>
      <c s="482" r="CG139"/>
      <c s="482" r="CH139"/>
      <c s="482" r="CI139"/>
      <c s="418" r="CJ139"/>
      <c s="550" r="CK139"/>
      <c s="550" r="CL139"/>
      <c t="str" s="620" r="CM139">
        <f>IF((COUNT(CL139:CL$146,CN139:CN$146)=0),NA(),IF(ISBLANK(CL139),CM138,(CM138+(CL139-CN138))))</f>
        <v>#N/A:explicit</v>
      </c>
      <c s="550" r="CN139"/>
      <c t="str" s="620" r="CO139">
        <f>IF(OR(ISBLANK(CN139),ISNUMBER(CL140)),NA(),(CM139-CN139))</f>
        <v>#N/A:explicit</v>
      </c>
      <c t="b" s="895" r="CP139">
        <v>0</v>
      </c>
      <c s="631" r="CQ139"/>
      <c t="str" s="309" r="CR139">
        <f>IF((COUNT(CK139:CK$146)=0),NA(),IF(ISBLANK(CK139),IF(ISBLANK(CK138),MAX(CK$46:CK139),CK138),CK139))</f>
        <v>#N/A:explicit</v>
      </c>
      <c t="str" s="861" r="CS139">
        <f>IF(ISNA(CO139),IF(ISNUMBER(CR139),CS138,NA()),CO139)</f>
        <v>#N/A:explicit</v>
      </c>
      <c s="861" r="CT139">
        <f>IF(ISNUMBER(CS139),CS139,(CM$46+1000))</f>
        <v>1000</v>
      </c>
      <c t="str" s="588" r="CU139">
        <f>IF((CP139=TRUE),NA(),IF((CU$44=(CM$46-MAX(CN$46:CN$146))),NA(),CU$44))</f>
        <v>#N/A:explicit</v>
      </c>
      <c s="588" r="CV139">
        <f>IF((ISNA(((CS139*CR139)*CS138))),0,(IF((CR139&lt;CR138),-1,1)*(IF((CP138=FALSE),IF((CP139=FALSE),IF(ISNA(CS139),0,IF((CS138&lt;CU$44),IF((CS139&lt;CU$44),(((CR139-CR138)^2)^0.5),(((((CU$44-CS138)*(CR139-CR138))/(CS139-CS138))^2)^0.5)),IF((CS139&lt;CU$44),(((((CU$44-CS139)*(CR139-CR138))/(CS138-CS139))^2)^0.5),0))),0),0))))</f>
        <v>0</v>
      </c>
      <c s="588" r="CW139">
        <f>IF(ISNA((CS139*CS138)),0,IF((CP138=FALSE),IF((CP139=FALSE),IF(ISNA(CO139),0,IF((CS138&lt;CU$44),IF((CS139&lt;CU$44),((CU$44-((CS138+CS139)*0.5))*CV139),(((CU$44-CS138)*0.5)*CV139)),IF((CS139&lt;CU$44),(((CU$44-CS139)*0.5)*CV139),0))),0),0))</f>
        <v>0</v>
      </c>
      <c s="588" r="CX139">
        <f>IF(ISNA((CS139*CS138)),0,IF((CP138=FALSE),IF((CP139=FALSE),IF(ISNA(CS139),0,IF((CS138&lt;CU$44),IF((CS139&lt;CU$44),(((CV139^2)+((CS139-CS138)^2))^0.5),(((CV139^2)+((CU$44-CS138)^2))^0.5)),IF((CS139&lt;CU$44),(((CV139^2)+((CU$44-CS139)^2))^0.5),0))),0),0))</f>
        <v>0</v>
      </c>
      <c s="588" r="CY139">
        <f>IF(ISNUMBER((CS139*CS138)),IF((CS138&gt;=CE$148),IF((CS139&lt;CE$148),1,0),IF((CS139&gt;=CE$148),IF((CS138&lt;CE$148),1,0),0)),0)</f>
        <v>0</v>
      </c>
      <c s="588" r="CZ139">
        <f>IF(ISNA((CS139*CS138)),0,(IF((CR139&lt;CR138),-1,1)*(IF(ISNA(CS139),0,IF((CS138&lt;CE$148),IF((CS139&lt;CE$148),(((CR139-CR138)^2)^0.5),(((((CE$148-CS138)*(CR139-CR138))/(CS139-CS138))^2)^0.5)),IF((CS139&lt;CE$148),(((((CE$148-CS139)*(CR139-CR138))/(CS138-CS139))^2)^0.5),0))))))</f>
        <v>0</v>
      </c>
      <c s="441" r="DA139">
        <f>IF((CW139&gt;0),(MAX(DA$47:DA138)+1),0)</f>
        <v>0</v>
      </c>
      <c s="466" r="DB139"/>
      <c s="687" r="DC139"/>
      <c s="482" r="DD139"/>
      <c s="482" r="DE139"/>
      <c s="482" r="DF139"/>
      <c s="482" r="DG139"/>
      <c s="418" r="DH139"/>
      <c s="550" r="DI139"/>
      <c s="550" r="DJ139"/>
      <c t="str" s="620" r="DK139">
        <f>IF((COUNT(DJ139:DJ$146,DL139:DL$146)=0),NA(),IF(ISBLANK(DJ139),DK138,(DK138+(DJ139-DL138))))</f>
        <v>#N/A:explicit</v>
      </c>
      <c s="550" r="DL139"/>
      <c t="str" s="620" r="DM139">
        <f>IF(OR(ISBLANK(DL139),ISNUMBER(DJ140)),NA(),(DK139-DL139))</f>
        <v>#N/A:explicit</v>
      </c>
      <c t="b" s="895" r="DN139">
        <v>0</v>
      </c>
      <c s="631" r="DO139"/>
      <c t="str" s="309" r="DP139">
        <f>IF((COUNT(DI139:DI$146)=0),NA(),IF(ISBLANK(DI139),IF(ISBLANK(DI138),MAX(DI$46:DI139),DI138),DI139))</f>
        <v>#N/A:explicit</v>
      </c>
      <c t="str" s="861" r="DQ139">
        <f>IF(ISNA(DM139),IF(ISNUMBER(DP139),DQ138,NA()),DM139)</f>
        <v>#N/A:explicit</v>
      </c>
      <c s="861" r="DR139">
        <f>IF(ISNUMBER(DQ139),DQ139,(DK$46+1000))</f>
        <v>1000</v>
      </c>
      <c t="str" s="588" r="DS139">
        <f>IF((DN139=TRUE),NA(),IF((DS$44=(DK$46-MAX(DL$46:DL$146))),NA(),DS$44))</f>
        <v>#N/A:explicit</v>
      </c>
      <c s="588" r="DT139">
        <f>IF((ISNA(((DQ139*DP139)*DQ138))),0,(IF((DP139&lt;DP138),-1,1)*(IF((DN138=FALSE),IF((DN139=FALSE),IF(ISNA(DQ139),0,IF((DQ138&lt;DS$44),IF((DQ139&lt;DS$44),(((DP139-DP138)^2)^0.5),(((((DS$44-DQ138)*(DP139-DP138))/(DQ139-DQ138))^2)^0.5)),IF((DQ139&lt;DS$44),(((((DS$44-DQ139)*(DP139-DP138))/(DQ138-DQ139))^2)^0.5),0))),0),0))))</f>
        <v>0</v>
      </c>
      <c s="588" r="DU139">
        <f>IF(ISNA((DQ139*DQ138)),0,IF((DN138=FALSE),IF((DN139=FALSE),IF(ISNA(DM139),0,IF((DQ138&lt;DS$44),IF((DQ139&lt;DS$44),((DS$44-((DQ138+DQ139)*0.5))*DT139),(((DS$44-DQ138)*0.5)*DT139)),IF((DQ139&lt;DS$44),(((DS$44-DQ139)*0.5)*DT139),0))),0),0))</f>
        <v>0</v>
      </c>
      <c s="588" r="DV139">
        <f>IF(ISNA((DQ139*DQ138)),0,IF((DN138=FALSE),IF((DN139=FALSE),IF(ISNA(DQ139),0,IF((DQ138&lt;DS$44),IF((DQ139&lt;DS$44),(((DT139^2)+((DQ139-DQ138)^2))^0.5),(((DT139^2)+((DS$44-DQ138)^2))^0.5)),IF((DQ139&lt;DS$44),(((DT139^2)+((DS$44-DQ139)^2))^0.5),0))),0),0))</f>
        <v>0</v>
      </c>
      <c s="588" r="DW139">
        <f>IF(ISNUMBER((DQ139*DQ138)),IF((DQ138&gt;=DC$148),IF((DQ139&lt;DC$148),1,0),IF((DQ139&gt;=DC$148),IF((DQ138&lt;DC$148),1,0),0)),0)</f>
        <v>0</v>
      </c>
      <c s="588" r="DX139">
        <f>IF(ISNA((DQ139*DQ138)),0,(IF((DP139&lt;DP138),-1,1)*(IF(ISNA(DQ139),0,IF((DQ138&lt;DC$148),IF((DQ139&lt;DC$148),(((DP139-DP138)^2)^0.5),(((((DC$148-DQ138)*(DP139-DP138))/(DQ139-DQ138))^2)^0.5)),IF((DQ139&lt;DC$148),(((((DC$148-DQ139)*(DP139-DP138))/(DQ138-DQ139))^2)^0.5),0))))))</f>
        <v>0</v>
      </c>
      <c s="441" r="DY139">
        <f>IF((DU139&gt;0),(MAX(DY$47:DY138)+1),0)</f>
        <v>0</v>
      </c>
      <c s="466" r="DZ139"/>
      <c s="687" r="EA139"/>
      <c s="482" r="EB139"/>
      <c s="482" r="EC139"/>
      <c s="482" r="ED139"/>
      <c s="482" r="EE139"/>
      <c s="418" r="EF139"/>
      <c s="550" r="EG139"/>
      <c s="550" r="EH139"/>
      <c t="str" s="620" r="EI139">
        <f>IF((COUNT(EH139:EH$146,EJ139:EJ$146)=0),NA(),IF(ISBLANK(EH139),EI138,(EI138+(EH139-EJ138))))</f>
        <v>#N/A:explicit</v>
      </c>
      <c s="550" r="EJ139"/>
      <c t="str" s="620" r="EK139">
        <f>IF(OR(ISBLANK(EJ139),ISNUMBER(EH140)),NA(),(EI139-EJ139))</f>
        <v>#N/A:explicit</v>
      </c>
      <c t="b" s="895" r="EL139">
        <v>0</v>
      </c>
      <c s="631" r="EM139"/>
      <c t="str" s="309" r="EN139">
        <f>IF((COUNT(EG139:EG$146)=0),NA(),IF(ISBLANK(EG139),IF(ISBLANK(EG138),MAX(EG$46:EG139),EG138),EG139))</f>
        <v>#N/A:explicit</v>
      </c>
      <c t="str" s="861" r="EO139">
        <f>IF(ISNA(EK139),IF(ISNUMBER(EN139),EO138,NA()),EK139)</f>
        <v>#N/A:explicit</v>
      </c>
      <c s="861" r="EP139">
        <f>IF(ISNUMBER(EO139),EO139,(EI$46+1000))</f>
        <v>1000</v>
      </c>
      <c t="str" s="588" r="EQ139">
        <f>IF((EL139=TRUE),NA(),IF((EQ$44=(EI$46-MAX(EJ$46:EJ$146))),NA(),EQ$44))</f>
        <v>#N/A:explicit</v>
      </c>
      <c s="588" r="ER139">
        <f>IF((ISNA(((EO139*EN139)*EO138))),0,(IF((EN139&lt;EN138),-1,1)*(IF((EL138=FALSE),IF((EL139=FALSE),IF(ISNA(EO139),0,IF((EO138&lt;EQ$44),IF((EO139&lt;EQ$44),(((EN139-EN138)^2)^0.5),(((((EQ$44-EO138)*(EN139-EN138))/(EO139-EO138))^2)^0.5)),IF((EO139&lt;EQ$44),(((((EQ$44-EO139)*(EN139-EN138))/(EO138-EO139))^2)^0.5),0))),0),0))))</f>
        <v>0</v>
      </c>
      <c s="588" r="ES139">
        <f>IF(ISNA((EO139*EO138)),0,IF((EL138=FALSE),IF((EL139=FALSE),IF(ISNA(EK139),0,IF((EO138&lt;EQ$44),IF((EO139&lt;EQ$44),((EQ$44-((EO138+EO139)*0.5))*ER139),(((EQ$44-EO138)*0.5)*ER139)),IF((EO139&lt;EQ$44),(((EQ$44-EO139)*0.5)*ER139),0))),0),0))</f>
        <v>0</v>
      </c>
      <c s="588" r="ET139">
        <f>IF(ISNA((EO139*EO138)),0,IF((EL138=FALSE),IF((EL139=FALSE),IF(ISNA(EO139),0,IF((EO138&lt;EQ$44),IF((EO139&lt;EQ$44),(((ER139^2)+((EO139-EO138)^2))^0.5),(((ER139^2)+((EQ$44-EO138)^2))^0.5)),IF((EO139&lt;EQ$44),(((ER139^2)+((EQ$44-EO139)^2))^0.5),0))),0),0))</f>
        <v>0</v>
      </c>
      <c s="588" r="EU139">
        <f>IF(ISNUMBER((EO139*EO138)),IF((EO138&gt;=EA$148),IF((EO139&lt;EA$148),1,0),IF((EO139&gt;=EA$148),IF((EO138&lt;EA$148),1,0),0)),0)</f>
        <v>0</v>
      </c>
      <c s="588" r="EV139">
        <f>IF(ISNA((EO139*EO138)),0,(IF((EN139&lt;EN138),-1,1)*(IF(ISNA(EO139),0,IF((EO138&lt;EA$148),IF((EO139&lt;EA$148),(((EN139-EN138)^2)^0.5),(((((EA$148-EO138)*(EN139-EN138))/(EO139-EO138))^2)^0.5)),IF((EO139&lt;EA$148),(((((EA$148-EO139)*(EN139-EN138))/(EO138-EO139))^2)^0.5),0))))))</f>
        <v>0</v>
      </c>
      <c s="441" r="EW139">
        <f>IF((ES139&gt;0),(MAX(EW$47:EW138)+1),0)</f>
        <v>0</v>
      </c>
      <c s="466" r="EX139"/>
      <c s="687" r="EY139"/>
      <c s="482" r="EZ139"/>
      <c s="482" r="FA139"/>
      <c s="482" r="FB139"/>
      <c s="482" r="FC139"/>
      <c s="418" r="FD139"/>
      <c s="550" r="FE139"/>
      <c s="550" r="FF139"/>
      <c t="str" s="620" r="FG139">
        <f>IF((COUNT(FF139:FF$146,FH139:FH$146)=0),NA(),IF(ISBLANK(FF139),FG138,(FG138+(FF139-FH138))))</f>
        <v>#N/A:explicit</v>
      </c>
      <c s="550" r="FH139"/>
      <c t="str" s="620" r="FI139">
        <f>IF(OR(ISBLANK(FH139),ISNUMBER(FF140)),NA(),(FG139-FH139))</f>
        <v>#N/A:explicit</v>
      </c>
      <c t="b" s="895" r="FJ139">
        <v>0</v>
      </c>
      <c s="631" r="FK139"/>
      <c t="str" s="309" r="FL139">
        <f>IF((COUNT(FE139:FE$146)=0),NA(),IF(ISBLANK(FE139),IF(ISBLANK(FE138),MAX(FE$46:FE139),FE138),FE139))</f>
        <v>#N/A:explicit</v>
      </c>
      <c t="str" s="861" r="FM139">
        <f>IF(ISNA(FI139),IF(ISNUMBER(FL139),FM138,NA()),FI139)</f>
        <v>#N/A:explicit</v>
      </c>
      <c s="861" r="FN139">
        <f>IF(ISNUMBER(FM139),FM139,(FG$46+1000))</f>
        <v>1000</v>
      </c>
      <c t="str" s="588" r="FO139">
        <f>IF((FJ139=TRUE),NA(),IF((FO$44=(FG$46-MAX(FH$46:FH$146))),NA(),FO$44))</f>
        <v>#N/A:explicit</v>
      </c>
      <c s="588" r="FP139">
        <f>IF((ISNA(((FM139*FL139)*FM138))),0,(IF((FL139&lt;FL138),-1,1)*(IF((FJ138=FALSE),IF((FJ139=FALSE),IF(ISNA(FM139),0,IF((FM138&lt;FO$44),IF((FM139&lt;FO$44),(((FL139-FL138)^2)^0.5),(((((FO$44-FM138)*(FL139-FL138))/(FM139-FM138))^2)^0.5)),IF((FM139&lt;FO$44),(((((FO$44-FM139)*(FL139-FL138))/(FM138-FM139))^2)^0.5),0))),0),0))))</f>
        <v>0</v>
      </c>
      <c s="588" r="FQ139">
        <f>IF(ISNA((FM139*FM138)),0,IF((FJ138=FALSE),IF((FJ139=FALSE),IF(ISNA(FI139),0,IF((FM138&lt;FO$44),IF((FM139&lt;FO$44),((FO$44-((FM138+FM139)*0.5))*FP139),(((FO$44-FM138)*0.5)*FP139)),IF((FM139&lt;FO$44),(((FO$44-FM139)*0.5)*FP139),0))),0),0))</f>
        <v>0</v>
      </c>
      <c s="588" r="FR139">
        <f>IF(ISNA((FM139*FM138)),0,IF((FJ138=FALSE),IF((FJ139=FALSE),IF(ISNA(FM139),0,IF((FM138&lt;FO$44),IF((FM139&lt;FO$44),(((FP139^2)+((FM139-FM138)^2))^0.5),(((FP139^2)+((FO$44-FM138)^2))^0.5)),IF((FM139&lt;FO$44),(((FP139^2)+((FO$44-FM139)^2))^0.5),0))),0),0))</f>
        <v>0</v>
      </c>
      <c s="588" r="FS139">
        <f>IF(ISNUMBER((FM139*FM138)),IF((FM138&gt;=EY$148),IF((FM139&lt;EY$148),1,0),IF((FM139&gt;=EY$148),IF((FM138&lt;EY$148),1,0),0)),0)</f>
        <v>0</v>
      </c>
      <c s="588" r="FT139">
        <f>IF(ISNA((FM139*FM138)),0,(IF((FL139&lt;FL138),-1,1)*(IF(ISNA(FM139),0,IF((FM138&lt;EY$148),IF((FM139&lt;EY$148),(((FL139-FL138)^2)^0.5),(((((EY$148-FM138)*(FL139-FL138))/(FM139-FM138))^2)^0.5)),IF((FM139&lt;EY$148),(((((EY$148-FM139)*(FL139-FL138))/(FM138-FM139))^2)^0.5),0))))))</f>
        <v>0</v>
      </c>
      <c s="441" r="FU139">
        <f>IF((FQ139&gt;0),(MAX(FU$47:FU138)+1),0)</f>
        <v>0</v>
      </c>
      <c s="113" r="FV139"/>
      <c s="761" r="FW139"/>
      <c s="125" r="FX139"/>
      <c s="125" r="FY139"/>
      <c s="125" r="FZ139"/>
      <c s="125" r="GA139"/>
      <c s="125" r="GB139"/>
      <c s="125" r="GC139"/>
      <c s="125" r="GD139"/>
      <c s="125" r="GE139"/>
      <c s="125" r="GF139"/>
      <c s="125" r="GG139"/>
      <c s="125" r="GH139"/>
      <c s="125" r="GI139"/>
      <c s="125" r="GJ139"/>
      <c s="125" r="GK139"/>
      <c s="125" r="GL139"/>
      <c s="125" r="GM139"/>
      <c s="125" r="GN139"/>
      <c s="125" r="GO139"/>
      <c s="125" r="GP139"/>
      <c s="125" r="GQ139"/>
      <c s="125" r="GR139"/>
      <c s="125" r="GS139"/>
      <c s="125" r="GT139"/>
      <c s="125" r="GU139"/>
      <c s="125" r="GV139"/>
      <c s="125" r="GW139"/>
      <c s="125" r="GX139"/>
      <c s="125" r="GY139"/>
      <c s="125" r="GZ139"/>
      <c s="125" r="HA139"/>
      <c s="125" r="HB139"/>
    </row>
    <row r="140">
      <c s="125" r="A140"/>
      <c s="125" r="B140"/>
      <c s="125" r="C140"/>
      <c s="125" r="D140"/>
      <c s="125" r="E140"/>
      <c s="125" r="F140"/>
      <c s="125" r="G140"/>
      <c s="125" r="H140"/>
      <c s="125" r="I140"/>
      <c s="822" r="J140"/>
      <c s="406" r="K140"/>
      <c s="886" r="L140"/>
      <c s="886" r="M140"/>
      <c s="886" r="N140"/>
      <c s="886" r="O140"/>
      <c s="418" r="P140"/>
      <c s="550" r="Q140"/>
      <c s="550" r="R140"/>
      <c t="str" s="620" r="S140">
        <f>IF((COUNT(R140:R$146,T140:T$146)=0),NA(),IF(ISBLANK(R140),S139,(S139+(R140-T139))))</f>
        <v>#N/A:explicit</v>
      </c>
      <c s="550" r="T140"/>
      <c t="str" s="620" r="U140">
        <f>IF(OR(ISBLANK(T140),ISNUMBER(R141)),NA(),(S140-T140))</f>
        <v>#N/A:explicit</v>
      </c>
      <c t="b" s="895" r="V140">
        <v>0</v>
      </c>
      <c s="631" r="W140"/>
      <c t="str" s="309" r="X140">
        <f>IF((COUNT(Q140:Q$146)=0),NA(),IF(ISBLANK(Q140),IF(ISBLANK(Q139),MAX(Q$46:Q140),Q139),Q140))</f>
        <v>#N/A:explicit</v>
      </c>
      <c t="str" s="861" r="Y140">
        <f>IF(ISNA(U140),IF(ISNUMBER(X140),Y139,NA()),U140)</f>
        <v>#N/A:explicit</v>
      </c>
      <c s="861" r="Z140">
        <f>IF(ISNUMBER(Y140),Y140,(S$46+1000))</f>
        <v>1000</v>
      </c>
      <c t="str" s="588" r="AA140">
        <f>IF((V140=TRUE),NA(),IF((AA$44=(S$46-MAX(T$46:T$146))),NA(),AA$44))</f>
        <v>#N/A:explicit</v>
      </c>
      <c s="588" r="AB140">
        <f>IF((ISNA(((Y140*X140)*Y139))),0,(IF((X140&lt;X139),-1,1)*(IF((V139=FALSE),IF((V140=FALSE),IF(ISNA(Y140),0,IF((Y139&lt;AA$44),IF((Y140&lt;AA$44),(((X140-X139)^2)^0.5),(((((AA$44-Y139)*(X140-X139))/(Y140-Y139))^2)^0.5)),IF((Y140&lt;AA$44),(((((AA$44-Y140)*(X140-X139))/(Y139-Y140))^2)^0.5),0))),0),0))))</f>
        <v>0</v>
      </c>
      <c s="588" r="AC140">
        <f>IF(ISNA((Y140*Y139)),0,IF((V139=FALSE),IF((V140=FALSE),IF(ISNA(U140),0,IF((Y139&lt;AA$44),IF((Y140&lt;AA$44),((AA$44-((Y139+Y140)*0.5))*AB140),(((AA$44-Y139)*0.5)*AB140)),IF((Y140&lt;AA$44),(((AA$44-Y140)*0.5)*AB140),0))),0),0))</f>
        <v>0</v>
      </c>
      <c s="588" r="AD140">
        <f>IF(ISNA((Y140*Y139)),0,IF((V139=FALSE),IF((V140=FALSE),IF(ISNA(Y140),0,IF((Y139&lt;AA$44),IF((Y140&lt;AA$44),(((AB140^2)+((Y140-Y139)^2))^0.5),(((AB140^2)+((AA$44-Y139)^2))^0.5)),IF((Y140&lt;AA$44),(((AB140^2)+((AA$44-Y140)^2))^0.5),0))),0),0))</f>
        <v>0</v>
      </c>
      <c s="588" r="AE140">
        <f>IF(ISNUMBER((Y140*Y139)),IF((Y139&gt;=K$148),IF((Y140&lt;K$148),1,0),IF((Y140&gt;=K$148),IF((Y139&lt;K$148),1,0),0)),0)</f>
        <v>0</v>
      </c>
      <c s="588" r="AF140">
        <f>IF(ISNA((Y140*Y139)),0,(IF((X140&lt;X139),-1,1)*(IF(ISNA(Y140),0,IF((Y139&lt;K$148),IF((Y140&lt;K$148),(((X140-X139)^2)^0.5),(((((K$148-Y139)*(X140-X139))/(Y140-Y139))^2)^0.5)),IF((Y140&lt;K$148),(((((K$148-Y140)*(X140-X139))/(Y139-Y140))^2)^0.5),0))))))</f>
        <v>0</v>
      </c>
      <c s="441" r="AG140">
        <f>IF((AC140&gt;0),(MAX(AG$47:AG139)+1),0)</f>
        <v>0</v>
      </c>
      <c s="388" r="AH140"/>
      <c s="406" r="AI140"/>
      <c s="886" r="AJ140"/>
      <c s="886" r="AK140"/>
      <c s="886" r="AL140"/>
      <c s="886" r="AM140"/>
      <c s="418" r="AN140"/>
      <c s="550" r="AO140"/>
      <c s="550" r="AP140"/>
      <c t="str" s="620" r="AQ140">
        <f>IF((COUNT(AP140:AP$146,AR140:AR$146)=0),NA(),IF(ISBLANK(AP140),AQ139,(AQ139+(AP140-AR139))))</f>
        <v>#N/A:explicit</v>
      </c>
      <c s="550" r="AR140"/>
      <c t="str" s="620" r="AS140">
        <f>IF(OR(ISBLANK(AR140),ISNUMBER(AP141)),NA(),(AQ140-AR140))</f>
        <v>#N/A:explicit</v>
      </c>
      <c t="b" s="895" r="AT140">
        <v>0</v>
      </c>
      <c s="631" r="AU140"/>
      <c t="str" s="309" r="AV140">
        <f>IF((COUNT(AO140:AO$146)=0),NA(),IF(ISBLANK(AO140),IF(ISBLANK(AO139),MAX(AO$46:AO140),AO139),AO140))</f>
        <v>#N/A:explicit</v>
      </c>
      <c t="str" s="861" r="AW140">
        <f>IF(ISNA(AS140),IF(ISNUMBER(AV140),AW139,NA()),AS140)</f>
        <v>#N/A:explicit</v>
      </c>
      <c s="861" r="AX140">
        <f>IF(ISNUMBER(AW140),AW140,(AQ$46+1000))</f>
        <v>1000</v>
      </c>
      <c t="str" s="588" r="AY140">
        <f>IF((AT140=TRUE),NA(),IF((AY$44=(AQ$46-MAX(AR$46:AR$146))),NA(),AY$44))</f>
        <v>#N/A:explicit</v>
      </c>
      <c s="588" r="AZ140">
        <f>IF((ISNA(((AW140*AV140)*AW139))),0,(IF((AV140&lt;AV139),-1,1)*(IF((AT139=FALSE),IF((AT140=FALSE),IF(ISNA(AW140),0,IF((AW139&lt;AY$44),IF((AW140&lt;AY$44),(((AV140-AV139)^2)^0.5),(((((AY$44-AW139)*(AV140-AV139))/(AW140-AW139))^2)^0.5)),IF((AW140&lt;AY$44),(((((AY$44-AW140)*(AV140-AV139))/(AW139-AW140))^2)^0.5),0))),0),0))))</f>
        <v>0</v>
      </c>
      <c s="588" r="BA140">
        <f>IF(ISNA((AW140*AW139)),0,IF((AT139=FALSE),IF((AT140=FALSE),IF(ISNA(AS140),0,IF((AW139&lt;AY$44),IF((AW140&lt;AY$44),((AY$44-((AW139+AW140)*0.5))*AZ140),(((AY$44-AW139)*0.5)*AZ140)),IF((AW140&lt;AY$44),(((AY$44-AW140)*0.5)*AZ140),0))),0),0))</f>
        <v>0</v>
      </c>
      <c s="588" r="BB140">
        <f>IF(ISNA((AW140*AW139)),0,IF((AT139=FALSE),IF((AT140=FALSE),IF(ISNA(AW140),0,IF((AW139&lt;AY$44),IF((AW140&lt;AY$44),(((AZ140^2)+((AW140-AW139)^2))^0.5),(((AZ140^2)+((AY$44-AW139)^2))^0.5)),IF((AW140&lt;AY$44),(((AZ140^2)+((AY$44-AW140)^2))^0.5),0))),0),0))</f>
        <v>0</v>
      </c>
      <c s="588" r="BC140">
        <f>IF(ISNUMBER((AW140*AW139)),IF((AW139&gt;=AI$148),IF((AW140&lt;AI$148),1,0),IF((AW140&gt;=AI$148),IF((AW139&lt;AI$148),1,0),0)),0)</f>
        <v>0</v>
      </c>
      <c s="588" r="BD140">
        <f>IF(ISNA((AW140*AW139)),0,(IF((AV140&lt;AV139),-1,1)*(IF(ISNA(AW140),0,IF((AW139&lt;AI$148),IF((AW140&lt;AI$148),(((AV140-AV139)^2)^0.5),(((((AI$148-AW139)*(AV140-AV139))/(AW140-AW139))^2)^0.5)),IF((AW140&lt;AI$148),(((((AI$148-AW140)*(AV140-AV139))/(AW139-AW140))^2)^0.5),0))))))</f>
        <v>0</v>
      </c>
      <c s="441" r="BE140">
        <f>IF((BA140&gt;0),(MAX(BE$47:BE139)+1),0)</f>
        <v>0</v>
      </c>
      <c s="388" r="BF140"/>
      <c s="406" r="BG140"/>
      <c s="886" r="BH140"/>
      <c s="886" r="BI140"/>
      <c s="886" r="BJ140"/>
      <c s="886" r="BK140"/>
      <c s="418" r="BL140"/>
      <c s="550" r="BM140"/>
      <c s="550" r="BN140"/>
      <c t="str" s="620" r="BO140">
        <f>IF((COUNT(BN140:BN$146,BP140:BP$146)=0),NA(),IF(ISBLANK(BN140),BO139,(BO139+(BN140-BP139))))</f>
        <v>#N/A:explicit</v>
      </c>
      <c s="550" r="BP140"/>
      <c t="str" s="620" r="BQ140">
        <f>IF(OR(ISBLANK(BP140),ISNUMBER(BN141)),NA(),(BO140-BP140))</f>
        <v>#N/A:explicit</v>
      </c>
      <c t="b" s="895" r="BR140">
        <v>0</v>
      </c>
      <c s="631" r="BS140"/>
      <c t="str" s="309" r="BT140">
        <f>IF((COUNT(BM140:BM$146)=0),NA(),IF(ISBLANK(BM140),IF(ISBLANK(BM139),MAX(BM$46:BM140),BM139),BM140))</f>
        <v>#N/A:explicit</v>
      </c>
      <c t="str" s="861" r="BU140">
        <f>IF(ISNA(BQ140),IF(ISNUMBER(BT140),BU139,NA()),BQ140)</f>
        <v>#N/A:explicit</v>
      </c>
      <c s="861" r="BV140">
        <f>IF(ISNUMBER(BU140),BU140,(BO$46+1000))</f>
        <v>1000</v>
      </c>
      <c t="str" s="588" r="BW140">
        <f>IF((BR140=TRUE),NA(),IF((BW$44=(BO$46-MAX(BP$46:BP$146))),NA(),BW$44))</f>
        <v>#N/A:explicit</v>
      </c>
      <c s="588" r="BX140">
        <f>IF((ISNA(((BU140*BT140)*BU139))),0,(IF((BT140&lt;BT139),-1,1)*(IF((BR139=FALSE),IF((BR140=FALSE),IF(ISNA(BU140),0,IF((BU139&lt;BW$44),IF((BU140&lt;BW$44),(((BT140-BT139)^2)^0.5),(((((BW$44-BU139)*(BT140-BT139))/(BU140-BU139))^2)^0.5)),IF((BU140&lt;BW$44),(((((BW$44-BU140)*(BT140-BT139))/(BU139-BU140))^2)^0.5),0))),0),0))))</f>
        <v>0</v>
      </c>
      <c s="588" r="BY140">
        <f>IF(ISNA((BU140*BU139)),0,IF((BR139=FALSE),IF((BR140=FALSE),IF(ISNA(BQ140),0,IF((BU139&lt;BW$44),IF((BU140&lt;BW$44),((BW$44-((BU139+BU140)*0.5))*BX140),(((BW$44-BU139)*0.5)*BX140)),IF((BU140&lt;BW$44),(((BW$44-BU140)*0.5)*BX140),0))),0),0))</f>
        <v>0</v>
      </c>
      <c s="588" r="BZ140">
        <f>IF(ISNA((BU140*BU139)),0,IF((BR139=FALSE),IF((BR140=FALSE),IF(ISNA(BU140),0,IF((BU139&lt;BW$44),IF((BU140&lt;BW$44),(((BX140^2)+((BU140-BU139)^2))^0.5),(((BX140^2)+((BW$44-BU139)^2))^0.5)),IF((BU140&lt;BW$44),(((BX140^2)+((BW$44-BU140)^2))^0.5),0))),0),0))</f>
        <v>0</v>
      </c>
      <c s="588" r="CA140">
        <f>IF(ISNUMBER((BU140*BU139)),IF((BU139&gt;=BG$148),IF((BU140&lt;BG$148),1,0),IF((BU140&gt;=BG$148),IF((BU139&lt;BG$148),1,0),0)),0)</f>
        <v>0</v>
      </c>
      <c s="588" r="CB140">
        <f>IF(ISNA((BU140*BU139)),0,(IF((BT140&lt;BT139),-1,1)*(IF(ISNA(BU140),0,IF((BU139&lt;BG$148),IF((BU140&lt;BG$148),(((BT140-BT139)^2)^0.5),(((((BG$148-BU139)*(BT140-BT139))/(BU140-BU139))^2)^0.5)),IF((BU140&lt;BG$148),(((((BG$148-BU140)*(BT140-BT139))/(BU139-BU140))^2)^0.5),0))))))</f>
        <v>0</v>
      </c>
      <c s="441" r="CC140">
        <f>IF((BY140&gt;0),(MAX(CC$47:CC139)+1),0)</f>
        <v>0</v>
      </c>
      <c s="388" r="CD140"/>
      <c s="406" r="CE140"/>
      <c s="886" r="CF140"/>
      <c s="886" r="CG140"/>
      <c s="886" r="CH140"/>
      <c s="886" r="CI140"/>
      <c s="418" r="CJ140"/>
      <c s="550" r="CK140"/>
      <c s="550" r="CL140"/>
      <c t="str" s="620" r="CM140">
        <f>IF((COUNT(CL140:CL$146,CN140:CN$146)=0),NA(),IF(ISBLANK(CL140),CM139,(CM139+(CL140-CN139))))</f>
        <v>#N/A:explicit</v>
      </c>
      <c s="550" r="CN140"/>
      <c t="str" s="620" r="CO140">
        <f>IF(OR(ISBLANK(CN140),ISNUMBER(CL141)),NA(),(CM140-CN140))</f>
        <v>#N/A:explicit</v>
      </c>
      <c t="b" s="895" r="CP140">
        <v>0</v>
      </c>
      <c s="631" r="CQ140"/>
      <c t="str" s="309" r="CR140">
        <f>IF((COUNT(CK140:CK$146)=0),NA(),IF(ISBLANK(CK140),IF(ISBLANK(CK139),MAX(CK$46:CK140),CK139),CK140))</f>
        <v>#N/A:explicit</v>
      </c>
      <c t="str" s="861" r="CS140">
        <f>IF(ISNA(CO140),IF(ISNUMBER(CR140),CS139,NA()),CO140)</f>
        <v>#N/A:explicit</v>
      </c>
      <c s="861" r="CT140">
        <f>IF(ISNUMBER(CS140),CS140,(CM$46+1000))</f>
        <v>1000</v>
      </c>
      <c t="str" s="588" r="CU140">
        <f>IF((CP140=TRUE),NA(),IF((CU$44=(CM$46-MAX(CN$46:CN$146))),NA(),CU$44))</f>
        <v>#N/A:explicit</v>
      </c>
      <c s="588" r="CV140">
        <f>IF((ISNA(((CS140*CR140)*CS139))),0,(IF((CR140&lt;CR139),-1,1)*(IF((CP139=FALSE),IF((CP140=FALSE),IF(ISNA(CS140),0,IF((CS139&lt;CU$44),IF((CS140&lt;CU$44),(((CR140-CR139)^2)^0.5),(((((CU$44-CS139)*(CR140-CR139))/(CS140-CS139))^2)^0.5)),IF((CS140&lt;CU$44),(((((CU$44-CS140)*(CR140-CR139))/(CS139-CS140))^2)^0.5),0))),0),0))))</f>
        <v>0</v>
      </c>
      <c s="588" r="CW140">
        <f>IF(ISNA((CS140*CS139)),0,IF((CP139=FALSE),IF((CP140=FALSE),IF(ISNA(CO140),0,IF((CS139&lt;CU$44),IF((CS140&lt;CU$44),((CU$44-((CS139+CS140)*0.5))*CV140),(((CU$44-CS139)*0.5)*CV140)),IF((CS140&lt;CU$44),(((CU$44-CS140)*0.5)*CV140),0))),0),0))</f>
        <v>0</v>
      </c>
      <c s="588" r="CX140">
        <f>IF(ISNA((CS140*CS139)),0,IF((CP139=FALSE),IF((CP140=FALSE),IF(ISNA(CS140),0,IF((CS139&lt;CU$44),IF((CS140&lt;CU$44),(((CV140^2)+((CS140-CS139)^2))^0.5),(((CV140^2)+((CU$44-CS139)^2))^0.5)),IF((CS140&lt;CU$44),(((CV140^2)+((CU$44-CS140)^2))^0.5),0))),0),0))</f>
        <v>0</v>
      </c>
      <c s="588" r="CY140">
        <f>IF(ISNUMBER((CS140*CS139)),IF((CS139&gt;=CE$148),IF((CS140&lt;CE$148),1,0),IF((CS140&gt;=CE$148),IF((CS139&lt;CE$148),1,0),0)),0)</f>
        <v>0</v>
      </c>
      <c s="588" r="CZ140">
        <f>IF(ISNA((CS140*CS139)),0,(IF((CR140&lt;CR139),-1,1)*(IF(ISNA(CS140),0,IF((CS139&lt;CE$148),IF((CS140&lt;CE$148),(((CR140-CR139)^2)^0.5),(((((CE$148-CS139)*(CR140-CR139))/(CS140-CS139))^2)^0.5)),IF((CS140&lt;CE$148),(((((CE$148-CS140)*(CR140-CR139))/(CS139-CS140))^2)^0.5),0))))))</f>
        <v>0</v>
      </c>
      <c s="441" r="DA140">
        <f>IF((CW140&gt;0),(MAX(DA$47:DA139)+1),0)</f>
        <v>0</v>
      </c>
      <c s="388" r="DB140"/>
      <c s="406" r="DC140"/>
      <c s="886" r="DD140"/>
      <c s="886" r="DE140"/>
      <c s="886" r="DF140"/>
      <c s="886" r="DG140"/>
      <c s="418" r="DH140"/>
      <c s="550" r="DI140"/>
      <c s="550" r="DJ140"/>
      <c t="str" s="620" r="DK140">
        <f>IF((COUNT(DJ140:DJ$146,DL140:DL$146)=0),NA(),IF(ISBLANK(DJ140),DK139,(DK139+(DJ140-DL139))))</f>
        <v>#N/A:explicit</v>
      </c>
      <c s="550" r="DL140"/>
      <c t="str" s="620" r="DM140">
        <f>IF(OR(ISBLANK(DL140),ISNUMBER(DJ141)),NA(),(DK140-DL140))</f>
        <v>#N/A:explicit</v>
      </c>
      <c t="b" s="895" r="DN140">
        <v>0</v>
      </c>
      <c s="631" r="DO140"/>
      <c t="str" s="309" r="DP140">
        <f>IF((COUNT(DI140:DI$146)=0),NA(),IF(ISBLANK(DI140),IF(ISBLANK(DI139),MAX(DI$46:DI140),DI139),DI140))</f>
        <v>#N/A:explicit</v>
      </c>
      <c t="str" s="861" r="DQ140">
        <f>IF(ISNA(DM140),IF(ISNUMBER(DP140),DQ139,NA()),DM140)</f>
        <v>#N/A:explicit</v>
      </c>
      <c s="861" r="DR140">
        <f>IF(ISNUMBER(DQ140),DQ140,(DK$46+1000))</f>
        <v>1000</v>
      </c>
      <c t="str" s="588" r="DS140">
        <f>IF((DN140=TRUE),NA(),IF((DS$44=(DK$46-MAX(DL$46:DL$146))),NA(),DS$44))</f>
        <v>#N/A:explicit</v>
      </c>
      <c s="588" r="DT140">
        <f>IF((ISNA(((DQ140*DP140)*DQ139))),0,(IF((DP140&lt;DP139),-1,1)*(IF((DN139=FALSE),IF((DN140=FALSE),IF(ISNA(DQ140),0,IF((DQ139&lt;DS$44),IF((DQ140&lt;DS$44),(((DP140-DP139)^2)^0.5),(((((DS$44-DQ139)*(DP140-DP139))/(DQ140-DQ139))^2)^0.5)),IF((DQ140&lt;DS$44),(((((DS$44-DQ140)*(DP140-DP139))/(DQ139-DQ140))^2)^0.5),0))),0),0))))</f>
        <v>0</v>
      </c>
      <c s="588" r="DU140">
        <f>IF(ISNA((DQ140*DQ139)),0,IF((DN139=FALSE),IF((DN140=FALSE),IF(ISNA(DM140),0,IF((DQ139&lt;DS$44),IF((DQ140&lt;DS$44),((DS$44-((DQ139+DQ140)*0.5))*DT140),(((DS$44-DQ139)*0.5)*DT140)),IF((DQ140&lt;DS$44),(((DS$44-DQ140)*0.5)*DT140),0))),0),0))</f>
        <v>0</v>
      </c>
      <c s="588" r="DV140">
        <f>IF(ISNA((DQ140*DQ139)),0,IF((DN139=FALSE),IF((DN140=FALSE),IF(ISNA(DQ140),0,IF((DQ139&lt;DS$44),IF((DQ140&lt;DS$44),(((DT140^2)+((DQ140-DQ139)^2))^0.5),(((DT140^2)+((DS$44-DQ139)^2))^0.5)),IF((DQ140&lt;DS$44),(((DT140^2)+((DS$44-DQ140)^2))^0.5),0))),0),0))</f>
        <v>0</v>
      </c>
      <c s="588" r="DW140">
        <f>IF(ISNUMBER((DQ140*DQ139)),IF((DQ139&gt;=DC$148),IF((DQ140&lt;DC$148),1,0),IF((DQ140&gt;=DC$148),IF((DQ139&lt;DC$148),1,0),0)),0)</f>
        <v>0</v>
      </c>
      <c s="588" r="DX140">
        <f>IF(ISNA((DQ140*DQ139)),0,(IF((DP140&lt;DP139),-1,1)*(IF(ISNA(DQ140),0,IF((DQ139&lt;DC$148),IF((DQ140&lt;DC$148),(((DP140-DP139)^2)^0.5),(((((DC$148-DQ139)*(DP140-DP139))/(DQ140-DQ139))^2)^0.5)),IF((DQ140&lt;DC$148),(((((DC$148-DQ140)*(DP140-DP139))/(DQ139-DQ140))^2)^0.5),0))))))</f>
        <v>0</v>
      </c>
      <c s="441" r="DY140">
        <f>IF((DU140&gt;0),(MAX(DY$47:DY139)+1),0)</f>
        <v>0</v>
      </c>
      <c s="388" r="DZ140"/>
      <c s="406" r="EA140"/>
      <c s="886" r="EB140"/>
      <c s="886" r="EC140"/>
      <c s="886" r="ED140"/>
      <c s="886" r="EE140"/>
      <c s="418" r="EF140"/>
      <c s="550" r="EG140"/>
      <c s="550" r="EH140"/>
      <c t="str" s="620" r="EI140">
        <f>IF((COUNT(EH140:EH$146,EJ140:EJ$146)=0),NA(),IF(ISBLANK(EH140),EI139,(EI139+(EH140-EJ139))))</f>
        <v>#N/A:explicit</v>
      </c>
      <c s="550" r="EJ140"/>
      <c t="str" s="620" r="EK140">
        <f>IF(OR(ISBLANK(EJ140),ISNUMBER(EH141)),NA(),(EI140-EJ140))</f>
        <v>#N/A:explicit</v>
      </c>
      <c t="b" s="895" r="EL140">
        <v>0</v>
      </c>
      <c s="631" r="EM140"/>
      <c t="str" s="309" r="EN140">
        <f>IF((COUNT(EG140:EG$146)=0),NA(),IF(ISBLANK(EG140),IF(ISBLANK(EG139),MAX(EG$46:EG140),EG139),EG140))</f>
        <v>#N/A:explicit</v>
      </c>
      <c t="str" s="861" r="EO140">
        <f>IF(ISNA(EK140),IF(ISNUMBER(EN140),EO139,NA()),EK140)</f>
        <v>#N/A:explicit</v>
      </c>
      <c s="861" r="EP140">
        <f>IF(ISNUMBER(EO140),EO140,(EI$46+1000))</f>
        <v>1000</v>
      </c>
      <c t="str" s="588" r="EQ140">
        <f>IF((EL140=TRUE),NA(),IF((EQ$44=(EI$46-MAX(EJ$46:EJ$146))),NA(),EQ$44))</f>
        <v>#N/A:explicit</v>
      </c>
      <c s="588" r="ER140">
        <f>IF((ISNA(((EO140*EN140)*EO139))),0,(IF((EN140&lt;EN139),-1,1)*(IF((EL139=FALSE),IF((EL140=FALSE),IF(ISNA(EO140),0,IF((EO139&lt;EQ$44),IF((EO140&lt;EQ$44),(((EN140-EN139)^2)^0.5),(((((EQ$44-EO139)*(EN140-EN139))/(EO140-EO139))^2)^0.5)),IF((EO140&lt;EQ$44),(((((EQ$44-EO140)*(EN140-EN139))/(EO139-EO140))^2)^0.5),0))),0),0))))</f>
        <v>0</v>
      </c>
      <c s="588" r="ES140">
        <f>IF(ISNA((EO140*EO139)),0,IF((EL139=FALSE),IF((EL140=FALSE),IF(ISNA(EK140),0,IF((EO139&lt;EQ$44),IF((EO140&lt;EQ$44),((EQ$44-((EO139+EO140)*0.5))*ER140),(((EQ$44-EO139)*0.5)*ER140)),IF((EO140&lt;EQ$44),(((EQ$44-EO140)*0.5)*ER140),0))),0),0))</f>
        <v>0</v>
      </c>
      <c s="588" r="ET140">
        <f>IF(ISNA((EO140*EO139)),0,IF((EL139=FALSE),IF((EL140=FALSE),IF(ISNA(EO140),0,IF((EO139&lt;EQ$44),IF((EO140&lt;EQ$44),(((ER140^2)+((EO140-EO139)^2))^0.5),(((ER140^2)+((EQ$44-EO139)^2))^0.5)),IF((EO140&lt;EQ$44),(((ER140^2)+((EQ$44-EO140)^2))^0.5),0))),0),0))</f>
        <v>0</v>
      </c>
      <c s="588" r="EU140">
        <f>IF(ISNUMBER((EO140*EO139)),IF((EO139&gt;=EA$148),IF((EO140&lt;EA$148),1,0),IF((EO140&gt;=EA$148),IF((EO139&lt;EA$148),1,0),0)),0)</f>
        <v>0</v>
      </c>
      <c s="588" r="EV140">
        <f>IF(ISNA((EO140*EO139)),0,(IF((EN140&lt;EN139),-1,1)*(IF(ISNA(EO140),0,IF((EO139&lt;EA$148),IF((EO140&lt;EA$148),(((EN140-EN139)^2)^0.5),(((((EA$148-EO139)*(EN140-EN139))/(EO140-EO139))^2)^0.5)),IF((EO140&lt;EA$148),(((((EA$148-EO140)*(EN140-EN139))/(EO139-EO140))^2)^0.5),0))))))</f>
        <v>0</v>
      </c>
      <c s="441" r="EW140">
        <f>IF((ES140&gt;0),(MAX(EW$47:EW139)+1),0)</f>
        <v>0</v>
      </c>
      <c s="388" r="EX140"/>
      <c s="406" r="EY140"/>
      <c s="886" r="EZ140"/>
      <c s="886" r="FA140"/>
      <c s="886" r="FB140"/>
      <c s="886" r="FC140"/>
      <c s="418" r="FD140"/>
      <c s="550" r="FE140"/>
      <c s="550" r="FF140"/>
      <c t="str" s="620" r="FG140">
        <f>IF((COUNT(FF140:FF$146,FH140:FH$146)=0),NA(),IF(ISBLANK(FF140),FG139,(FG139+(FF140-FH139))))</f>
        <v>#N/A:explicit</v>
      </c>
      <c s="550" r="FH140"/>
      <c t="str" s="620" r="FI140">
        <f>IF(OR(ISBLANK(FH140),ISNUMBER(FF141)),NA(),(FG140-FH140))</f>
        <v>#N/A:explicit</v>
      </c>
      <c t="b" s="895" r="FJ140">
        <v>0</v>
      </c>
      <c s="631" r="FK140"/>
      <c t="str" s="309" r="FL140">
        <f>IF((COUNT(FE140:FE$146)=0),NA(),IF(ISBLANK(FE140),IF(ISBLANK(FE139),MAX(FE$46:FE140),FE139),FE140))</f>
        <v>#N/A:explicit</v>
      </c>
      <c t="str" s="861" r="FM140">
        <f>IF(ISNA(FI140),IF(ISNUMBER(FL140),FM139,NA()),FI140)</f>
        <v>#N/A:explicit</v>
      </c>
      <c s="861" r="FN140">
        <f>IF(ISNUMBER(FM140),FM140,(FG$46+1000))</f>
        <v>1000</v>
      </c>
      <c t="str" s="588" r="FO140">
        <f>IF((FJ140=TRUE),NA(),IF((FO$44=(FG$46-MAX(FH$46:FH$146))),NA(),FO$44))</f>
        <v>#N/A:explicit</v>
      </c>
      <c s="588" r="FP140">
        <f>IF((ISNA(((FM140*FL140)*FM139))),0,(IF((FL140&lt;FL139),-1,1)*(IF((FJ139=FALSE),IF((FJ140=FALSE),IF(ISNA(FM140),0,IF((FM139&lt;FO$44),IF((FM140&lt;FO$44),(((FL140-FL139)^2)^0.5),(((((FO$44-FM139)*(FL140-FL139))/(FM140-FM139))^2)^0.5)),IF((FM140&lt;FO$44),(((((FO$44-FM140)*(FL140-FL139))/(FM139-FM140))^2)^0.5),0))),0),0))))</f>
        <v>0</v>
      </c>
      <c s="588" r="FQ140">
        <f>IF(ISNA((FM140*FM139)),0,IF((FJ139=FALSE),IF((FJ140=FALSE),IF(ISNA(FI140),0,IF((FM139&lt;FO$44),IF((FM140&lt;FO$44),((FO$44-((FM139+FM140)*0.5))*FP140),(((FO$44-FM139)*0.5)*FP140)),IF((FM140&lt;FO$44),(((FO$44-FM140)*0.5)*FP140),0))),0),0))</f>
        <v>0</v>
      </c>
      <c s="588" r="FR140">
        <f>IF(ISNA((FM140*FM139)),0,IF((FJ139=FALSE),IF((FJ140=FALSE),IF(ISNA(FM140),0,IF((FM139&lt;FO$44),IF((FM140&lt;FO$44),(((FP140^2)+((FM140-FM139)^2))^0.5),(((FP140^2)+((FO$44-FM139)^2))^0.5)),IF((FM140&lt;FO$44),(((FP140^2)+((FO$44-FM140)^2))^0.5),0))),0),0))</f>
        <v>0</v>
      </c>
      <c s="588" r="FS140">
        <f>IF(ISNUMBER((FM140*FM139)),IF((FM139&gt;=EY$148),IF((FM140&lt;EY$148),1,0),IF((FM140&gt;=EY$148),IF((FM139&lt;EY$148),1,0),0)),0)</f>
        <v>0</v>
      </c>
      <c s="588" r="FT140">
        <f>IF(ISNA((FM140*FM139)),0,(IF((FL140&lt;FL139),-1,1)*(IF(ISNA(FM140),0,IF((FM139&lt;EY$148),IF((FM140&lt;EY$148),(((FL140-FL139)^2)^0.5),(((((EY$148-FM139)*(FL140-FL139))/(FM140-FM139))^2)^0.5)),IF((FM140&lt;EY$148),(((((EY$148-FM140)*(FL140-FL139))/(FM139-FM140))^2)^0.5),0))))))</f>
        <v>0</v>
      </c>
      <c s="441" r="FU140">
        <f>IF((FQ140&gt;0),(MAX(FU$47:FU139)+1),0)</f>
        <v>0</v>
      </c>
      <c s="222" r="FV140"/>
      <c s="125" r="FW140"/>
      <c s="125" r="FX140"/>
      <c s="125" r="FY140"/>
      <c s="125" r="FZ140"/>
      <c s="125" r="GA140"/>
      <c s="125" r="GB140"/>
      <c s="125" r="GC140"/>
      <c s="125" r="GD140"/>
      <c s="125" r="GE140"/>
      <c s="125" r="GF140"/>
      <c s="125" r="GG140"/>
      <c s="125" r="GH140"/>
      <c s="125" r="GI140"/>
      <c s="125" r="GJ140"/>
      <c s="125" r="GK140"/>
      <c s="125" r="GL140"/>
      <c s="125" r="GM140"/>
      <c s="125" r="GN140"/>
      <c s="125" r="GO140"/>
      <c s="125" r="GP140"/>
      <c s="125" r="GQ140"/>
      <c s="125" r="GR140"/>
      <c s="125" r="GS140"/>
      <c s="125" r="GT140"/>
      <c s="125" r="GU140"/>
      <c s="125" r="GV140"/>
      <c s="125" r="GW140"/>
      <c s="125" r="GX140"/>
      <c s="125" r="GY140"/>
      <c s="125" r="GZ140"/>
      <c s="125" r="HA140"/>
      <c s="125" r="HB140"/>
    </row>
    <row r="141">
      <c s="125" r="A141"/>
      <c s="125" r="B141"/>
      <c s="125" r="C141"/>
      <c s="125" r="D141"/>
      <c s="125" r="E141"/>
      <c s="125" r="F141"/>
      <c s="125" r="G141"/>
      <c s="125" r="H141"/>
      <c s="125" r="I141"/>
      <c s="822" r="J141"/>
      <c s="406" r="K141"/>
      <c s="886" r="L141"/>
      <c s="886" r="M141"/>
      <c s="886" r="N141"/>
      <c s="886" r="O141"/>
      <c s="418" r="P141"/>
      <c s="550" r="Q141"/>
      <c s="550" r="R141"/>
      <c t="str" s="620" r="S141">
        <f>IF((COUNT(R141:R$146,T141:T$146)=0),NA(),IF(ISBLANK(R141),S140,(S140+(R141-T140))))</f>
        <v>#N/A:explicit</v>
      </c>
      <c s="550" r="T141"/>
      <c t="str" s="620" r="U141">
        <f>IF(OR(ISBLANK(T141),ISNUMBER(R142)),NA(),(S141-T141))</f>
        <v>#N/A:explicit</v>
      </c>
      <c t="b" s="895" r="V141">
        <v>0</v>
      </c>
      <c s="631" r="W141"/>
      <c t="str" s="309" r="X141">
        <f>IF((COUNT(Q141:Q$146)=0),NA(),IF(ISBLANK(Q141),IF(ISBLANK(Q140),MAX(Q$46:Q141),Q140),Q141))</f>
        <v>#N/A:explicit</v>
      </c>
      <c t="str" s="861" r="Y141">
        <f>IF(ISNA(U141),IF(ISNUMBER(X141),Y140,NA()),U141)</f>
        <v>#N/A:explicit</v>
      </c>
      <c s="861" r="Z141">
        <f>IF(ISNUMBER(Y141),Y141,(S$46+1000))</f>
        <v>1000</v>
      </c>
      <c t="str" s="588" r="AA141">
        <f>IF((V141=TRUE),NA(),IF((AA$44=(S$46-MAX(T$46:T$146))),NA(),AA$44))</f>
        <v>#N/A:explicit</v>
      </c>
      <c s="588" r="AB141">
        <f>IF((ISNA(((Y141*X141)*Y140))),0,(IF((X141&lt;X140),-1,1)*(IF((V140=FALSE),IF((V141=FALSE),IF(ISNA(Y141),0,IF((Y140&lt;AA$44),IF((Y141&lt;AA$44),(((X141-X140)^2)^0.5),(((((AA$44-Y140)*(X141-X140))/(Y141-Y140))^2)^0.5)),IF((Y141&lt;AA$44),(((((AA$44-Y141)*(X141-X140))/(Y140-Y141))^2)^0.5),0))),0),0))))</f>
        <v>0</v>
      </c>
      <c s="588" r="AC141">
        <f>IF(ISNA((Y141*Y140)),0,IF((V140=FALSE),IF((V141=FALSE),IF(ISNA(U141),0,IF((Y140&lt;AA$44),IF((Y141&lt;AA$44),((AA$44-((Y140+Y141)*0.5))*AB141),(((AA$44-Y140)*0.5)*AB141)),IF((Y141&lt;AA$44),(((AA$44-Y141)*0.5)*AB141),0))),0),0))</f>
        <v>0</v>
      </c>
      <c s="588" r="AD141">
        <f>IF(ISNA((Y141*Y140)),0,IF((V140=FALSE),IF((V141=FALSE),IF(ISNA(Y141),0,IF((Y140&lt;AA$44),IF((Y141&lt;AA$44),(((AB141^2)+((Y141-Y140)^2))^0.5),(((AB141^2)+((AA$44-Y140)^2))^0.5)),IF((Y141&lt;AA$44),(((AB141^2)+((AA$44-Y141)^2))^0.5),0))),0),0))</f>
        <v>0</v>
      </c>
      <c s="588" r="AE141">
        <f>IF(ISNUMBER((Y141*Y140)),IF((Y140&gt;=K$148),IF((Y141&lt;K$148),1,0),IF((Y141&gt;=K$148),IF((Y140&lt;K$148),1,0),0)),0)</f>
        <v>0</v>
      </c>
      <c s="588" r="AF141">
        <f>IF(ISNA((Y141*Y140)),0,(IF((X141&lt;X140),-1,1)*(IF(ISNA(Y141),0,IF((Y140&lt;K$148),IF((Y141&lt;K$148),(((X141-X140)^2)^0.5),(((((K$148-Y140)*(X141-X140))/(Y141-Y140))^2)^0.5)),IF((Y141&lt;K$148),(((((K$148-Y141)*(X141-X140))/(Y140-Y141))^2)^0.5),0))))))</f>
        <v>0</v>
      </c>
      <c s="441" r="AG141">
        <f>IF((AC141&gt;0),(MAX(AG$47:AG140)+1),0)</f>
        <v>0</v>
      </c>
      <c s="388" r="AH141"/>
      <c s="406" r="AI141"/>
      <c s="886" r="AJ141"/>
      <c s="886" r="AK141"/>
      <c s="886" r="AL141"/>
      <c s="886" r="AM141"/>
      <c s="418" r="AN141"/>
      <c s="550" r="AO141"/>
      <c s="550" r="AP141"/>
      <c t="str" s="620" r="AQ141">
        <f>IF((COUNT(AP141:AP$146,AR141:AR$146)=0),NA(),IF(ISBLANK(AP141),AQ140,(AQ140+(AP141-AR140))))</f>
        <v>#N/A:explicit</v>
      </c>
      <c s="550" r="AR141"/>
      <c t="str" s="620" r="AS141">
        <f>IF(OR(ISBLANK(AR141),ISNUMBER(AP142)),NA(),(AQ141-AR141))</f>
        <v>#N/A:explicit</v>
      </c>
      <c t="b" s="895" r="AT141">
        <v>0</v>
      </c>
      <c s="631" r="AU141"/>
      <c t="str" s="309" r="AV141">
        <f>IF((COUNT(AO141:AO$146)=0),NA(),IF(ISBLANK(AO141),IF(ISBLANK(AO140),MAX(AO$46:AO141),AO140),AO141))</f>
        <v>#N/A:explicit</v>
      </c>
      <c t="str" s="861" r="AW141">
        <f>IF(ISNA(AS141),IF(ISNUMBER(AV141),AW140,NA()),AS141)</f>
        <v>#N/A:explicit</v>
      </c>
      <c s="861" r="AX141">
        <f>IF(ISNUMBER(AW141),AW141,(AQ$46+1000))</f>
        <v>1000</v>
      </c>
      <c t="str" s="588" r="AY141">
        <f>IF((AT141=TRUE),NA(),IF((AY$44=(AQ$46-MAX(AR$46:AR$146))),NA(),AY$44))</f>
        <v>#N/A:explicit</v>
      </c>
      <c s="588" r="AZ141">
        <f>IF((ISNA(((AW141*AV141)*AW140))),0,(IF((AV141&lt;AV140),-1,1)*(IF((AT140=FALSE),IF((AT141=FALSE),IF(ISNA(AW141),0,IF((AW140&lt;AY$44),IF((AW141&lt;AY$44),(((AV141-AV140)^2)^0.5),(((((AY$44-AW140)*(AV141-AV140))/(AW141-AW140))^2)^0.5)),IF((AW141&lt;AY$44),(((((AY$44-AW141)*(AV141-AV140))/(AW140-AW141))^2)^0.5),0))),0),0))))</f>
        <v>0</v>
      </c>
      <c s="588" r="BA141">
        <f>IF(ISNA((AW141*AW140)),0,IF((AT140=FALSE),IF((AT141=FALSE),IF(ISNA(AS141),0,IF((AW140&lt;AY$44),IF((AW141&lt;AY$44),((AY$44-((AW140+AW141)*0.5))*AZ141),(((AY$44-AW140)*0.5)*AZ141)),IF((AW141&lt;AY$44),(((AY$44-AW141)*0.5)*AZ141),0))),0),0))</f>
        <v>0</v>
      </c>
      <c s="588" r="BB141">
        <f>IF(ISNA((AW141*AW140)),0,IF((AT140=FALSE),IF((AT141=FALSE),IF(ISNA(AW141),0,IF((AW140&lt;AY$44),IF((AW141&lt;AY$44),(((AZ141^2)+((AW141-AW140)^2))^0.5),(((AZ141^2)+((AY$44-AW140)^2))^0.5)),IF((AW141&lt;AY$44),(((AZ141^2)+((AY$44-AW141)^2))^0.5),0))),0),0))</f>
        <v>0</v>
      </c>
      <c s="588" r="BC141">
        <f>IF(ISNUMBER((AW141*AW140)),IF((AW140&gt;=AI$148),IF((AW141&lt;AI$148),1,0),IF((AW141&gt;=AI$148),IF((AW140&lt;AI$148),1,0),0)),0)</f>
        <v>0</v>
      </c>
      <c s="588" r="BD141">
        <f>IF(ISNA((AW141*AW140)),0,(IF((AV141&lt;AV140),-1,1)*(IF(ISNA(AW141),0,IF((AW140&lt;AI$148),IF((AW141&lt;AI$148),(((AV141-AV140)^2)^0.5),(((((AI$148-AW140)*(AV141-AV140))/(AW141-AW140))^2)^0.5)),IF((AW141&lt;AI$148),(((((AI$148-AW141)*(AV141-AV140))/(AW140-AW141))^2)^0.5),0))))))</f>
        <v>0</v>
      </c>
      <c s="441" r="BE141">
        <f>IF((BA141&gt;0),(MAX(BE$47:BE140)+1),0)</f>
        <v>0</v>
      </c>
      <c s="388" r="BF141"/>
      <c s="406" r="BG141"/>
      <c s="886" r="BH141"/>
      <c s="886" r="BI141"/>
      <c s="886" r="BJ141"/>
      <c s="886" r="BK141"/>
      <c s="418" r="BL141"/>
      <c s="550" r="BM141"/>
      <c s="550" r="BN141"/>
      <c t="str" s="620" r="BO141">
        <f>IF((COUNT(BN141:BN$146,BP141:BP$146)=0),NA(),IF(ISBLANK(BN141),BO140,(BO140+(BN141-BP140))))</f>
        <v>#N/A:explicit</v>
      </c>
      <c s="550" r="BP141"/>
      <c t="str" s="620" r="BQ141">
        <f>IF(OR(ISBLANK(BP141),ISNUMBER(BN142)),NA(),(BO141-BP141))</f>
        <v>#N/A:explicit</v>
      </c>
      <c t="b" s="895" r="BR141">
        <v>0</v>
      </c>
      <c s="631" r="BS141"/>
      <c t="str" s="309" r="BT141">
        <f>IF((COUNT(BM141:BM$146)=0),NA(),IF(ISBLANK(BM141),IF(ISBLANK(BM140),MAX(BM$46:BM141),BM140),BM141))</f>
        <v>#N/A:explicit</v>
      </c>
      <c t="str" s="861" r="BU141">
        <f>IF(ISNA(BQ141),IF(ISNUMBER(BT141),BU140,NA()),BQ141)</f>
        <v>#N/A:explicit</v>
      </c>
      <c s="861" r="BV141">
        <f>IF(ISNUMBER(BU141),BU141,(BO$46+1000))</f>
        <v>1000</v>
      </c>
      <c t="str" s="588" r="BW141">
        <f>IF((BR141=TRUE),NA(),IF((BW$44=(BO$46-MAX(BP$46:BP$146))),NA(),BW$44))</f>
        <v>#N/A:explicit</v>
      </c>
      <c s="588" r="BX141">
        <f>IF((ISNA(((BU141*BT141)*BU140))),0,(IF((BT141&lt;BT140),-1,1)*(IF((BR140=FALSE),IF((BR141=FALSE),IF(ISNA(BU141),0,IF((BU140&lt;BW$44),IF((BU141&lt;BW$44),(((BT141-BT140)^2)^0.5),(((((BW$44-BU140)*(BT141-BT140))/(BU141-BU140))^2)^0.5)),IF((BU141&lt;BW$44),(((((BW$44-BU141)*(BT141-BT140))/(BU140-BU141))^2)^0.5),0))),0),0))))</f>
        <v>0</v>
      </c>
      <c s="588" r="BY141">
        <f>IF(ISNA((BU141*BU140)),0,IF((BR140=FALSE),IF((BR141=FALSE),IF(ISNA(BQ141),0,IF((BU140&lt;BW$44),IF((BU141&lt;BW$44),((BW$44-((BU140+BU141)*0.5))*BX141),(((BW$44-BU140)*0.5)*BX141)),IF((BU141&lt;BW$44),(((BW$44-BU141)*0.5)*BX141),0))),0),0))</f>
        <v>0</v>
      </c>
      <c s="588" r="BZ141">
        <f>IF(ISNA((BU141*BU140)),0,IF((BR140=FALSE),IF((BR141=FALSE),IF(ISNA(BU141),0,IF((BU140&lt;BW$44),IF((BU141&lt;BW$44),(((BX141^2)+((BU141-BU140)^2))^0.5),(((BX141^2)+((BW$44-BU140)^2))^0.5)),IF((BU141&lt;BW$44),(((BX141^2)+((BW$44-BU141)^2))^0.5),0))),0),0))</f>
        <v>0</v>
      </c>
      <c s="588" r="CA141">
        <f>IF(ISNUMBER((BU141*BU140)),IF((BU140&gt;=BG$148),IF((BU141&lt;BG$148),1,0),IF((BU141&gt;=BG$148),IF((BU140&lt;BG$148),1,0),0)),0)</f>
        <v>0</v>
      </c>
      <c s="588" r="CB141">
        <f>IF(ISNA((BU141*BU140)),0,(IF((BT141&lt;BT140),-1,1)*(IF(ISNA(BU141),0,IF((BU140&lt;BG$148),IF((BU141&lt;BG$148),(((BT141-BT140)^2)^0.5),(((((BG$148-BU140)*(BT141-BT140))/(BU141-BU140))^2)^0.5)),IF((BU141&lt;BG$148),(((((BG$148-BU141)*(BT141-BT140))/(BU140-BU141))^2)^0.5),0))))))</f>
        <v>0</v>
      </c>
      <c s="441" r="CC141">
        <f>IF((BY141&gt;0),(MAX(CC$47:CC140)+1),0)</f>
        <v>0</v>
      </c>
      <c s="388" r="CD141"/>
      <c s="406" r="CE141"/>
      <c s="886" r="CF141"/>
      <c s="886" r="CG141"/>
      <c s="886" r="CH141"/>
      <c s="886" r="CI141"/>
      <c s="418" r="CJ141"/>
      <c s="550" r="CK141"/>
      <c s="550" r="CL141"/>
      <c t="str" s="620" r="CM141">
        <f>IF((COUNT(CL141:CL$146,CN141:CN$146)=0),NA(),IF(ISBLANK(CL141),CM140,(CM140+(CL141-CN140))))</f>
        <v>#N/A:explicit</v>
      </c>
      <c s="550" r="CN141"/>
      <c t="str" s="620" r="CO141">
        <f>IF(OR(ISBLANK(CN141),ISNUMBER(CL142)),NA(),(CM141-CN141))</f>
        <v>#N/A:explicit</v>
      </c>
      <c t="b" s="895" r="CP141">
        <v>0</v>
      </c>
      <c s="631" r="CQ141"/>
      <c t="str" s="309" r="CR141">
        <f>IF((COUNT(CK141:CK$146)=0),NA(),IF(ISBLANK(CK141),IF(ISBLANK(CK140),MAX(CK$46:CK141),CK140),CK141))</f>
        <v>#N/A:explicit</v>
      </c>
      <c t="str" s="861" r="CS141">
        <f>IF(ISNA(CO141),IF(ISNUMBER(CR141),CS140,NA()),CO141)</f>
        <v>#N/A:explicit</v>
      </c>
      <c s="861" r="CT141">
        <f>IF(ISNUMBER(CS141),CS141,(CM$46+1000))</f>
        <v>1000</v>
      </c>
      <c t="str" s="588" r="CU141">
        <f>IF((CP141=TRUE),NA(),IF((CU$44=(CM$46-MAX(CN$46:CN$146))),NA(),CU$44))</f>
        <v>#N/A:explicit</v>
      </c>
      <c s="588" r="CV141">
        <f>IF((ISNA(((CS141*CR141)*CS140))),0,(IF((CR141&lt;CR140),-1,1)*(IF((CP140=FALSE),IF((CP141=FALSE),IF(ISNA(CS141),0,IF((CS140&lt;CU$44),IF((CS141&lt;CU$44),(((CR141-CR140)^2)^0.5),(((((CU$44-CS140)*(CR141-CR140))/(CS141-CS140))^2)^0.5)),IF((CS141&lt;CU$44),(((((CU$44-CS141)*(CR141-CR140))/(CS140-CS141))^2)^0.5),0))),0),0))))</f>
        <v>0</v>
      </c>
      <c s="588" r="CW141">
        <f>IF(ISNA((CS141*CS140)),0,IF((CP140=FALSE),IF((CP141=FALSE),IF(ISNA(CO141),0,IF((CS140&lt;CU$44),IF((CS141&lt;CU$44),((CU$44-((CS140+CS141)*0.5))*CV141),(((CU$44-CS140)*0.5)*CV141)),IF((CS141&lt;CU$44),(((CU$44-CS141)*0.5)*CV141),0))),0),0))</f>
        <v>0</v>
      </c>
      <c s="588" r="CX141">
        <f>IF(ISNA((CS141*CS140)),0,IF((CP140=FALSE),IF((CP141=FALSE),IF(ISNA(CS141),0,IF((CS140&lt;CU$44),IF((CS141&lt;CU$44),(((CV141^2)+((CS141-CS140)^2))^0.5),(((CV141^2)+((CU$44-CS140)^2))^0.5)),IF((CS141&lt;CU$44),(((CV141^2)+((CU$44-CS141)^2))^0.5),0))),0),0))</f>
        <v>0</v>
      </c>
      <c s="588" r="CY141">
        <f>IF(ISNUMBER((CS141*CS140)),IF((CS140&gt;=CE$148),IF((CS141&lt;CE$148),1,0),IF((CS141&gt;=CE$148),IF((CS140&lt;CE$148),1,0),0)),0)</f>
        <v>0</v>
      </c>
      <c s="588" r="CZ141">
        <f>IF(ISNA((CS141*CS140)),0,(IF((CR141&lt;CR140),-1,1)*(IF(ISNA(CS141),0,IF((CS140&lt;CE$148),IF((CS141&lt;CE$148),(((CR141-CR140)^2)^0.5),(((((CE$148-CS140)*(CR141-CR140))/(CS141-CS140))^2)^0.5)),IF((CS141&lt;CE$148),(((((CE$148-CS141)*(CR141-CR140))/(CS140-CS141))^2)^0.5),0))))))</f>
        <v>0</v>
      </c>
      <c s="441" r="DA141">
        <f>IF((CW141&gt;0),(MAX(DA$47:DA140)+1),0)</f>
        <v>0</v>
      </c>
      <c s="388" r="DB141"/>
      <c s="406" r="DC141"/>
      <c s="886" r="DD141"/>
      <c s="886" r="DE141"/>
      <c s="886" r="DF141"/>
      <c s="886" r="DG141"/>
      <c s="418" r="DH141"/>
      <c s="550" r="DI141"/>
      <c s="550" r="DJ141"/>
      <c t="str" s="620" r="DK141">
        <f>IF((COUNT(DJ141:DJ$146,DL141:DL$146)=0),NA(),IF(ISBLANK(DJ141),DK140,(DK140+(DJ141-DL140))))</f>
        <v>#N/A:explicit</v>
      </c>
      <c s="550" r="DL141"/>
      <c t="str" s="620" r="DM141">
        <f>IF(OR(ISBLANK(DL141),ISNUMBER(DJ142)),NA(),(DK141-DL141))</f>
        <v>#N/A:explicit</v>
      </c>
      <c t="b" s="895" r="DN141">
        <v>0</v>
      </c>
      <c s="631" r="DO141"/>
      <c t="str" s="309" r="DP141">
        <f>IF((COUNT(DI141:DI$146)=0),NA(),IF(ISBLANK(DI141),IF(ISBLANK(DI140),MAX(DI$46:DI141),DI140),DI141))</f>
        <v>#N/A:explicit</v>
      </c>
      <c t="str" s="861" r="DQ141">
        <f>IF(ISNA(DM141),IF(ISNUMBER(DP141),DQ140,NA()),DM141)</f>
        <v>#N/A:explicit</v>
      </c>
      <c s="861" r="DR141">
        <f>IF(ISNUMBER(DQ141),DQ141,(DK$46+1000))</f>
        <v>1000</v>
      </c>
      <c t="str" s="588" r="DS141">
        <f>IF((DN141=TRUE),NA(),IF((DS$44=(DK$46-MAX(DL$46:DL$146))),NA(),DS$44))</f>
        <v>#N/A:explicit</v>
      </c>
      <c s="588" r="DT141">
        <f>IF((ISNA(((DQ141*DP141)*DQ140))),0,(IF((DP141&lt;DP140),-1,1)*(IF((DN140=FALSE),IF((DN141=FALSE),IF(ISNA(DQ141),0,IF((DQ140&lt;DS$44),IF((DQ141&lt;DS$44),(((DP141-DP140)^2)^0.5),(((((DS$44-DQ140)*(DP141-DP140))/(DQ141-DQ140))^2)^0.5)),IF((DQ141&lt;DS$44),(((((DS$44-DQ141)*(DP141-DP140))/(DQ140-DQ141))^2)^0.5),0))),0),0))))</f>
        <v>0</v>
      </c>
      <c s="588" r="DU141">
        <f>IF(ISNA((DQ141*DQ140)),0,IF((DN140=FALSE),IF((DN141=FALSE),IF(ISNA(DM141),0,IF((DQ140&lt;DS$44),IF((DQ141&lt;DS$44),((DS$44-((DQ140+DQ141)*0.5))*DT141),(((DS$44-DQ140)*0.5)*DT141)),IF((DQ141&lt;DS$44),(((DS$44-DQ141)*0.5)*DT141),0))),0),0))</f>
        <v>0</v>
      </c>
      <c s="588" r="DV141">
        <f>IF(ISNA((DQ141*DQ140)),0,IF((DN140=FALSE),IF((DN141=FALSE),IF(ISNA(DQ141),0,IF((DQ140&lt;DS$44),IF((DQ141&lt;DS$44),(((DT141^2)+((DQ141-DQ140)^2))^0.5),(((DT141^2)+((DS$44-DQ140)^2))^0.5)),IF((DQ141&lt;DS$44),(((DT141^2)+((DS$44-DQ141)^2))^0.5),0))),0),0))</f>
        <v>0</v>
      </c>
      <c s="588" r="DW141">
        <f>IF(ISNUMBER((DQ141*DQ140)),IF((DQ140&gt;=DC$148),IF((DQ141&lt;DC$148),1,0),IF((DQ141&gt;=DC$148),IF((DQ140&lt;DC$148),1,0),0)),0)</f>
        <v>0</v>
      </c>
      <c s="588" r="DX141">
        <f>IF(ISNA((DQ141*DQ140)),0,(IF((DP141&lt;DP140),-1,1)*(IF(ISNA(DQ141),0,IF((DQ140&lt;DC$148),IF((DQ141&lt;DC$148),(((DP141-DP140)^2)^0.5),(((((DC$148-DQ140)*(DP141-DP140))/(DQ141-DQ140))^2)^0.5)),IF((DQ141&lt;DC$148),(((((DC$148-DQ141)*(DP141-DP140))/(DQ140-DQ141))^2)^0.5),0))))))</f>
        <v>0</v>
      </c>
      <c s="441" r="DY141">
        <f>IF((DU141&gt;0),(MAX(DY$47:DY140)+1),0)</f>
        <v>0</v>
      </c>
      <c s="388" r="DZ141"/>
      <c s="406" r="EA141"/>
      <c s="886" r="EB141"/>
      <c s="886" r="EC141"/>
      <c s="886" r="ED141"/>
      <c s="886" r="EE141"/>
      <c s="418" r="EF141"/>
      <c s="550" r="EG141"/>
      <c s="550" r="EH141"/>
      <c t="str" s="620" r="EI141">
        <f>IF((COUNT(EH141:EH$146,EJ141:EJ$146)=0),NA(),IF(ISBLANK(EH141),EI140,(EI140+(EH141-EJ140))))</f>
        <v>#N/A:explicit</v>
      </c>
      <c s="550" r="EJ141"/>
      <c t="str" s="620" r="EK141">
        <f>IF(OR(ISBLANK(EJ141),ISNUMBER(EH142)),NA(),(EI141-EJ141))</f>
        <v>#N/A:explicit</v>
      </c>
      <c t="b" s="895" r="EL141">
        <v>0</v>
      </c>
      <c s="631" r="EM141"/>
      <c t="str" s="309" r="EN141">
        <f>IF((COUNT(EG141:EG$146)=0),NA(),IF(ISBLANK(EG141),IF(ISBLANK(EG140),MAX(EG$46:EG141),EG140),EG141))</f>
        <v>#N/A:explicit</v>
      </c>
      <c t="str" s="861" r="EO141">
        <f>IF(ISNA(EK141),IF(ISNUMBER(EN141),EO140,NA()),EK141)</f>
        <v>#N/A:explicit</v>
      </c>
      <c s="861" r="EP141">
        <f>IF(ISNUMBER(EO141),EO141,(EI$46+1000))</f>
        <v>1000</v>
      </c>
      <c t="str" s="588" r="EQ141">
        <f>IF((EL141=TRUE),NA(),IF((EQ$44=(EI$46-MAX(EJ$46:EJ$146))),NA(),EQ$44))</f>
        <v>#N/A:explicit</v>
      </c>
      <c s="588" r="ER141">
        <f>IF((ISNA(((EO141*EN141)*EO140))),0,(IF((EN141&lt;EN140),-1,1)*(IF((EL140=FALSE),IF((EL141=FALSE),IF(ISNA(EO141),0,IF((EO140&lt;EQ$44),IF((EO141&lt;EQ$44),(((EN141-EN140)^2)^0.5),(((((EQ$44-EO140)*(EN141-EN140))/(EO141-EO140))^2)^0.5)),IF((EO141&lt;EQ$44),(((((EQ$44-EO141)*(EN141-EN140))/(EO140-EO141))^2)^0.5),0))),0),0))))</f>
        <v>0</v>
      </c>
      <c s="588" r="ES141">
        <f>IF(ISNA((EO141*EO140)),0,IF((EL140=FALSE),IF((EL141=FALSE),IF(ISNA(EK141),0,IF((EO140&lt;EQ$44),IF((EO141&lt;EQ$44),((EQ$44-((EO140+EO141)*0.5))*ER141),(((EQ$44-EO140)*0.5)*ER141)),IF((EO141&lt;EQ$44),(((EQ$44-EO141)*0.5)*ER141),0))),0),0))</f>
        <v>0</v>
      </c>
      <c s="588" r="ET141">
        <f>IF(ISNA((EO141*EO140)),0,IF((EL140=FALSE),IF((EL141=FALSE),IF(ISNA(EO141),0,IF((EO140&lt;EQ$44),IF((EO141&lt;EQ$44),(((ER141^2)+((EO141-EO140)^2))^0.5),(((ER141^2)+((EQ$44-EO140)^2))^0.5)),IF((EO141&lt;EQ$44),(((ER141^2)+((EQ$44-EO141)^2))^0.5),0))),0),0))</f>
        <v>0</v>
      </c>
      <c s="588" r="EU141">
        <f>IF(ISNUMBER((EO141*EO140)),IF((EO140&gt;=EA$148),IF((EO141&lt;EA$148),1,0),IF((EO141&gt;=EA$148),IF((EO140&lt;EA$148),1,0),0)),0)</f>
        <v>0</v>
      </c>
      <c s="588" r="EV141">
        <f>IF(ISNA((EO141*EO140)),0,(IF((EN141&lt;EN140),-1,1)*(IF(ISNA(EO141),0,IF((EO140&lt;EA$148),IF((EO141&lt;EA$148),(((EN141-EN140)^2)^0.5),(((((EA$148-EO140)*(EN141-EN140))/(EO141-EO140))^2)^0.5)),IF((EO141&lt;EA$148),(((((EA$148-EO141)*(EN141-EN140))/(EO140-EO141))^2)^0.5),0))))))</f>
        <v>0</v>
      </c>
      <c s="441" r="EW141">
        <f>IF((ES141&gt;0),(MAX(EW$47:EW140)+1),0)</f>
        <v>0</v>
      </c>
      <c s="388" r="EX141"/>
      <c s="406" r="EY141"/>
      <c s="886" r="EZ141"/>
      <c s="886" r="FA141"/>
      <c s="886" r="FB141"/>
      <c s="886" r="FC141"/>
      <c s="418" r="FD141"/>
      <c s="550" r="FE141"/>
      <c s="550" r="FF141"/>
      <c t="str" s="620" r="FG141">
        <f>IF((COUNT(FF141:FF$146,FH141:FH$146)=0),NA(),IF(ISBLANK(FF141),FG140,(FG140+(FF141-FH140))))</f>
        <v>#N/A:explicit</v>
      </c>
      <c s="550" r="FH141"/>
      <c t="str" s="620" r="FI141">
        <f>IF(OR(ISBLANK(FH141),ISNUMBER(FF142)),NA(),(FG141-FH141))</f>
        <v>#N/A:explicit</v>
      </c>
      <c t="b" s="895" r="FJ141">
        <v>0</v>
      </c>
      <c s="631" r="FK141"/>
      <c t="str" s="309" r="FL141">
        <f>IF((COUNT(FE141:FE$146)=0),NA(),IF(ISBLANK(FE141),IF(ISBLANK(FE140),MAX(FE$46:FE141),FE140),FE141))</f>
        <v>#N/A:explicit</v>
      </c>
      <c t="str" s="861" r="FM141">
        <f>IF(ISNA(FI141),IF(ISNUMBER(FL141),FM140,NA()),FI141)</f>
        <v>#N/A:explicit</v>
      </c>
      <c s="861" r="FN141">
        <f>IF(ISNUMBER(FM141),FM141,(FG$46+1000))</f>
        <v>1000</v>
      </c>
      <c t="str" s="588" r="FO141">
        <f>IF((FJ141=TRUE),NA(),IF((FO$44=(FG$46-MAX(FH$46:FH$146))),NA(),FO$44))</f>
        <v>#N/A:explicit</v>
      </c>
      <c s="588" r="FP141">
        <f>IF((ISNA(((FM141*FL141)*FM140))),0,(IF((FL141&lt;FL140),-1,1)*(IF((FJ140=FALSE),IF((FJ141=FALSE),IF(ISNA(FM141),0,IF((FM140&lt;FO$44),IF((FM141&lt;FO$44),(((FL141-FL140)^2)^0.5),(((((FO$44-FM140)*(FL141-FL140))/(FM141-FM140))^2)^0.5)),IF((FM141&lt;FO$44),(((((FO$44-FM141)*(FL141-FL140))/(FM140-FM141))^2)^0.5),0))),0),0))))</f>
        <v>0</v>
      </c>
      <c s="588" r="FQ141">
        <f>IF(ISNA((FM141*FM140)),0,IF((FJ140=FALSE),IF((FJ141=FALSE),IF(ISNA(FI141),0,IF((FM140&lt;FO$44),IF((FM141&lt;FO$44),((FO$44-((FM140+FM141)*0.5))*FP141),(((FO$44-FM140)*0.5)*FP141)),IF((FM141&lt;FO$44),(((FO$44-FM141)*0.5)*FP141),0))),0),0))</f>
        <v>0</v>
      </c>
      <c s="588" r="FR141">
        <f>IF(ISNA((FM141*FM140)),0,IF((FJ140=FALSE),IF((FJ141=FALSE),IF(ISNA(FM141),0,IF((FM140&lt;FO$44),IF((FM141&lt;FO$44),(((FP141^2)+((FM141-FM140)^2))^0.5),(((FP141^2)+((FO$44-FM140)^2))^0.5)),IF((FM141&lt;FO$44),(((FP141^2)+((FO$44-FM141)^2))^0.5),0))),0),0))</f>
        <v>0</v>
      </c>
      <c s="588" r="FS141">
        <f>IF(ISNUMBER((FM141*FM140)),IF((FM140&gt;=EY$148),IF((FM141&lt;EY$148),1,0),IF((FM141&gt;=EY$148),IF((FM140&lt;EY$148),1,0),0)),0)</f>
        <v>0</v>
      </c>
      <c s="588" r="FT141">
        <f>IF(ISNA((FM141*FM140)),0,(IF((FL141&lt;FL140),-1,1)*(IF(ISNA(FM141),0,IF((FM140&lt;EY$148),IF((FM141&lt;EY$148),(((FL141-FL140)^2)^0.5),(((((EY$148-FM140)*(FL141-FL140))/(FM141-FM140))^2)^0.5)),IF((FM141&lt;EY$148),(((((EY$148-FM141)*(FL141-FL140))/(FM140-FM141))^2)^0.5),0))))))</f>
        <v>0</v>
      </c>
      <c s="441" r="FU141">
        <f>IF((FQ141&gt;0),(MAX(FU$47:FU140)+1),0)</f>
        <v>0</v>
      </c>
      <c s="222" r="FV141"/>
      <c s="125" r="FW141"/>
      <c s="125" r="FX141"/>
      <c s="125" r="FY141"/>
      <c s="125" r="FZ141"/>
      <c s="125" r="GA141"/>
      <c s="125" r="GB141"/>
      <c s="125" r="GC141"/>
      <c s="125" r="GD141"/>
      <c s="125" r="GE141"/>
      <c s="125" r="GF141"/>
      <c s="125" r="GG141"/>
      <c s="125" r="GH141"/>
      <c s="125" r="GI141"/>
      <c s="125" r="GJ141"/>
      <c s="125" r="GK141"/>
      <c s="125" r="GL141"/>
      <c s="125" r="GM141"/>
      <c s="125" r="GN141"/>
      <c s="125" r="GO141"/>
      <c s="125" r="GP141"/>
      <c s="125" r="GQ141"/>
      <c s="125" r="GR141"/>
      <c s="125" r="GS141"/>
      <c s="125" r="GT141"/>
      <c s="125" r="GU141"/>
      <c s="125" r="GV141"/>
      <c s="125" r="GW141"/>
      <c s="125" r="GX141"/>
      <c s="125" r="GY141"/>
      <c s="125" r="GZ141"/>
      <c s="125" r="HA141"/>
      <c s="125" r="HB141"/>
    </row>
    <row r="142">
      <c s="125" r="A142"/>
      <c s="125" r="B142"/>
      <c s="125" r="C142"/>
      <c s="125" r="D142"/>
      <c s="125" r="E142"/>
      <c s="125" r="F142"/>
      <c s="125" r="G142"/>
      <c s="125" r="H142"/>
      <c s="125" r="I142"/>
      <c s="822" r="J142"/>
      <c s="406" r="K142"/>
      <c s="886" r="L142"/>
      <c s="886" r="M142"/>
      <c s="886" r="N142"/>
      <c s="886" r="O142"/>
      <c s="418" r="P142"/>
      <c s="550" r="Q142"/>
      <c s="550" r="R142"/>
      <c t="str" s="620" r="S142">
        <f>IF((COUNT(R142:R$146,T142:T$146)=0),NA(),IF(ISBLANK(R142),S141,(S141+(R142-T141))))</f>
        <v>#N/A:explicit</v>
      </c>
      <c s="550" r="T142"/>
      <c t="str" s="620" r="U142">
        <f>IF(OR(ISBLANK(T142),ISNUMBER(R143)),NA(),(S142-T142))</f>
        <v>#N/A:explicit</v>
      </c>
      <c t="b" s="895" r="V142">
        <v>0</v>
      </c>
      <c s="631" r="W142"/>
      <c t="str" s="309" r="X142">
        <f>IF((COUNT(Q142:Q$146)=0),NA(),IF(ISBLANK(Q142),IF(ISBLANK(Q141),MAX(Q$46:Q142),Q141),Q142))</f>
        <v>#N/A:explicit</v>
      </c>
      <c t="str" s="861" r="Y142">
        <f>IF(ISNA(U142),IF(ISNUMBER(X142),Y141,NA()),U142)</f>
        <v>#N/A:explicit</v>
      </c>
      <c s="861" r="Z142">
        <f>IF(ISNUMBER(Y142),Y142,(S$46+1000))</f>
        <v>1000</v>
      </c>
      <c t="str" s="588" r="AA142">
        <f>IF((V142=TRUE),NA(),IF((AA$44=(S$46-MAX(T$46:T$146))),NA(),AA$44))</f>
        <v>#N/A:explicit</v>
      </c>
      <c s="588" r="AB142">
        <f>IF((ISNA(((Y142*X142)*Y141))),0,(IF((X142&lt;X141),-1,1)*(IF((V141=FALSE),IF((V142=FALSE),IF(ISNA(Y142),0,IF((Y141&lt;AA$44),IF((Y142&lt;AA$44),(((X142-X141)^2)^0.5),(((((AA$44-Y141)*(X142-X141))/(Y142-Y141))^2)^0.5)),IF((Y142&lt;AA$44),(((((AA$44-Y142)*(X142-X141))/(Y141-Y142))^2)^0.5),0))),0),0))))</f>
        <v>0</v>
      </c>
      <c s="588" r="AC142">
        <f>IF(ISNA((Y142*Y141)),0,IF((V141=FALSE),IF((V142=FALSE),IF(ISNA(U142),0,IF((Y141&lt;AA$44),IF((Y142&lt;AA$44),((AA$44-((Y141+Y142)*0.5))*AB142),(((AA$44-Y141)*0.5)*AB142)),IF((Y142&lt;AA$44),(((AA$44-Y142)*0.5)*AB142),0))),0),0))</f>
        <v>0</v>
      </c>
      <c s="588" r="AD142">
        <f>IF(ISNA((Y142*Y141)),0,IF((V141=FALSE),IF((V142=FALSE),IF(ISNA(Y142),0,IF((Y141&lt;AA$44),IF((Y142&lt;AA$44),(((AB142^2)+((Y142-Y141)^2))^0.5),(((AB142^2)+((AA$44-Y141)^2))^0.5)),IF((Y142&lt;AA$44),(((AB142^2)+((AA$44-Y142)^2))^0.5),0))),0),0))</f>
        <v>0</v>
      </c>
      <c s="588" r="AE142">
        <f>IF(ISNUMBER((Y142*Y141)),IF((Y141&gt;=K$148),IF((Y142&lt;K$148),1,0),IF((Y142&gt;=K$148),IF((Y141&lt;K$148),1,0),0)),0)</f>
        <v>0</v>
      </c>
      <c s="588" r="AF142">
        <f>IF(ISNA((Y142*Y141)),0,(IF((X142&lt;X141),-1,1)*(IF(ISNA(Y142),0,IF((Y141&lt;K$148),IF((Y142&lt;K$148),(((X142-X141)^2)^0.5),(((((K$148-Y141)*(X142-X141))/(Y142-Y141))^2)^0.5)),IF((Y142&lt;K$148),(((((K$148-Y142)*(X142-X141))/(Y141-Y142))^2)^0.5),0))))))</f>
        <v>0</v>
      </c>
      <c s="441" r="AG142">
        <f>IF((AC142&gt;0),(MAX(AG$47:AG141)+1),0)</f>
        <v>0</v>
      </c>
      <c s="388" r="AH142"/>
      <c s="406" r="AI142"/>
      <c s="886" r="AJ142"/>
      <c s="886" r="AK142"/>
      <c s="886" r="AL142"/>
      <c s="886" r="AM142"/>
      <c s="418" r="AN142"/>
      <c s="550" r="AO142"/>
      <c s="550" r="AP142"/>
      <c t="str" s="620" r="AQ142">
        <f>IF((COUNT(AP142:AP$146,AR142:AR$146)=0),NA(),IF(ISBLANK(AP142),AQ141,(AQ141+(AP142-AR141))))</f>
        <v>#N/A:explicit</v>
      </c>
      <c s="550" r="AR142"/>
      <c t="str" s="620" r="AS142">
        <f>IF(OR(ISBLANK(AR142),ISNUMBER(AP143)),NA(),(AQ142-AR142))</f>
        <v>#N/A:explicit</v>
      </c>
      <c t="b" s="895" r="AT142">
        <v>0</v>
      </c>
      <c s="631" r="AU142"/>
      <c t="str" s="309" r="AV142">
        <f>IF((COUNT(AO142:AO$146)=0),NA(),IF(ISBLANK(AO142),IF(ISBLANK(AO141),MAX(AO$46:AO142),AO141),AO142))</f>
        <v>#N/A:explicit</v>
      </c>
      <c t="str" s="861" r="AW142">
        <f>IF(ISNA(AS142),IF(ISNUMBER(AV142),AW141,NA()),AS142)</f>
        <v>#N/A:explicit</v>
      </c>
      <c s="861" r="AX142">
        <f>IF(ISNUMBER(AW142),AW142,(AQ$46+1000))</f>
        <v>1000</v>
      </c>
      <c t="str" s="588" r="AY142">
        <f>IF((AT142=TRUE),NA(),IF((AY$44=(AQ$46-MAX(AR$46:AR$146))),NA(),AY$44))</f>
        <v>#N/A:explicit</v>
      </c>
      <c s="588" r="AZ142">
        <f>IF((ISNA(((AW142*AV142)*AW141))),0,(IF((AV142&lt;AV141),-1,1)*(IF((AT141=FALSE),IF((AT142=FALSE),IF(ISNA(AW142),0,IF((AW141&lt;AY$44),IF((AW142&lt;AY$44),(((AV142-AV141)^2)^0.5),(((((AY$44-AW141)*(AV142-AV141))/(AW142-AW141))^2)^0.5)),IF((AW142&lt;AY$44),(((((AY$44-AW142)*(AV142-AV141))/(AW141-AW142))^2)^0.5),0))),0),0))))</f>
        <v>0</v>
      </c>
      <c s="588" r="BA142">
        <f>IF(ISNA((AW142*AW141)),0,IF((AT141=FALSE),IF((AT142=FALSE),IF(ISNA(AS142),0,IF((AW141&lt;AY$44),IF((AW142&lt;AY$44),((AY$44-((AW141+AW142)*0.5))*AZ142),(((AY$44-AW141)*0.5)*AZ142)),IF((AW142&lt;AY$44),(((AY$44-AW142)*0.5)*AZ142),0))),0),0))</f>
        <v>0</v>
      </c>
      <c s="588" r="BB142">
        <f>IF(ISNA((AW142*AW141)),0,IF((AT141=FALSE),IF((AT142=FALSE),IF(ISNA(AW142),0,IF((AW141&lt;AY$44),IF((AW142&lt;AY$44),(((AZ142^2)+((AW142-AW141)^2))^0.5),(((AZ142^2)+((AY$44-AW141)^2))^0.5)),IF((AW142&lt;AY$44),(((AZ142^2)+((AY$44-AW142)^2))^0.5),0))),0),0))</f>
        <v>0</v>
      </c>
      <c s="588" r="BC142">
        <f>IF(ISNUMBER((AW142*AW141)),IF((AW141&gt;=AI$148),IF((AW142&lt;AI$148),1,0),IF((AW142&gt;=AI$148),IF((AW141&lt;AI$148),1,0),0)),0)</f>
        <v>0</v>
      </c>
      <c s="588" r="BD142">
        <f>IF(ISNA((AW142*AW141)),0,(IF((AV142&lt;AV141),-1,1)*(IF(ISNA(AW142),0,IF((AW141&lt;AI$148),IF((AW142&lt;AI$148),(((AV142-AV141)^2)^0.5),(((((AI$148-AW141)*(AV142-AV141))/(AW142-AW141))^2)^0.5)),IF((AW142&lt;AI$148),(((((AI$148-AW142)*(AV142-AV141))/(AW141-AW142))^2)^0.5),0))))))</f>
        <v>0</v>
      </c>
      <c s="441" r="BE142">
        <f>IF((BA142&gt;0),(MAX(BE$47:BE141)+1),0)</f>
        <v>0</v>
      </c>
      <c s="388" r="BF142"/>
      <c s="406" r="BG142"/>
      <c s="886" r="BH142"/>
      <c s="886" r="BI142"/>
      <c s="886" r="BJ142"/>
      <c s="886" r="BK142"/>
      <c s="418" r="BL142"/>
      <c s="550" r="BM142"/>
      <c s="550" r="BN142"/>
      <c t="str" s="620" r="BO142">
        <f>IF((COUNT(BN142:BN$146,BP142:BP$146)=0),NA(),IF(ISBLANK(BN142),BO141,(BO141+(BN142-BP141))))</f>
        <v>#N/A:explicit</v>
      </c>
      <c s="550" r="BP142"/>
      <c t="str" s="620" r="BQ142">
        <f>IF(OR(ISBLANK(BP142),ISNUMBER(BN143)),NA(),(BO142-BP142))</f>
        <v>#N/A:explicit</v>
      </c>
      <c t="b" s="895" r="BR142">
        <v>0</v>
      </c>
      <c s="631" r="BS142"/>
      <c t="str" s="309" r="BT142">
        <f>IF((COUNT(BM142:BM$146)=0),NA(),IF(ISBLANK(BM142),IF(ISBLANK(BM141),MAX(BM$46:BM142),BM141),BM142))</f>
        <v>#N/A:explicit</v>
      </c>
      <c t="str" s="861" r="BU142">
        <f>IF(ISNA(BQ142),IF(ISNUMBER(BT142),BU141,NA()),BQ142)</f>
        <v>#N/A:explicit</v>
      </c>
      <c s="861" r="BV142">
        <f>IF(ISNUMBER(BU142),BU142,(BO$46+1000))</f>
        <v>1000</v>
      </c>
      <c t="str" s="588" r="BW142">
        <f>IF((BR142=TRUE),NA(),IF((BW$44=(BO$46-MAX(BP$46:BP$146))),NA(),BW$44))</f>
        <v>#N/A:explicit</v>
      </c>
      <c s="588" r="BX142">
        <f>IF((ISNA(((BU142*BT142)*BU141))),0,(IF((BT142&lt;BT141),-1,1)*(IF((BR141=FALSE),IF((BR142=FALSE),IF(ISNA(BU142),0,IF((BU141&lt;BW$44),IF((BU142&lt;BW$44),(((BT142-BT141)^2)^0.5),(((((BW$44-BU141)*(BT142-BT141))/(BU142-BU141))^2)^0.5)),IF((BU142&lt;BW$44),(((((BW$44-BU142)*(BT142-BT141))/(BU141-BU142))^2)^0.5),0))),0),0))))</f>
        <v>0</v>
      </c>
      <c s="588" r="BY142">
        <f>IF(ISNA((BU142*BU141)),0,IF((BR141=FALSE),IF((BR142=FALSE),IF(ISNA(BQ142),0,IF((BU141&lt;BW$44),IF((BU142&lt;BW$44),((BW$44-((BU141+BU142)*0.5))*BX142),(((BW$44-BU141)*0.5)*BX142)),IF((BU142&lt;BW$44),(((BW$44-BU142)*0.5)*BX142),0))),0),0))</f>
        <v>0</v>
      </c>
      <c s="588" r="BZ142">
        <f>IF(ISNA((BU142*BU141)),0,IF((BR141=FALSE),IF((BR142=FALSE),IF(ISNA(BU142),0,IF((BU141&lt;BW$44),IF((BU142&lt;BW$44),(((BX142^2)+((BU142-BU141)^2))^0.5),(((BX142^2)+((BW$44-BU141)^2))^0.5)),IF((BU142&lt;BW$44),(((BX142^2)+((BW$44-BU142)^2))^0.5),0))),0),0))</f>
        <v>0</v>
      </c>
      <c s="588" r="CA142">
        <f>IF(ISNUMBER((BU142*BU141)),IF((BU141&gt;=BG$148),IF((BU142&lt;BG$148),1,0),IF((BU142&gt;=BG$148),IF((BU141&lt;BG$148),1,0),0)),0)</f>
        <v>0</v>
      </c>
      <c s="588" r="CB142">
        <f>IF(ISNA((BU142*BU141)),0,(IF((BT142&lt;BT141),-1,1)*(IF(ISNA(BU142),0,IF((BU141&lt;BG$148),IF((BU142&lt;BG$148),(((BT142-BT141)^2)^0.5),(((((BG$148-BU141)*(BT142-BT141))/(BU142-BU141))^2)^0.5)),IF((BU142&lt;BG$148),(((((BG$148-BU142)*(BT142-BT141))/(BU141-BU142))^2)^0.5),0))))))</f>
        <v>0</v>
      </c>
      <c s="441" r="CC142">
        <f>IF((BY142&gt;0),(MAX(CC$47:CC141)+1),0)</f>
        <v>0</v>
      </c>
      <c s="388" r="CD142"/>
      <c s="406" r="CE142"/>
      <c s="886" r="CF142"/>
      <c s="886" r="CG142"/>
      <c s="886" r="CH142"/>
      <c s="886" r="CI142"/>
      <c s="418" r="CJ142"/>
      <c s="550" r="CK142"/>
      <c s="550" r="CL142"/>
      <c t="str" s="620" r="CM142">
        <f>IF((COUNT(CL142:CL$146,CN142:CN$146)=0),NA(),IF(ISBLANK(CL142),CM141,(CM141+(CL142-CN141))))</f>
        <v>#N/A:explicit</v>
      </c>
      <c s="550" r="CN142"/>
      <c t="str" s="620" r="CO142">
        <f>IF(OR(ISBLANK(CN142),ISNUMBER(CL143)),NA(),(CM142-CN142))</f>
        <v>#N/A:explicit</v>
      </c>
      <c t="b" s="895" r="CP142">
        <v>0</v>
      </c>
      <c s="631" r="CQ142"/>
      <c t="str" s="309" r="CR142">
        <f>IF((COUNT(CK142:CK$146)=0),NA(),IF(ISBLANK(CK142),IF(ISBLANK(CK141),MAX(CK$46:CK142),CK141),CK142))</f>
        <v>#N/A:explicit</v>
      </c>
      <c t="str" s="861" r="CS142">
        <f>IF(ISNA(CO142),IF(ISNUMBER(CR142),CS141,NA()),CO142)</f>
        <v>#N/A:explicit</v>
      </c>
      <c s="861" r="CT142">
        <f>IF(ISNUMBER(CS142),CS142,(CM$46+1000))</f>
        <v>1000</v>
      </c>
      <c t="str" s="588" r="CU142">
        <f>IF((CP142=TRUE),NA(),IF((CU$44=(CM$46-MAX(CN$46:CN$146))),NA(),CU$44))</f>
        <v>#N/A:explicit</v>
      </c>
      <c s="588" r="CV142">
        <f>IF((ISNA(((CS142*CR142)*CS141))),0,(IF((CR142&lt;CR141),-1,1)*(IF((CP141=FALSE),IF((CP142=FALSE),IF(ISNA(CS142),0,IF((CS141&lt;CU$44),IF((CS142&lt;CU$44),(((CR142-CR141)^2)^0.5),(((((CU$44-CS141)*(CR142-CR141))/(CS142-CS141))^2)^0.5)),IF((CS142&lt;CU$44),(((((CU$44-CS142)*(CR142-CR141))/(CS141-CS142))^2)^0.5),0))),0),0))))</f>
        <v>0</v>
      </c>
      <c s="588" r="CW142">
        <f>IF(ISNA((CS142*CS141)),0,IF((CP141=FALSE),IF((CP142=FALSE),IF(ISNA(CO142),0,IF((CS141&lt;CU$44),IF((CS142&lt;CU$44),((CU$44-((CS141+CS142)*0.5))*CV142),(((CU$44-CS141)*0.5)*CV142)),IF((CS142&lt;CU$44),(((CU$44-CS142)*0.5)*CV142),0))),0),0))</f>
        <v>0</v>
      </c>
      <c s="588" r="CX142">
        <f>IF(ISNA((CS142*CS141)),0,IF((CP141=FALSE),IF((CP142=FALSE),IF(ISNA(CS142),0,IF((CS141&lt;CU$44),IF((CS142&lt;CU$44),(((CV142^2)+((CS142-CS141)^2))^0.5),(((CV142^2)+((CU$44-CS141)^2))^0.5)),IF((CS142&lt;CU$44),(((CV142^2)+((CU$44-CS142)^2))^0.5),0))),0),0))</f>
        <v>0</v>
      </c>
      <c s="588" r="CY142">
        <f>IF(ISNUMBER((CS142*CS141)),IF((CS141&gt;=CE$148),IF((CS142&lt;CE$148),1,0),IF((CS142&gt;=CE$148),IF((CS141&lt;CE$148),1,0),0)),0)</f>
        <v>0</v>
      </c>
      <c s="588" r="CZ142">
        <f>IF(ISNA((CS142*CS141)),0,(IF((CR142&lt;CR141),-1,1)*(IF(ISNA(CS142),0,IF((CS141&lt;CE$148),IF((CS142&lt;CE$148),(((CR142-CR141)^2)^0.5),(((((CE$148-CS141)*(CR142-CR141))/(CS142-CS141))^2)^0.5)),IF((CS142&lt;CE$148),(((((CE$148-CS142)*(CR142-CR141))/(CS141-CS142))^2)^0.5),0))))))</f>
        <v>0</v>
      </c>
      <c s="441" r="DA142">
        <f>IF((CW142&gt;0),(MAX(DA$47:DA141)+1),0)</f>
        <v>0</v>
      </c>
      <c s="388" r="DB142"/>
      <c s="406" r="DC142"/>
      <c s="886" r="DD142"/>
      <c s="886" r="DE142"/>
      <c s="886" r="DF142"/>
      <c s="886" r="DG142"/>
      <c s="418" r="DH142"/>
      <c s="550" r="DI142"/>
      <c s="550" r="DJ142"/>
      <c t="str" s="620" r="DK142">
        <f>IF((COUNT(DJ142:DJ$146,DL142:DL$146)=0),NA(),IF(ISBLANK(DJ142),DK141,(DK141+(DJ142-DL141))))</f>
        <v>#N/A:explicit</v>
      </c>
      <c s="550" r="DL142"/>
      <c t="str" s="620" r="DM142">
        <f>IF(OR(ISBLANK(DL142),ISNUMBER(DJ143)),NA(),(DK142-DL142))</f>
        <v>#N/A:explicit</v>
      </c>
      <c t="b" s="895" r="DN142">
        <v>0</v>
      </c>
      <c s="631" r="DO142"/>
      <c t="str" s="309" r="DP142">
        <f>IF((COUNT(DI142:DI$146)=0),NA(),IF(ISBLANK(DI142),IF(ISBLANK(DI141),MAX(DI$46:DI142),DI141),DI142))</f>
        <v>#N/A:explicit</v>
      </c>
      <c t="str" s="861" r="DQ142">
        <f>IF(ISNA(DM142),IF(ISNUMBER(DP142),DQ141,NA()),DM142)</f>
        <v>#N/A:explicit</v>
      </c>
      <c s="861" r="DR142">
        <f>IF(ISNUMBER(DQ142),DQ142,(DK$46+1000))</f>
        <v>1000</v>
      </c>
      <c t="str" s="588" r="DS142">
        <f>IF((DN142=TRUE),NA(),IF((DS$44=(DK$46-MAX(DL$46:DL$146))),NA(),DS$44))</f>
        <v>#N/A:explicit</v>
      </c>
      <c s="588" r="DT142">
        <f>IF((ISNA(((DQ142*DP142)*DQ141))),0,(IF((DP142&lt;DP141),-1,1)*(IF((DN141=FALSE),IF((DN142=FALSE),IF(ISNA(DQ142),0,IF((DQ141&lt;DS$44),IF((DQ142&lt;DS$44),(((DP142-DP141)^2)^0.5),(((((DS$44-DQ141)*(DP142-DP141))/(DQ142-DQ141))^2)^0.5)),IF((DQ142&lt;DS$44),(((((DS$44-DQ142)*(DP142-DP141))/(DQ141-DQ142))^2)^0.5),0))),0),0))))</f>
        <v>0</v>
      </c>
      <c s="588" r="DU142">
        <f>IF(ISNA((DQ142*DQ141)),0,IF((DN141=FALSE),IF((DN142=FALSE),IF(ISNA(DM142),0,IF((DQ141&lt;DS$44),IF((DQ142&lt;DS$44),((DS$44-((DQ141+DQ142)*0.5))*DT142),(((DS$44-DQ141)*0.5)*DT142)),IF((DQ142&lt;DS$44),(((DS$44-DQ142)*0.5)*DT142),0))),0),0))</f>
        <v>0</v>
      </c>
      <c s="588" r="DV142">
        <f>IF(ISNA((DQ142*DQ141)),0,IF((DN141=FALSE),IF((DN142=FALSE),IF(ISNA(DQ142),0,IF((DQ141&lt;DS$44),IF((DQ142&lt;DS$44),(((DT142^2)+((DQ142-DQ141)^2))^0.5),(((DT142^2)+((DS$44-DQ141)^2))^0.5)),IF((DQ142&lt;DS$44),(((DT142^2)+((DS$44-DQ142)^2))^0.5),0))),0),0))</f>
        <v>0</v>
      </c>
      <c s="588" r="DW142">
        <f>IF(ISNUMBER((DQ142*DQ141)),IF((DQ141&gt;=DC$148),IF((DQ142&lt;DC$148),1,0),IF((DQ142&gt;=DC$148),IF((DQ141&lt;DC$148),1,0),0)),0)</f>
        <v>0</v>
      </c>
      <c s="588" r="DX142">
        <f>IF(ISNA((DQ142*DQ141)),0,(IF((DP142&lt;DP141),-1,1)*(IF(ISNA(DQ142),0,IF((DQ141&lt;DC$148),IF((DQ142&lt;DC$148),(((DP142-DP141)^2)^0.5),(((((DC$148-DQ141)*(DP142-DP141))/(DQ142-DQ141))^2)^0.5)),IF((DQ142&lt;DC$148),(((((DC$148-DQ142)*(DP142-DP141))/(DQ141-DQ142))^2)^0.5),0))))))</f>
        <v>0</v>
      </c>
      <c s="441" r="DY142">
        <f>IF((DU142&gt;0),(MAX(DY$47:DY141)+1),0)</f>
        <v>0</v>
      </c>
      <c s="388" r="DZ142"/>
      <c s="406" r="EA142"/>
      <c s="886" r="EB142"/>
      <c s="886" r="EC142"/>
      <c s="886" r="ED142"/>
      <c s="886" r="EE142"/>
      <c s="418" r="EF142"/>
      <c s="550" r="EG142"/>
      <c s="550" r="EH142"/>
      <c t="str" s="620" r="EI142">
        <f>IF((COUNT(EH142:EH$146,EJ142:EJ$146)=0),NA(),IF(ISBLANK(EH142),EI141,(EI141+(EH142-EJ141))))</f>
        <v>#N/A:explicit</v>
      </c>
      <c s="550" r="EJ142"/>
      <c t="str" s="620" r="EK142">
        <f>IF(OR(ISBLANK(EJ142),ISNUMBER(EH143)),NA(),(EI142-EJ142))</f>
        <v>#N/A:explicit</v>
      </c>
      <c t="b" s="895" r="EL142">
        <v>0</v>
      </c>
      <c s="631" r="EM142"/>
      <c t="str" s="309" r="EN142">
        <f>IF((COUNT(EG142:EG$146)=0),NA(),IF(ISBLANK(EG142),IF(ISBLANK(EG141),MAX(EG$46:EG142),EG141),EG142))</f>
        <v>#N/A:explicit</v>
      </c>
      <c t="str" s="861" r="EO142">
        <f>IF(ISNA(EK142),IF(ISNUMBER(EN142),EO141,NA()),EK142)</f>
        <v>#N/A:explicit</v>
      </c>
      <c s="861" r="EP142">
        <f>IF(ISNUMBER(EO142),EO142,(EI$46+1000))</f>
        <v>1000</v>
      </c>
      <c t="str" s="588" r="EQ142">
        <f>IF((EL142=TRUE),NA(),IF((EQ$44=(EI$46-MAX(EJ$46:EJ$146))),NA(),EQ$44))</f>
        <v>#N/A:explicit</v>
      </c>
      <c s="588" r="ER142">
        <f>IF((ISNA(((EO142*EN142)*EO141))),0,(IF((EN142&lt;EN141),-1,1)*(IF((EL141=FALSE),IF((EL142=FALSE),IF(ISNA(EO142),0,IF((EO141&lt;EQ$44),IF((EO142&lt;EQ$44),(((EN142-EN141)^2)^0.5),(((((EQ$44-EO141)*(EN142-EN141))/(EO142-EO141))^2)^0.5)),IF((EO142&lt;EQ$44),(((((EQ$44-EO142)*(EN142-EN141))/(EO141-EO142))^2)^0.5),0))),0),0))))</f>
        <v>0</v>
      </c>
      <c s="588" r="ES142">
        <f>IF(ISNA((EO142*EO141)),0,IF((EL141=FALSE),IF((EL142=FALSE),IF(ISNA(EK142),0,IF((EO141&lt;EQ$44),IF((EO142&lt;EQ$44),((EQ$44-((EO141+EO142)*0.5))*ER142),(((EQ$44-EO141)*0.5)*ER142)),IF((EO142&lt;EQ$44),(((EQ$44-EO142)*0.5)*ER142),0))),0),0))</f>
        <v>0</v>
      </c>
      <c s="588" r="ET142">
        <f>IF(ISNA((EO142*EO141)),0,IF((EL141=FALSE),IF((EL142=FALSE),IF(ISNA(EO142),0,IF((EO141&lt;EQ$44),IF((EO142&lt;EQ$44),(((ER142^2)+((EO142-EO141)^2))^0.5),(((ER142^2)+((EQ$44-EO141)^2))^0.5)),IF((EO142&lt;EQ$44),(((ER142^2)+((EQ$44-EO142)^2))^0.5),0))),0),0))</f>
        <v>0</v>
      </c>
      <c s="588" r="EU142">
        <f>IF(ISNUMBER((EO142*EO141)),IF((EO141&gt;=EA$148),IF((EO142&lt;EA$148),1,0),IF((EO142&gt;=EA$148),IF((EO141&lt;EA$148),1,0),0)),0)</f>
        <v>0</v>
      </c>
      <c s="588" r="EV142">
        <f>IF(ISNA((EO142*EO141)),0,(IF((EN142&lt;EN141),-1,1)*(IF(ISNA(EO142),0,IF((EO141&lt;EA$148),IF((EO142&lt;EA$148),(((EN142-EN141)^2)^0.5),(((((EA$148-EO141)*(EN142-EN141))/(EO142-EO141))^2)^0.5)),IF((EO142&lt;EA$148),(((((EA$148-EO142)*(EN142-EN141))/(EO141-EO142))^2)^0.5),0))))))</f>
        <v>0</v>
      </c>
      <c s="441" r="EW142">
        <f>IF((ES142&gt;0),(MAX(EW$47:EW141)+1),0)</f>
        <v>0</v>
      </c>
      <c s="388" r="EX142"/>
      <c s="406" r="EY142"/>
      <c s="886" r="EZ142"/>
      <c s="886" r="FA142"/>
      <c s="886" r="FB142"/>
      <c s="886" r="FC142"/>
      <c s="418" r="FD142"/>
      <c s="550" r="FE142"/>
      <c s="550" r="FF142"/>
      <c t="str" s="620" r="FG142">
        <f>IF((COUNT(FF142:FF$146,FH142:FH$146)=0),NA(),IF(ISBLANK(FF142),FG141,(FG141+(FF142-FH141))))</f>
        <v>#N/A:explicit</v>
      </c>
      <c s="550" r="FH142"/>
      <c t="str" s="620" r="FI142">
        <f>IF(OR(ISBLANK(FH142),ISNUMBER(FF143)),NA(),(FG142-FH142))</f>
        <v>#N/A:explicit</v>
      </c>
      <c t="b" s="895" r="FJ142">
        <v>0</v>
      </c>
      <c s="631" r="FK142"/>
      <c t="str" s="309" r="FL142">
        <f>IF((COUNT(FE142:FE$146)=0),NA(),IF(ISBLANK(FE142),IF(ISBLANK(FE141),MAX(FE$46:FE142),FE141),FE142))</f>
        <v>#N/A:explicit</v>
      </c>
      <c t="str" s="861" r="FM142">
        <f>IF(ISNA(FI142),IF(ISNUMBER(FL142),FM141,NA()),FI142)</f>
        <v>#N/A:explicit</v>
      </c>
      <c s="861" r="FN142">
        <f>IF(ISNUMBER(FM142),FM142,(FG$46+1000))</f>
        <v>1000</v>
      </c>
      <c t="str" s="588" r="FO142">
        <f>IF((FJ142=TRUE),NA(),IF((FO$44=(FG$46-MAX(FH$46:FH$146))),NA(),FO$44))</f>
        <v>#N/A:explicit</v>
      </c>
      <c s="588" r="FP142">
        <f>IF((ISNA(((FM142*FL142)*FM141))),0,(IF((FL142&lt;FL141),-1,1)*(IF((FJ141=FALSE),IF((FJ142=FALSE),IF(ISNA(FM142),0,IF((FM141&lt;FO$44),IF((FM142&lt;FO$44),(((FL142-FL141)^2)^0.5),(((((FO$44-FM141)*(FL142-FL141))/(FM142-FM141))^2)^0.5)),IF((FM142&lt;FO$44),(((((FO$44-FM142)*(FL142-FL141))/(FM141-FM142))^2)^0.5),0))),0),0))))</f>
        <v>0</v>
      </c>
      <c s="588" r="FQ142">
        <f>IF(ISNA((FM142*FM141)),0,IF((FJ141=FALSE),IF((FJ142=FALSE),IF(ISNA(FI142),0,IF((FM141&lt;FO$44),IF((FM142&lt;FO$44),((FO$44-((FM141+FM142)*0.5))*FP142),(((FO$44-FM141)*0.5)*FP142)),IF((FM142&lt;FO$44),(((FO$44-FM142)*0.5)*FP142),0))),0),0))</f>
        <v>0</v>
      </c>
      <c s="588" r="FR142">
        <f>IF(ISNA((FM142*FM141)),0,IF((FJ141=FALSE),IF((FJ142=FALSE),IF(ISNA(FM142),0,IF((FM141&lt;FO$44),IF((FM142&lt;FO$44),(((FP142^2)+((FM142-FM141)^2))^0.5),(((FP142^2)+((FO$44-FM141)^2))^0.5)),IF((FM142&lt;FO$44),(((FP142^2)+((FO$44-FM142)^2))^0.5),0))),0),0))</f>
        <v>0</v>
      </c>
      <c s="588" r="FS142">
        <f>IF(ISNUMBER((FM142*FM141)),IF((FM141&gt;=EY$148),IF((FM142&lt;EY$148),1,0),IF((FM142&gt;=EY$148),IF((FM141&lt;EY$148),1,0),0)),0)</f>
        <v>0</v>
      </c>
      <c s="588" r="FT142">
        <f>IF(ISNA((FM142*FM141)),0,(IF((FL142&lt;FL141),-1,1)*(IF(ISNA(FM142),0,IF((FM141&lt;EY$148),IF((FM142&lt;EY$148),(((FL142-FL141)^2)^0.5),(((((EY$148-FM141)*(FL142-FL141))/(FM142-FM141))^2)^0.5)),IF((FM142&lt;EY$148),(((((EY$148-FM142)*(FL142-FL141))/(FM141-FM142))^2)^0.5),0))))))</f>
        <v>0</v>
      </c>
      <c s="441" r="FU142">
        <f>IF((FQ142&gt;0),(MAX(FU$47:FU141)+1),0)</f>
        <v>0</v>
      </c>
      <c s="222" r="FV142"/>
      <c s="125" r="FW142"/>
      <c s="125" r="FX142"/>
      <c s="125" r="FY142"/>
      <c s="125" r="FZ142"/>
      <c s="125" r="GA142"/>
      <c s="125" r="GB142"/>
      <c s="125" r="GC142"/>
      <c s="125" r="GD142"/>
      <c s="125" r="GE142"/>
      <c s="125" r="GF142"/>
      <c s="125" r="GG142"/>
      <c s="125" r="GH142"/>
      <c s="125" r="GI142"/>
      <c s="125" r="GJ142"/>
      <c s="125" r="GK142"/>
      <c s="125" r="GL142"/>
      <c s="125" r="GM142"/>
      <c s="125" r="GN142"/>
      <c s="125" r="GO142"/>
      <c s="125" r="GP142"/>
      <c s="125" r="GQ142"/>
      <c s="125" r="GR142"/>
      <c s="125" r="GS142"/>
      <c s="125" r="GT142"/>
      <c s="125" r="GU142"/>
      <c s="125" r="GV142"/>
      <c s="125" r="GW142"/>
      <c s="125" r="GX142"/>
      <c s="125" r="GY142"/>
      <c s="125" r="GZ142"/>
      <c s="125" r="HA142"/>
      <c s="125" r="HB142"/>
    </row>
    <row r="143">
      <c s="125" r="A143"/>
      <c s="125" r="B143"/>
      <c s="125" r="C143"/>
      <c s="125" r="D143"/>
      <c s="125" r="E143"/>
      <c s="125" r="F143"/>
      <c s="125" r="G143"/>
      <c s="125" r="H143"/>
      <c s="125" r="I143"/>
      <c s="822" r="J143"/>
      <c s="406" r="K143"/>
      <c s="886" r="L143"/>
      <c s="886" r="M143"/>
      <c s="886" r="N143"/>
      <c s="886" r="O143"/>
      <c s="418" r="P143"/>
      <c s="550" r="Q143"/>
      <c s="550" r="R143"/>
      <c t="str" s="620" r="S143">
        <f>IF((COUNT(R143:R$146,T143:T$146)=0),NA(),IF(ISBLANK(R143),S142,(S142+(R143-T142))))</f>
        <v>#N/A:explicit</v>
      </c>
      <c s="550" r="T143"/>
      <c t="str" s="620" r="U143">
        <f>IF(OR(ISBLANK(T143),ISNUMBER(R144)),NA(),(S143-T143))</f>
        <v>#N/A:explicit</v>
      </c>
      <c t="b" s="895" r="V143">
        <v>0</v>
      </c>
      <c s="631" r="W143"/>
      <c t="str" s="309" r="X143">
        <f>IF((COUNT(Q143:Q$146)=0),NA(),IF(ISBLANK(Q143),IF(ISBLANK(Q142),MAX(Q$46:Q143),Q142),Q143))</f>
        <v>#N/A:explicit</v>
      </c>
      <c t="str" s="861" r="Y143">
        <f>IF(ISNA(U143),IF(ISNUMBER(X143),Y142,NA()),U143)</f>
        <v>#N/A:explicit</v>
      </c>
      <c s="861" r="Z143">
        <f>IF(ISNUMBER(Y143),Y143,(S$46+1000))</f>
        <v>1000</v>
      </c>
      <c t="str" s="588" r="AA143">
        <f>IF((V143=TRUE),NA(),IF((AA$44=(S$46-MAX(T$46:T$146))),NA(),AA$44))</f>
        <v>#N/A:explicit</v>
      </c>
      <c s="588" r="AB143">
        <f>IF((ISNA(((Y143*X143)*Y142))),0,(IF((X143&lt;X142),-1,1)*(IF((V142=FALSE),IF((V143=FALSE),IF(ISNA(Y143),0,IF((Y142&lt;AA$44),IF((Y143&lt;AA$44),(((X143-X142)^2)^0.5),(((((AA$44-Y142)*(X143-X142))/(Y143-Y142))^2)^0.5)),IF((Y143&lt;AA$44),(((((AA$44-Y143)*(X143-X142))/(Y142-Y143))^2)^0.5),0))),0),0))))</f>
        <v>0</v>
      </c>
      <c s="588" r="AC143">
        <f>IF(ISNA((Y143*Y142)),0,IF((V142=FALSE),IF((V143=FALSE),IF(ISNA(U143),0,IF((Y142&lt;AA$44),IF((Y143&lt;AA$44),((AA$44-((Y142+Y143)*0.5))*AB143),(((AA$44-Y142)*0.5)*AB143)),IF((Y143&lt;AA$44),(((AA$44-Y143)*0.5)*AB143),0))),0),0))</f>
        <v>0</v>
      </c>
      <c s="588" r="AD143">
        <f>IF(ISNA((Y143*Y142)),0,IF((V142=FALSE),IF((V143=FALSE),IF(ISNA(Y143),0,IF((Y142&lt;AA$44),IF((Y143&lt;AA$44),(((AB143^2)+((Y143-Y142)^2))^0.5),(((AB143^2)+((AA$44-Y142)^2))^0.5)),IF((Y143&lt;AA$44),(((AB143^2)+((AA$44-Y143)^2))^0.5),0))),0),0))</f>
        <v>0</v>
      </c>
      <c s="588" r="AE143">
        <f>IF(ISNUMBER((Y143*Y142)),IF((Y142&gt;=K$148),IF((Y143&lt;K$148),1,0),IF((Y143&gt;=K$148),IF((Y142&lt;K$148),1,0),0)),0)</f>
        <v>0</v>
      </c>
      <c s="588" r="AF143">
        <f>IF(ISNA((Y143*Y142)),0,(IF((X143&lt;X142),-1,1)*(IF(ISNA(Y143),0,IF((Y142&lt;K$148),IF((Y143&lt;K$148),(((X143-X142)^2)^0.5),(((((K$148-Y142)*(X143-X142))/(Y143-Y142))^2)^0.5)),IF((Y143&lt;K$148),(((((K$148-Y143)*(X143-X142))/(Y142-Y143))^2)^0.5),0))))))</f>
        <v>0</v>
      </c>
      <c s="441" r="AG143">
        <f>IF((AC143&gt;0),(MAX(AG$47:AG142)+1),0)</f>
        <v>0</v>
      </c>
      <c s="388" r="AH143"/>
      <c s="406" r="AI143"/>
      <c s="886" r="AJ143"/>
      <c s="886" r="AK143"/>
      <c s="886" r="AL143"/>
      <c s="886" r="AM143"/>
      <c s="418" r="AN143"/>
      <c s="550" r="AO143"/>
      <c s="550" r="AP143"/>
      <c t="str" s="620" r="AQ143">
        <f>IF((COUNT(AP143:AP$146,AR143:AR$146)=0),NA(),IF(ISBLANK(AP143),AQ142,(AQ142+(AP143-AR142))))</f>
        <v>#N/A:explicit</v>
      </c>
      <c s="550" r="AR143"/>
      <c t="str" s="620" r="AS143">
        <f>IF(OR(ISBLANK(AR143),ISNUMBER(AP144)),NA(),(AQ143-AR143))</f>
        <v>#N/A:explicit</v>
      </c>
      <c t="b" s="895" r="AT143">
        <v>0</v>
      </c>
      <c s="631" r="AU143"/>
      <c t="str" s="309" r="AV143">
        <f>IF((COUNT(AO143:AO$146)=0),NA(),IF(ISBLANK(AO143),IF(ISBLANK(AO142),MAX(AO$46:AO143),AO142),AO143))</f>
        <v>#N/A:explicit</v>
      </c>
      <c t="str" s="861" r="AW143">
        <f>IF(ISNA(AS143),IF(ISNUMBER(AV143),AW142,NA()),AS143)</f>
        <v>#N/A:explicit</v>
      </c>
      <c s="861" r="AX143">
        <f>IF(ISNUMBER(AW143),AW143,(AQ$46+1000))</f>
        <v>1000</v>
      </c>
      <c t="str" s="588" r="AY143">
        <f>IF((AT143=TRUE),NA(),IF((AY$44=(AQ$46-MAX(AR$46:AR$146))),NA(),AY$44))</f>
        <v>#N/A:explicit</v>
      </c>
      <c s="588" r="AZ143">
        <f>IF((ISNA(((AW143*AV143)*AW142))),0,(IF((AV143&lt;AV142),-1,1)*(IF((AT142=FALSE),IF((AT143=FALSE),IF(ISNA(AW143),0,IF((AW142&lt;AY$44),IF((AW143&lt;AY$44),(((AV143-AV142)^2)^0.5),(((((AY$44-AW142)*(AV143-AV142))/(AW143-AW142))^2)^0.5)),IF((AW143&lt;AY$44),(((((AY$44-AW143)*(AV143-AV142))/(AW142-AW143))^2)^0.5),0))),0),0))))</f>
        <v>0</v>
      </c>
      <c s="588" r="BA143">
        <f>IF(ISNA((AW143*AW142)),0,IF((AT142=FALSE),IF((AT143=FALSE),IF(ISNA(AS143),0,IF((AW142&lt;AY$44),IF((AW143&lt;AY$44),((AY$44-((AW142+AW143)*0.5))*AZ143),(((AY$44-AW142)*0.5)*AZ143)),IF((AW143&lt;AY$44),(((AY$44-AW143)*0.5)*AZ143),0))),0),0))</f>
        <v>0</v>
      </c>
      <c s="588" r="BB143">
        <f>IF(ISNA((AW143*AW142)),0,IF((AT142=FALSE),IF((AT143=FALSE),IF(ISNA(AW143),0,IF((AW142&lt;AY$44),IF((AW143&lt;AY$44),(((AZ143^2)+((AW143-AW142)^2))^0.5),(((AZ143^2)+((AY$44-AW142)^2))^0.5)),IF((AW143&lt;AY$44),(((AZ143^2)+((AY$44-AW143)^2))^0.5),0))),0),0))</f>
        <v>0</v>
      </c>
      <c s="588" r="BC143">
        <f>IF(ISNUMBER((AW143*AW142)),IF((AW142&gt;=AI$148),IF((AW143&lt;AI$148),1,0),IF((AW143&gt;=AI$148),IF((AW142&lt;AI$148),1,0),0)),0)</f>
        <v>0</v>
      </c>
      <c s="588" r="BD143">
        <f>IF(ISNA((AW143*AW142)),0,(IF((AV143&lt;AV142),-1,1)*(IF(ISNA(AW143),0,IF((AW142&lt;AI$148),IF((AW143&lt;AI$148),(((AV143-AV142)^2)^0.5),(((((AI$148-AW142)*(AV143-AV142))/(AW143-AW142))^2)^0.5)),IF((AW143&lt;AI$148),(((((AI$148-AW143)*(AV143-AV142))/(AW142-AW143))^2)^0.5),0))))))</f>
        <v>0</v>
      </c>
      <c s="441" r="BE143">
        <f>IF((BA143&gt;0),(MAX(BE$47:BE142)+1),0)</f>
        <v>0</v>
      </c>
      <c s="388" r="BF143"/>
      <c s="406" r="BG143"/>
      <c s="886" r="BH143"/>
      <c s="886" r="BI143"/>
      <c s="886" r="BJ143"/>
      <c s="886" r="BK143"/>
      <c s="418" r="BL143"/>
      <c s="550" r="BM143"/>
      <c s="550" r="BN143"/>
      <c t="str" s="620" r="BO143">
        <f>IF((COUNT(BN143:BN$146,BP143:BP$146)=0),NA(),IF(ISBLANK(BN143),BO142,(BO142+(BN143-BP142))))</f>
        <v>#N/A:explicit</v>
      </c>
      <c s="550" r="BP143"/>
      <c t="str" s="620" r="BQ143">
        <f>IF(OR(ISBLANK(BP143),ISNUMBER(BN144)),NA(),(BO143-BP143))</f>
        <v>#N/A:explicit</v>
      </c>
      <c t="b" s="895" r="BR143">
        <v>0</v>
      </c>
      <c s="631" r="BS143"/>
      <c t="str" s="309" r="BT143">
        <f>IF((COUNT(BM143:BM$146)=0),NA(),IF(ISBLANK(BM143),IF(ISBLANK(BM142),MAX(BM$46:BM143),BM142),BM143))</f>
        <v>#N/A:explicit</v>
      </c>
      <c t="str" s="861" r="BU143">
        <f>IF(ISNA(BQ143),IF(ISNUMBER(BT143),BU142,NA()),BQ143)</f>
        <v>#N/A:explicit</v>
      </c>
      <c s="861" r="BV143">
        <f>IF(ISNUMBER(BU143),BU143,(BO$46+1000))</f>
        <v>1000</v>
      </c>
      <c t="str" s="588" r="BW143">
        <f>IF((BR143=TRUE),NA(),IF((BW$44=(BO$46-MAX(BP$46:BP$146))),NA(),BW$44))</f>
        <v>#N/A:explicit</v>
      </c>
      <c s="588" r="BX143">
        <f>IF((ISNA(((BU143*BT143)*BU142))),0,(IF((BT143&lt;BT142),-1,1)*(IF((BR142=FALSE),IF((BR143=FALSE),IF(ISNA(BU143),0,IF((BU142&lt;BW$44),IF((BU143&lt;BW$44),(((BT143-BT142)^2)^0.5),(((((BW$44-BU142)*(BT143-BT142))/(BU143-BU142))^2)^0.5)),IF((BU143&lt;BW$44),(((((BW$44-BU143)*(BT143-BT142))/(BU142-BU143))^2)^0.5),0))),0),0))))</f>
        <v>0</v>
      </c>
      <c s="588" r="BY143">
        <f>IF(ISNA((BU143*BU142)),0,IF((BR142=FALSE),IF((BR143=FALSE),IF(ISNA(BQ143),0,IF((BU142&lt;BW$44),IF((BU143&lt;BW$44),((BW$44-((BU142+BU143)*0.5))*BX143),(((BW$44-BU142)*0.5)*BX143)),IF((BU143&lt;BW$44),(((BW$44-BU143)*0.5)*BX143),0))),0),0))</f>
        <v>0</v>
      </c>
      <c s="588" r="BZ143">
        <f>IF(ISNA((BU143*BU142)),0,IF((BR142=FALSE),IF((BR143=FALSE),IF(ISNA(BU143),0,IF((BU142&lt;BW$44),IF((BU143&lt;BW$44),(((BX143^2)+((BU143-BU142)^2))^0.5),(((BX143^2)+((BW$44-BU142)^2))^0.5)),IF((BU143&lt;BW$44),(((BX143^2)+((BW$44-BU143)^2))^0.5),0))),0),0))</f>
        <v>0</v>
      </c>
      <c s="588" r="CA143">
        <f>IF(ISNUMBER((BU143*BU142)),IF((BU142&gt;=BG$148),IF((BU143&lt;BG$148),1,0),IF((BU143&gt;=BG$148),IF((BU142&lt;BG$148),1,0),0)),0)</f>
        <v>0</v>
      </c>
      <c s="588" r="CB143">
        <f>IF(ISNA((BU143*BU142)),0,(IF((BT143&lt;BT142),-1,1)*(IF(ISNA(BU143),0,IF((BU142&lt;BG$148),IF((BU143&lt;BG$148),(((BT143-BT142)^2)^0.5),(((((BG$148-BU142)*(BT143-BT142))/(BU143-BU142))^2)^0.5)),IF((BU143&lt;BG$148),(((((BG$148-BU143)*(BT143-BT142))/(BU142-BU143))^2)^0.5),0))))))</f>
        <v>0</v>
      </c>
      <c s="441" r="CC143">
        <f>IF((BY143&gt;0),(MAX(CC$47:CC142)+1),0)</f>
        <v>0</v>
      </c>
      <c s="388" r="CD143"/>
      <c s="406" r="CE143"/>
      <c s="886" r="CF143"/>
      <c s="886" r="CG143"/>
      <c s="886" r="CH143"/>
      <c s="886" r="CI143"/>
      <c s="418" r="CJ143"/>
      <c s="550" r="CK143"/>
      <c s="550" r="CL143"/>
      <c t="str" s="620" r="CM143">
        <f>IF((COUNT(CL143:CL$146,CN143:CN$146)=0),NA(),IF(ISBLANK(CL143),CM142,(CM142+(CL143-CN142))))</f>
        <v>#N/A:explicit</v>
      </c>
      <c s="550" r="CN143"/>
      <c t="str" s="620" r="CO143">
        <f>IF(OR(ISBLANK(CN143),ISNUMBER(CL144)),NA(),(CM143-CN143))</f>
        <v>#N/A:explicit</v>
      </c>
      <c t="b" s="895" r="CP143">
        <v>0</v>
      </c>
      <c s="631" r="CQ143"/>
      <c t="str" s="309" r="CR143">
        <f>IF((COUNT(CK143:CK$146)=0),NA(),IF(ISBLANK(CK143),IF(ISBLANK(CK142),MAX(CK$46:CK143),CK142),CK143))</f>
        <v>#N/A:explicit</v>
      </c>
      <c t="str" s="861" r="CS143">
        <f>IF(ISNA(CO143),IF(ISNUMBER(CR143),CS142,NA()),CO143)</f>
        <v>#N/A:explicit</v>
      </c>
      <c s="861" r="CT143">
        <f>IF(ISNUMBER(CS143),CS143,(CM$46+1000))</f>
        <v>1000</v>
      </c>
      <c t="str" s="588" r="CU143">
        <f>IF((CP143=TRUE),NA(),IF((CU$44=(CM$46-MAX(CN$46:CN$146))),NA(),CU$44))</f>
        <v>#N/A:explicit</v>
      </c>
      <c s="588" r="CV143">
        <f>IF((ISNA(((CS143*CR143)*CS142))),0,(IF((CR143&lt;CR142),-1,1)*(IF((CP142=FALSE),IF((CP143=FALSE),IF(ISNA(CS143),0,IF((CS142&lt;CU$44),IF((CS143&lt;CU$44),(((CR143-CR142)^2)^0.5),(((((CU$44-CS142)*(CR143-CR142))/(CS143-CS142))^2)^0.5)),IF((CS143&lt;CU$44),(((((CU$44-CS143)*(CR143-CR142))/(CS142-CS143))^2)^0.5),0))),0),0))))</f>
        <v>0</v>
      </c>
      <c s="588" r="CW143">
        <f>IF(ISNA((CS143*CS142)),0,IF((CP142=FALSE),IF((CP143=FALSE),IF(ISNA(CO143),0,IF((CS142&lt;CU$44),IF((CS143&lt;CU$44),((CU$44-((CS142+CS143)*0.5))*CV143),(((CU$44-CS142)*0.5)*CV143)),IF((CS143&lt;CU$44),(((CU$44-CS143)*0.5)*CV143),0))),0),0))</f>
        <v>0</v>
      </c>
      <c s="588" r="CX143">
        <f>IF(ISNA((CS143*CS142)),0,IF((CP142=FALSE),IF((CP143=FALSE),IF(ISNA(CS143),0,IF((CS142&lt;CU$44),IF((CS143&lt;CU$44),(((CV143^2)+((CS143-CS142)^2))^0.5),(((CV143^2)+((CU$44-CS142)^2))^0.5)),IF((CS143&lt;CU$44),(((CV143^2)+((CU$44-CS143)^2))^0.5),0))),0),0))</f>
        <v>0</v>
      </c>
      <c s="588" r="CY143">
        <f>IF(ISNUMBER((CS143*CS142)),IF((CS142&gt;=CE$148),IF((CS143&lt;CE$148),1,0),IF((CS143&gt;=CE$148),IF((CS142&lt;CE$148),1,0),0)),0)</f>
        <v>0</v>
      </c>
      <c s="588" r="CZ143">
        <f>IF(ISNA((CS143*CS142)),0,(IF((CR143&lt;CR142),-1,1)*(IF(ISNA(CS143),0,IF((CS142&lt;CE$148),IF((CS143&lt;CE$148),(((CR143-CR142)^2)^0.5),(((((CE$148-CS142)*(CR143-CR142))/(CS143-CS142))^2)^0.5)),IF((CS143&lt;CE$148),(((((CE$148-CS143)*(CR143-CR142))/(CS142-CS143))^2)^0.5),0))))))</f>
        <v>0</v>
      </c>
      <c s="441" r="DA143">
        <f>IF((CW143&gt;0),(MAX(DA$47:DA142)+1),0)</f>
        <v>0</v>
      </c>
      <c s="388" r="DB143"/>
      <c s="406" r="DC143"/>
      <c s="886" r="DD143"/>
      <c s="886" r="DE143"/>
      <c s="886" r="DF143"/>
      <c s="886" r="DG143"/>
      <c s="418" r="DH143"/>
      <c s="550" r="DI143"/>
      <c s="550" r="DJ143"/>
      <c t="str" s="620" r="DK143">
        <f>IF((COUNT(DJ143:DJ$146,DL143:DL$146)=0),NA(),IF(ISBLANK(DJ143),DK142,(DK142+(DJ143-DL142))))</f>
        <v>#N/A:explicit</v>
      </c>
      <c s="550" r="DL143"/>
      <c t="str" s="620" r="DM143">
        <f>IF(OR(ISBLANK(DL143),ISNUMBER(DJ144)),NA(),(DK143-DL143))</f>
        <v>#N/A:explicit</v>
      </c>
      <c t="b" s="895" r="DN143">
        <v>0</v>
      </c>
      <c s="631" r="DO143"/>
      <c t="str" s="309" r="DP143">
        <f>IF((COUNT(DI143:DI$146)=0),NA(),IF(ISBLANK(DI143),IF(ISBLANK(DI142),MAX(DI$46:DI143),DI142),DI143))</f>
        <v>#N/A:explicit</v>
      </c>
      <c t="str" s="861" r="DQ143">
        <f>IF(ISNA(DM143),IF(ISNUMBER(DP143),DQ142,NA()),DM143)</f>
        <v>#N/A:explicit</v>
      </c>
      <c s="861" r="DR143">
        <f>IF(ISNUMBER(DQ143),DQ143,(DK$46+1000))</f>
        <v>1000</v>
      </c>
      <c t="str" s="588" r="DS143">
        <f>IF((DN143=TRUE),NA(),IF((DS$44=(DK$46-MAX(DL$46:DL$146))),NA(),DS$44))</f>
        <v>#N/A:explicit</v>
      </c>
      <c s="588" r="DT143">
        <f>IF((ISNA(((DQ143*DP143)*DQ142))),0,(IF((DP143&lt;DP142),-1,1)*(IF((DN142=FALSE),IF((DN143=FALSE),IF(ISNA(DQ143),0,IF((DQ142&lt;DS$44),IF((DQ143&lt;DS$44),(((DP143-DP142)^2)^0.5),(((((DS$44-DQ142)*(DP143-DP142))/(DQ143-DQ142))^2)^0.5)),IF((DQ143&lt;DS$44),(((((DS$44-DQ143)*(DP143-DP142))/(DQ142-DQ143))^2)^0.5),0))),0),0))))</f>
        <v>0</v>
      </c>
      <c s="588" r="DU143">
        <f>IF(ISNA((DQ143*DQ142)),0,IF((DN142=FALSE),IF((DN143=FALSE),IF(ISNA(DM143),0,IF((DQ142&lt;DS$44),IF((DQ143&lt;DS$44),((DS$44-((DQ142+DQ143)*0.5))*DT143),(((DS$44-DQ142)*0.5)*DT143)),IF((DQ143&lt;DS$44),(((DS$44-DQ143)*0.5)*DT143),0))),0),0))</f>
        <v>0</v>
      </c>
      <c s="588" r="DV143">
        <f>IF(ISNA((DQ143*DQ142)),0,IF((DN142=FALSE),IF((DN143=FALSE),IF(ISNA(DQ143),0,IF((DQ142&lt;DS$44),IF((DQ143&lt;DS$44),(((DT143^2)+((DQ143-DQ142)^2))^0.5),(((DT143^2)+((DS$44-DQ142)^2))^0.5)),IF((DQ143&lt;DS$44),(((DT143^2)+((DS$44-DQ143)^2))^0.5),0))),0),0))</f>
        <v>0</v>
      </c>
      <c s="588" r="DW143">
        <f>IF(ISNUMBER((DQ143*DQ142)),IF((DQ142&gt;=DC$148),IF((DQ143&lt;DC$148),1,0),IF((DQ143&gt;=DC$148),IF((DQ142&lt;DC$148),1,0),0)),0)</f>
        <v>0</v>
      </c>
      <c s="588" r="DX143">
        <f>IF(ISNA((DQ143*DQ142)),0,(IF((DP143&lt;DP142),-1,1)*(IF(ISNA(DQ143),0,IF((DQ142&lt;DC$148),IF((DQ143&lt;DC$148),(((DP143-DP142)^2)^0.5),(((((DC$148-DQ142)*(DP143-DP142))/(DQ143-DQ142))^2)^0.5)),IF((DQ143&lt;DC$148),(((((DC$148-DQ143)*(DP143-DP142))/(DQ142-DQ143))^2)^0.5),0))))))</f>
        <v>0</v>
      </c>
      <c s="441" r="DY143">
        <f>IF((DU143&gt;0),(MAX(DY$47:DY142)+1),0)</f>
        <v>0</v>
      </c>
      <c s="388" r="DZ143"/>
      <c s="406" r="EA143"/>
      <c s="886" r="EB143"/>
      <c s="886" r="EC143"/>
      <c s="886" r="ED143"/>
      <c s="886" r="EE143"/>
      <c s="418" r="EF143"/>
      <c s="550" r="EG143"/>
      <c s="550" r="EH143"/>
      <c t="str" s="620" r="EI143">
        <f>IF((COUNT(EH143:EH$146,EJ143:EJ$146)=0),NA(),IF(ISBLANK(EH143),EI142,(EI142+(EH143-EJ142))))</f>
        <v>#N/A:explicit</v>
      </c>
      <c s="550" r="EJ143"/>
      <c t="str" s="620" r="EK143">
        <f>IF(OR(ISBLANK(EJ143),ISNUMBER(EH144)),NA(),(EI143-EJ143))</f>
        <v>#N/A:explicit</v>
      </c>
      <c t="b" s="895" r="EL143">
        <v>0</v>
      </c>
      <c s="631" r="EM143"/>
      <c t="str" s="309" r="EN143">
        <f>IF((COUNT(EG143:EG$146)=0),NA(),IF(ISBLANK(EG143),IF(ISBLANK(EG142),MAX(EG$46:EG143),EG142),EG143))</f>
        <v>#N/A:explicit</v>
      </c>
      <c t="str" s="861" r="EO143">
        <f>IF(ISNA(EK143),IF(ISNUMBER(EN143),EO142,NA()),EK143)</f>
        <v>#N/A:explicit</v>
      </c>
      <c s="861" r="EP143">
        <f>IF(ISNUMBER(EO143),EO143,(EI$46+1000))</f>
        <v>1000</v>
      </c>
      <c t="str" s="588" r="EQ143">
        <f>IF((EL143=TRUE),NA(),IF((EQ$44=(EI$46-MAX(EJ$46:EJ$146))),NA(),EQ$44))</f>
        <v>#N/A:explicit</v>
      </c>
      <c s="588" r="ER143">
        <f>IF((ISNA(((EO143*EN143)*EO142))),0,(IF((EN143&lt;EN142),-1,1)*(IF((EL142=FALSE),IF((EL143=FALSE),IF(ISNA(EO143),0,IF((EO142&lt;EQ$44),IF((EO143&lt;EQ$44),(((EN143-EN142)^2)^0.5),(((((EQ$44-EO142)*(EN143-EN142))/(EO143-EO142))^2)^0.5)),IF((EO143&lt;EQ$44),(((((EQ$44-EO143)*(EN143-EN142))/(EO142-EO143))^2)^0.5),0))),0),0))))</f>
        <v>0</v>
      </c>
      <c s="588" r="ES143">
        <f>IF(ISNA((EO143*EO142)),0,IF((EL142=FALSE),IF((EL143=FALSE),IF(ISNA(EK143),0,IF((EO142&lt;EQ$44),IF((EO143&lt;EQ$44),((EQ$44-((EO142+EO143)*0.5))*ER143),(((EQ$44-EO142)*0.5)*ER143)),IF((EO143&lt;EQ$44),(((EQ$44-EO143)*0.5)*ER143),0))),0),0))</f>
        <v>0</v>
      </c>
      <c s="588" r="ET143">
        <f>IF(ISNA((EO143*EO142)),0,IF((EL142=FALSE),IF((EL143=FALSE),IF(ISNA(EO143),0,IF((EO142&lt;EQ$44),IF((EO143&lt;EQ$44),(((ER143^2)+((EO143-EO142)^2))^0.5),(((ER143^2)+((EQ$44-EO142)^2))^0.5)),IF((EO143&lt;EQ$44),(((ER143^2)+((EQ$44-EO143)^2))^0.5),0))),0),0))</f>
        <v>0</v>
      </c>
      <c s="588" r="EU143">
        <f>IF(ISNUMBER((EO143*EO142)),IF((EO142&gt;=EA$148),IF((EO143&lt;EA$148),1,0),IF((EO143&gt;=EA$148),IF((EO142&lt;EA$148),1,0),0)),0)</f>
        <v>0</v>
      </c>
      <c s="588" r="EV143">
        <f>IF(ISNA((EO143*EO142)),0,(IF((EN143&lt;EN142),-1,1)*(IF(ISNA(EO143),0,IF((EO142&lt;EA$148),IF((EO143&lt;EA$148),(((EN143-EN142)^2)^0.5),(((((EA$148-EO142)*(EN143-EN142))/(EO143-EO142))^2)^0.5)),IF((EO143&lt;EA$148),(((((EA$148-EO143)*(EN143-EN142))/(EO142-EO143))^2)^0.5),0))))))</f>
        <v>0</v>
      </c>
      <c s="441" r="EW143">
        <f>IF((ES143&gt;0),(MAX(EW$47:EW142)+1),0)</f>
        <v>0</v>
      </c>
      <c s="388" r="EX143"/>
      <c s="406" r="EY143"/>
      <c s="886" r="EZ143"/>
      <c s="886" r="FA143"/>
      <c s="886" r="FB143"/>
      <c s="886" r="FC143"/>
      <c s="418" r="FD143"/>
      <c s="550" r="FE143"/>
      <c s="550" r="FF143"/>
      <c t="str" s="620" r="FG143">
        <f>IF((COUNT(FF143:FF$146,FH143:FH$146)=0),NA(),IF(ISBLANK(FF143),FG142,(FG142+(FF143-FH142))))</f>
        <v>#N/A:explicit</v>
      </c>
      <c s="550" r="FH143"/>
      <c t="str" s="620" r="FI143">
        <f>IF(OR(ISBLANK(FH143),ISNUMBER(FF144)),NA(),(FG143-FH143))</f>
        <v>#N/A:explicit</v>
      </c>
      <c t="b" s="895" r="FJ143">
        <v>0</v>
      </c>
      <c s="631" r="FK143"/>
      <c t="str" s="309" r="FL143">
        <f>IF((COUNT(FE143:FE$146)=0),NA(),IF(ISBLANK(FE143),IF(ISBLANK(FE142),MAX(FE$46:FE143),FE142),FE143))</f>
        <v>#N/A:explicit</v>
      </c>
      <c t="str" s="861" r="FM143">
        <f>IF(ISNA(FI143),IF(ISNUMBER(FL143),FM142,NA()),FI143)</f>
        <v>#N/A:explicit</v>
      </c>
      <c s="861" r="FN143">
        <f>IF(ISNUMBER(FM143),FM143,(FG$46+1000))</f>
        <v>1000</v>
      </c>
      <c t="str" s="588" r="FO143">
        <f>IF((FJ143=TRUE),NA(),IF((FO$44=(FG$46-MAX(FH$46:FH$146))),NA(),FO$44))</f>
        <v>#N/A:explicit</v>
      </c>
      <c s="588" r="FP143">
        <f>IF((ISNA(((FM143*FL143)*FM142))),0,(IF((FL143&lt;FL142),-1,1)*(IF((FJ142=FALSE),IF((FJ143=FALSE),IF(ISNA(FM143),0,IF((FM142&lt;FO$44),IF((FM143&lt;FO$44),(((FL143-FL142)^2)^0.5),(((((FO$44-FM142)*(FL143-FL142))/(FM143-FM142))^2)^0.5)),IF((FM143&lt;FO$44),(((((FO$44-FM143)*(FL143-FL142))/(FM142-FM143))^2)^0.5),0))),0),0))))</f>
        <v>0</v>
      </c>
      <c s="588" r="FQ143">
        <f>IF(ISNA((FM143*FM142)),0,IF((FJ142=FALSE),IF((FJ143=FALSE),IF(ISNA(FI143),0,IF((FM142&lt;FO$44),IF((FM143&lt;FO$44),((FO$44-((FM142+FM143)*0.5))*FP143),(((FO$44-FM142)*0.5)*FP143)),IF((FM143&lt;FO$44),(((FO$44-FM143)*0.5)*FP143),0))),0),0))</f>
        <v>0</v>
      </c>
      <c s="588" r="FR143">
        <f>IF(ISNA((FM143*FM142)),0,IF((FJ142=FALSE),IF((FJ143=FALSE),IF(ISNA(FM143),0,IF((FM142&lt;FO$44),IF((FM143&lt;FO$44),(((FP143^2)+((FM143-FM142)^2))^0.5),(((FP143^2)+((FO$44-FM142)^2))^0.5)),IF((FM143&lt;FO$44),(((FP143^2)+((FO$44-FM143)^2))^0.5),0))),0),0))</f>
        <v>0</v>
      </c>
      <c s="588" r="FS143">
        <f>IF(ISNUMBER((FM143*FM142)),IF((FM142&gt;=EY$148),IF((FM143&lt;EY$148),1,0),IF((FM143&gt;=EY$148),IF((FM142&lt;EY$148),1,0),0)),0)</f>
        <v>0</v>
      </c>
      <c s="588" r="FT143">
        <f>IF(ISNA((FM143*FM142)),0,(IF((FL143&lt;FL142),-1,1)*(IF(ISNA(FM143),0,IF((FM142&lt;EY$148),IF((FM143&lt;EY$148),(((FL143-FL142)^2)^0.5),(((((EY$148-FM142)*(FL143-FL142))/(FM143-FM142))^2)^0.5)),IF((FM143&lt;EY$148),(((((EY$148-FM143)*(FL143-FL142))/(FM142-FM143))^2)^0.5),0))))))</f>
        <v>0</v>
      </c>
      <c s="441" r="FU143">
        <f>IF((FQ143&gt;0),(MAX(FU$47:FU142)+1),0)</f>
        <v>0</v>
      </c>
      <c s="222" r="FV143"/>
      <c s="125" r="FW143"/>
      <c s="125" r="FX143"/>
      <c s="125" r="FY143"/>
      <c s="125" r="FZ143"/>
      <c s="125" r="GA143"/>
      <c s="125" r="GB143"/>
      <c s="125" r="GC143"/>
      <c s="125" r="GD143"/>
      <c s="125" r="GE143"/>
      <c s="125" r="GF143"/>
      <c s="125" r="GG143"/>
      <c s="125" r="GH143"/>
      <c s="125" r="GI143"/>
      <c s="125" r="GJ143"/>
      <c s="125" r="GK143"/>
      <c s="125" r="GL143"/>
      <c s="125" r="GM143"/>
      <c s="125" r="GN143"/>
      <c s="125" r="GO143"/>
      <c s="125" r="GP143"/>
      <c s="125" r="GQ143"/>
      <c s="125" r="GR143"/>
      <c s="125" r="GS143"/>
      <c s="125" r="GT143"/>
      <c s="125" r="GU143"/>
      <c s="125" r="GV143"/>
      <c s="125" r="GW143"/>
      <c s="125" r="GX143"/>
      <c s="125" r="GY143"/>
      <c s="125" r="GZ143"/>
      <c s="125" r="HA143"/>
      <c s="125" r="HB143"/>
    </row>
    <row r="144">
      <c s="125" r="A144"/>
      <c s="125" r="B144"/>
      <c s="125" r="C144"/>
      <c s="125" r="D144"/>
      <c s="125" r="E144"/>
      <c s="125" r="F144"/>
      <c s="125" r="G144"/>
      <c s="125" r="H144"/>
      <c s="125" r="I144"/>
      <c s="822" r="J144"/>
      <c s="406" r="K144"/>
      <c s="886" r="L144"/>
      <c s="886" r="M144"/>
      <c s="886" r="N144"/>
      <c s="886" r="O144"/>
      <c s="418" r="P144"/>
      <c s="550" r="Q144"/>
      <c s="550" r="R144"/>
      <c t="str" s="620" r="S144">
        <f>IF((COUNT(R144:R$146,T144:T$146)=0),NA(),IF(ISBLANK(R144),S143,(S143+(R144-T143))))</f>
        <v>#N/A:explicit</v>
      </c>
      <c s="550" r="T144"/>
      <c t="str" s="620" r="U144">
        <f>IF(OR(ISBLANK(T144),ISNUMBER(R145)),NA(),(S144-T144))</f>
        <v>#N/A:explicit</v>
      </c>
      <c t="b" s="895" r="V144">
        <v>0</v>
      </c>
      <c s="631" r="W144"/>
      <c t="str" s="309" r="X144">
        <f>IF((COUNT(Q144:Q$146)=0),NA(),IF(ISBLANK(Q144),IF(ISBLANK(Q143),MAX(Q$46:Q144),Q143),Q144))</f>
        <v>#N/A:explicit</v>
      </c>
      <c t="str" s="861" r="Y144">
        <f>IF(ISNA(U144),IF(ISNUMBER(X144),Y143,NA()),U144)</f>
        <v>#N/A:explicit</v>
      </c>
      <c s="861" r="Z144">
        <f>IF(ISNUMBER(Y144),Y144,(S$46+1000))</f>
        <v>1000</v>
      </c>
      <c t="str" s="588" r="AA144">
        <f>IF((V144=TRUE),NA(),IF((AA$44=(S$46-MAX(T$46:T$146))),NA(),AA$44))</f>
        <v>#N/A:explicit</v>
      </c>
      <c s="588" r="AB144">
        <f>IF((ISNA(((Y144*X144)*Y143))),0,(IF((X144&lt;X143),-1,1)*(IF((V143=FALSE),IF((V144=FALSE),IF(ISNA(Y144),0,IF((Y143&lt;AA$44),IF((Y144&lt;AA$44),(((X144-X143)^2)^0.5),(((((AA$44-Y143)*(X144-X143))/(Y144-Y143))^2)^0.5)),IF((Y144&lt;AA$44),(((((AA$44-Y144)*(X144-X143))/(Y143-Y144))^2)^0.5),0))),0),0))))</f>
        <v>0</v>
      </c>
      <c s="588" r="AC144">
        <f>IF(ISNA((Y144*Y143)),0,IF((V143=FALSE),IF((V144=FALSE),IF(ISNA(U144),0,IF((Y143&lt;AA$44),IF((Y144&lt;AA$44),((AA$44-((Y143+Y144)*0.5))*AB144),(((AA$44-Y143)*0.5)*AB144)),IF((Y144&lt;AA$44),(((AA$44-Y144)*0.5)*AB144),0))),0),0))</f>
        <v>0</v>
      </c>
      <c s="588" r="AD144">
        <f>IF(ISNA((Y144*Y143)),0,IF((V143=FALSE),IF((V144=FALSE),IF(ISNA(Y144),0,IF((Y143&lt;AA$44),IF((Y144&lt;AA$44),(((AB144^2)+((Y144-Y143)^2))^0.5),(((AB144^2)+((AA$44-Y143)^2))^0.5)),IF((Y144&lt;AA$44),(((AB144^2)+((AA$44-Y144)^2))^0.5),0))),0),0))</f>
        <v>0</v>
      </c>
      <c s="588" r="AE144">
        <f>IF(ISNUMBER((Y144*Y143)),IF((Y143&gt;=K$148),IF((Y144&lt;K$148),1,0),IF((Y144&gt;=K$148),IF((Y143&lt;K$148),1,0),0)),0)</f>
        <v>0</v>
      </c>
      <c s="588" r="AF144">
        <f>IF(ISNA((Y144*Y143)),0,(IF((X144&lt;X143),-1,1)*(IF(ISNA(Y144),0,IF((Y143&lt;K$148),IF((Y144&lt;K$148),(((X144-X143)^2)^0.5),(((((K$148-Y143)*(X144-X143))/(Y144-Y143))^2)^0.5)),IF((Y144&lt;K$148),(((((K$148-Y144)*(X144-X143))/(Y143-Y144))^2)^0.5),0))))))</f>
        <v>0</v>
      </c>
      <c s="441" r="AG144">
        <f>IF((AC144&gt;0),(MAX(AG$47:AG143)+1),0)</f>
        <v>0</v>
      </c>
      <c s="388" r="AH144"/>
      <c s="406" r="AI144"/>
      <c s="886" r="AJ144"/>
      <c s="886" r="AK144"/>
      <c s="886" r="AL144"/>
      <c s="886" r="AM144"/>
      <c s="418" r="AN144"/>
      <c s="550" r="AO144"/>
      <c s="550" r="AP144"/>
      <c t="str" s="620" r="AQ144">
        <f>IF((COUNT(AP144:AP$146,AR144:AR$146)=0),NA(),IF(ISBLANK(AP144),AQ143,(AQ143+(AP144-AR143))))</f>
        <v>#N/A:explicit</v>
      </c>
      <c s="550" r="AR144"/>
      <c t="str" s="620" r="AS144">
        <f>IF(OR(ISBLANK(AR144),ISNUMBER(AP145)),NA(),(AQ144-AR144))</f>
        <v>#N/A:explicit</v>
      </c>
      <c t="b" s="895" r="AT144">
        <v>0</v>
      </c>
      <c s="631" r="AU144"/>
      <c t="str" s="309" r="AV144">
        <f>IF((COUNT(AO144:AO$146)=0),NA(),IF(ISBLANK(AO144),IF(ISBLANK(AO143),MAX(AO$46:AO144),AO143),AO144))</f>
        <v>#N/A:explicit</v>
      </c>
      <c t="str" s="861" r="AW144">
        <f>IF(ISNA(AS144),IF(ISNUMBER(AV144),AW143,NA()),AS144)</f>
        <v>#N/A:explicit</v>
      </c>
      <c s="861" r="AX144">
        <f>IF(ISNUMBER(AW144),AW144,(AQ$46+1000))</f>
        <v>1000</v>
      </c>
      <c t="str" s="588" r="AY144">
        <f>IF((AT144=TRUE),NA(),IF((AY$44=(AQ$46-MAX(AR$46:AR$146))),NA(),AY$44))</f>
        <v>#N/A:explicit</v>
      </c>
      <c s="588" r="AZ144">
        <f>IF((ISNA(((AW144*AV144)*AW143))),0,(IF((AV144&lt;AV143),-1,1)*(IF((AT143=FALSE),IF((AT144=FALSE),IF(ISNA(AW144),0,IF((AW143&lt;AY$44),IF((AW144&lt;AY$44),(((AV144-AV143)^2)^0.5),(((((AY$44-AW143)*(AV144-AV143))/(AW144-AW143))^2)^0.5)),IF((AW144&lt;AY$44),(((((AY$44-AW144)*(AV144-AV143))/(AW143-AW144))^2)^0.5),0))),0),0))))</f>
        <v>0</v>
      </c>
      <c s="588" r="BA144">
        <f>IF(ISNA((AW144*AW143)),0,IF((AT143=FALSE),IF((AT144=FALSE),IF(ISNA(AS144),0,IF((AW143&lt;AY$44),IF((AW144&lt;AY$44),((AY$44-((AW143+AW144)*0.5))*AZ144),(((AY$44-AW143)*0.5)*AZ144)),IF((AW144&lt;AY$44),(((AY$44-AW144)*0.5)*AZ144),0))),0),0))</f>
        <v>0</v>
      </c>
      <c s="588" r="BB144">
        <f>IF(ISNA((AW144*AW143)),0,IF((AT143=FALSE),IF((AT144=FALSE),IF(ISNA(AW144),0,IF((AW143&lt;AY$44),IF((AW144&lt;AY$44),(((AZ144^2)+((AW144-AW143)^2))^0.5),(((AZ144^2)+((AY$44-AW143)^2))^0.5)),IF((AW144&lt;AY$44),(((AZ144^2)+((AY$44-AW144)^2))^0.5),0))),0),0))</f>
        <v>0</v>
      </c>
      <c s="588" r="BC144">
        <f>IF(ISNUMBER((AW144*AW143)),IF((AW143&gt;=AI$148),IF((AW144&lt;AI$148),1,0),IF((AW144&gt;=AI$148),IF((AW143&lt;AI$148),1,0),0)),0)</f>
        <v>0</v>
      </c>
      <c s="588" r="BD144">
        <f>IF(ISNA((AW144*AW143)),0,(IF((AV144&lt;AV143),-1,1)*(IF(ISNA(AW144),0,IF((AW143&lt;AI$148),IF((AW144&lt;AI$148),(((AV144-AV143)^2)^0.5),(((((AI$148-AW143)*(AV144-AV143))/(AW144-AW143))^2)^0.5)),IF((AW144&lt;AI$148),(((((AI$148-AW144)*(AV144-AV143))/(AW143-AW144))^2)^0.5),0))))))</f>
        <v>0</v>
      </c>
      <c s="441" r="BE144">
        <f>IF((BA144&gt;0),(MAX(BE$47:BE143)+1),0)</f>
        <v>0</v>
      </c>
      <c s="388" r="BF144"/>
      <c s="406" r="BG144"/>
      <c s="886" r="BH144"/>
      <c s="886" r="BI144"/>
      <c s="886" r="BJ144"/>
      <c s="886" r="BK144"/>
      <c s="418" r="BL144"/>
      <c s="550" r="BM144"/>
      <c s="550" r="BN144"/>
      <c t="str" s="620" r="BO144">
        <f>IF((COUNT(BN144:BN$146,BP144:BP$146)=0),NA(),IF(ISBLANK(BN144),BO143,(BO143+(BN144-BP143))))</f>
        <v>#N/A:explicit</v>
      </c>
      <c s="550" r="BP144"/>
      <c t="str" s="620" r="BQ144">
        <f>IF(OR(ISBLANK(BP144),ISNUMBER(BN145)),NA(),(BO144-BP144))</f>
        <v>#N/A:explicit</v>
      </c>
      <c t="b" s="895" r="BR144">
        <v>0</v>
      </c>
      <c s="631" r="BS144"/>
      <c t="str" s="309" r="BT144">
        <f>IF((COUNT(BM144:BM$146)=0),NA(),IF(ISBLANK(BM144),IF(ISBLANK(BM143),MAX(BM$46:BM144),BM143),BM144))</f>
        <v>#N/A:explicit</v>
      </c>
      <c t="str" s="861" r="BU144">
        <f>IF(ISNA(BQ144),IF(ISNUMBER(BT144),BU143,NA()),BQ144)</f>
        <v>#N/A:explicit</v>
      </c>
      <c s="861" r="BV144">
        <f>IF(ISNUMBER(BU144),BU144,(BO$46+1000))</f>
        <v>1000</v>
      </c>
      <c t="str" s="588" r="BW144">
        <f>IF((BR144=TRUE),NA(),IF((BW$44=(BO$46-MAX(BP$46:BP$146))),NA(),BW$44))</f>
        <v>#N/A:explicit</v>
      </c>
      <c s="588" r="BX144">
        <f>IF((ISNA(((BU144*BT144)*BU143))),0,(IF((BT144&lt;BT143),-1,1)*(IF((BR143=FALSE),IF((BR144=FALSE),IF(ISNA(BU144),0,IF((BU143&lt;BW$44),IF((BU144&lt;BW$44),(((BT144-BT143)^2)^0.5),(((((BW$44-BU143)*(BT144-BT143))/(BU144-BU143))^2)^0.5)),IF((BU144&lt;BW$44),(((((BW$44-BU144)*(BT144-BT143))/(BU143-BU144))^2)^0.5),0))),0),0))))</f>
        <v>0</v>
      </c>
      <c s="588" r="BY144">
        <f>IF(ISNA((BU144*BU143)),0,IF((BR143=FALSE),IF((BR144=FALSE),IF(ISNA(BQ144),0,IF((BU143&lt;BW$44),IF((BU144&lt;BW$44),((BW$44-((BU143+BU144)*0.5))*BX144),(((BW$44-BU143)*0.5)*BX144)),IF((BU144&lt;BW$44),(((BW$44-BU144)*0.5)*BX144),0))),0),0))</f>
        <v>0</v>
      </c>
      <c s="588" r="BZ144">
        <f>IF(ISNA((BU144*BU143)),0,IF((BR143=FALSE),IF((BR144=FALSE),IF(ISNA(BU144),0,IF((BU143&lt;BW$44),IF((BU144&lt;BW$44),(((BX144^2)+((BU144-BU143)^2))^0.5),(((BX144^2)+((BW$44-BU143)^2))^0.5)),IF((BU144&lt;BW$44),(((BX144^2)+((BW$44-BU144)^2))^0.5),0))),0),0))</f>
        <v>0</v>
      </c>
      <c s="588" r="CA144">
        <f>IF(ISNUMBER((BU144*BU143)),IF((BU143&gt;=BG$148),IF((BU144&lt;BG$148),1,0),IF((BU144&gt;=BG$148),IF((BU143&lt;BG$148),1,0),0)),0)</f>
        <v>0</v>
      </c>
      <c s="588" r="CB144">
        <f>IF(ISNA((BU144*BU143)),0,(IF((BT144&lt;BT143),-1,1)*(IF(ISNA(BU144),0,IF((BU143&lt;BG$148),IF((BU144&lt;BG$148),(((BT144-BT143)^2)^0.5),(((((BG$148-BU143)*(BT144-BT143))/(BU144-BU143))^2)^0.5)),IF((BU144&lt;BG$148),(((((BG$148-BU144)*(BT144-BT143))/(BU143-BU144))^2)^0.5),0))))))</f>
        <v>0</v>
      </c>
      <c s="441" r="CC144">
        <f>IF((BY144&gt;0),(MAX(CC$47:CC143)+1),0)</f>
        <v>0</v>
      </c>
      <c s="388" r="CD144"/>
      <c s="406" r="CE144"/>
      <c s="886" r="CF144"/>
      <c s="886" r="CG144"/>
      <c s="886" r="CH144"/>
      <c s="886" r="CI144"/>
      <c s="418" r="CJ144"/>
      <c s="550" r="CK144"/>
      <c s="550" r="CL144"/>
      <c t="str" s="620" r="CM144">
        <f>IF((COUNT(CL144:CL$146,CN144:CN$146)=0),NA(),IF(ISBLANK(CL144),CM143,(CM143+(CL144-CN143))))</f>
        <v>#N/A:explicit</v>
      </c>
      <c s="550" r="CN144"/>
      <c t="str" s="620" r="CO144">
        <f>IF(OR(ISBLANK(CN144),ISNUMBER(CL145)),NA(),(CM144-CN144))</f>
        <v>#N/A:explicit</v>
      </c>
      <c t="b" s="895" r="CP144">
        <v>0</v>
      </c>
      <c s="631" r="CQ144"/>
      <c t="str" s="309" r="CR144">
        <f>IF((COUNT(CK144:CK$146)=0),NA(),IF(ISBLANK(CK144),IF(ISBLANK(CK143),MAX(CK$46:CK144),CK143),CK144))</f>
        <v>#N/A:explicit</v>
      </c>
      <c t="str" s="861" r="CS144">
        <f>IF(ISNA(CO144),IF(ISNUMBER(CR144),CS143,NA()),CO144)</f>
        <v>#N/A:explicit</v>
      </c>
      <c s="861" r="CT144">
        <f>IF(ISNUMBER(CS144),CS144,(CM$46+1000))</f>
        <v>1000</v>
      </c>
      <c t="str" s="588" r="CU144">
        <f>IF((CP144=TRUE),NA(),IF((CU$44=(CM$46-MAX(CN$46:CN$146))),NA(),CU$44))</f>
        <v>#N/A:explicit</v>
      </c>
      <c s="588" r="CV144">
        <f>IF((ISNA(((CS144*CR144)*CS143))),0,(IF((CR144&lt;CR143),-1,1)*(IF((CP143=FALSE),IF((CP144=FALSE),IF(ISNA(CS144),0,IF((CS143&lt;CU$44),IF((CS144&lt;CU$44),(((CR144-CR143)^2)^0.5),(((((CU$44-CS143)*(CR144-CR143))/(CS144-CS143))^2)^0.5)),IF((CS144&lt;CU$44),(((((CU$44-CS144)*(CR144-CR143))/(CS143-CS144))^2)^0.5),0))),0),0))))</f>
        <v>0</v>
      </c>
      <c s="588" r="CW144">
        <f>IF(ISNA((CS144*CS143)),0,IF((CP143=FALSE),IF((CP144=FALSE),IF(ISNA(CO144),0,IF((CS143&lt;CU$44),IF((CS144&lt;CU$44),((CU$44-((CS143+CS144)*0.5))*CV144),(((CU$44-CS143)*0.5)*CV144)),IF((CS144&lt;CU$44),(((CU$44-CS144)*0.5)*CV144),0))),0),0))</f>
        <v>0</v>
      </c>
      <c s="588" r="CX144">
        <f>IF(ISNA((CS144*CS143)),0,IF((CP143=FALSE),IF((CP144=FALSE),IF(ISNA(CS144),0,IF((CS143&lt;CU$44),IF((CS144&lt;CU$44),(((CV144^2)+((CS144-CS143)^2))^0.5),(((CV144^2)+((CU$44-CS143)^2))^0.5)),IF((CS144&lt;CU$44),(((CV144^2)+((CU$44-CS144)^2))^0.5),0))),0),0))</f>
        <v>0</v>
      </c>
      <c s="588" r="CY144">
        <f>IF(ISNUMBER((CS144*CS143)),IF((CS143&gt;=CE$148),IF((CS144&lt;CE$148),1,0),IF((CS144&gt;=CE$148),IF((CS143&lt;CE$148),1,0),0)),0)</f>
        <v>0</v>
      </c>
      <c s="588" r="CZ144">
        <f>IF(ISNA((CS144*CS143)),0,(IF((CR144&lt;CR143),-1,1)*(IF(ISNA(CS144),0,IF((CS143&lt;CE$148),IF((CS144&lt;CE$148),(((CR144-CR143)^2)^0.5),(((((CE$148-CS143)*(CR144-CR143))/(CS144-CS143))^2)^0.5)),IF((CS144&lt;CE$148),(((((CE$148-CS144)*(CR144-CR143))/(CS143-CS144))^2)^0.5),0))))))</f>
        <v>0</v>
      </c>
      <c s="441" r="DA144">
        <f>IF((CW144&gt;0),(MAX(DA$47:DA143)+1),0)</f>
        <v>0</v>
      </c>
      <c s="388" r="DB144"/>
      <c s="406" r="DC144"/>
      <c s="886" r="DD144"/>
      <c s="886" r="DE144"/>
      <c s="886" r="DF144"/>
      <c s="886" r="DG144"/>
      <c s="418" r="DH144"/>
      <c s="550" r="DI144"/>
      <c s="550" r="DJ144"/>
      <c t="str" s="620" r="DK144">
        <f>IF((COUNT(DJ144:DJ$146,DL144:DL$146)=0),NA(),IF(ISBLANK(DJ144),DK143,(DK143+(DJ144-DL143))))</f>
        <v>#N/A:explicit</v>
      </c>
      <c s="550" r="DL144"/>
      <c t="str" s="620" r="DM144">
        <f>IF(OR(ISBLANK(DL144),ISNUMBER(DJ145)),NA(),(DK144-DL144))</f>
        <v>#N/A:explicit</v>
      </c>
      <c t="b" s="895" r="DN144">
        <v>0</v>
      </c>
      <c s="631" r="DO144"/>
      <c t="str" s="309" r="DP144">
        <f>IF((COUNT(DI144:DI$146)=0),NA(),IF(ISBLANK(DI144),IF(ISBLANK(DI143),MAX(DI$46:DI144),DI143),DI144))</f>
        <v>#N/A:explicit</v>
      </c>
      <c t="str" s="861" r="DQ144">
        <f>IF(ISNA(DM144),IF(ISNUMBER(DP144),DQ143,NA()),DM144)</f>
        <v>#N/A:explicit</v>
      </c>
      <c s="861" r="DR144">
        <f>IF(ISNUMBER(DQ144),DQ144,(DK$46+1000))</f>
        <v>1000</v>
      </c>
      <c t="str" s="588" r="DS144">
        <f>IF((DN144=TRUE),NA(),IF((DS$44=(DK$46-MAX(DL$46:DL$146))),NA(),DS$44))</f>
        <v>#N/A:explicit</v>
      </c>
      <c s="588" r="DT144">
        <f>IF((ISNA(((DQ144*DP144)*DQ143))),0,(IF((DP144&lt;DP143),-1,1)*(IF((DN143=FALSE),IF((DN144=FALSE),IF(ISNA(DQ144),0,IF((DQ143&lt;DS$44),IF((DQ144&lt;DS$44),(((DP144-DP143)^2)^0.5),(((((DS$44-DQ143)*(DP144-DP143))/(DQ144-DQ143))^2)^0.5)),IF((DQ144&lt;DS$44),(((((DS$44-DQ144)*(DP144-DP143))/(DQ143-DQ144))^2)^0.5),0))),0),0))))</f>
        <v>0</v>
      </c>
      <c s="588" r="DU144">
        <f>IF(ISNA((DQ144*DQ143)),0,IF((DN143=FALSE),IF((DN144=FALSE),IF(ISNA(DM144),0,IF((DQ143&lt;DS$44),IF((DQ144&lt;DS$44),((DS$44-((DQ143+DQ144)*0.5))*DT144),(((DS$44-DQ143)*0.5)*DT144)),IF((DQ144&lt;DS$44),(((DS$44-DQ144)*0.5)*DT144),0))),0),0))</f>
        <v>0</v>
      </c>
      <c s="588" r="DV144">
        <f>IF(ISNA((DQ144*DQ143)),0,IF((DN143=FALSE),IF((DN144=FALSE),IF(ISNA(DQ144),0,IF((DQ143&lt;DS$44),IF((DQ144&lt;DS$44),(((DT144^2)+((DQ144-DQ143)^2))^0.5),(((DT144^2)+((DS$44-DQ143)^2))^0.5)),IF((DQ144&lt;DS$44),(((DT144^2)+((DS$44-DQ144)^2))^0.5),0))),0),0))</f>
        <v>0</v>
      </c>
      <c s="588" r="DW144">
        <f>IF(ISNUMBER((DQ144*DQ143)),IF((DQ143&gt;=DC$148),IF((DQ144&lt;DC$148),1,0),IF((DQ144&gt;=DC$148),IF((DQ143&lt;DC$148),1,0),0)),0)</f>
        <v>0</v>
      </c>
      <c s="588" r="DX144">
        <f>IF(ISNA((DQ144*DQ143)),0,(IF((DP144&lt;DP143),-1,1)*(IF(ISNA(DQ144),0,IF((DQ143&lt;DC$148),IF((DQ144&lt;DC$148),(((DP144-DP143)^2)^0.5),(((((DC$148-DQ143)*(DP144-DP143))/(DQ144-DQ143))^2)^0.5)),IF((DQ144&lt;DC$148),(((((DC$148-DQ144)*(DP144-DP143))/(DQ143-DQ144))^2)^0.5),0))))))</f>
        <v>0</v>
      </c>
      <c s="441" r="DY144">
        <f>IF((DU144&gt;0),(MAX(DY$47:DY143)+1),0)</f>
        <v>0</v>
      </c>
      <c s="388" r="DZ144"/>
      <c s="406" r="EA144"/>
      <c s="886" r="EB144"/>
      <c s="886" r="EC144"/>
      <c s="886" r="ED144"/>
      <c s="886" r="EE144"/>
      <c s="418" r="EF144"/>
      <c s="550" r="EG144"/>
      <c s="550" r="EH144"/>
      <c t="str" s="620" r="EI144">
        <f>IF((COUNT(EH144:EH$146,EJ144:EJ$146)=0),NA(),IF(ISBLANK(EH144),EI143,(EI143+(EH144-EJ143))))</f>
        <v>#N/A:explicit</v>
      </c>
      <c s="550" r="EJ144"/>
      <c t="str" s="620" r="EK144">
        <f>IF(OR(ISBLANK(EJ144),ISNUMBER(EH145)),NA(),(EI144-EJ144))</f>
        <v>#N/A:explicit</v>
      </c>
      <c t="b" s="895" r="EL144">
        <v>0</v>
      </c>
      <c s="631" r="EM144"/>
      <c t="str" s="309" r="EN144">
        <f>IF((COUNT(EG144:EG$146)=0),NA(),IF(ISBLANK(EG144),IF(ISBLANK(EG143),MAX(EG$46:EG144),EG143),EG144))</f>
        <v>#N/A:explicit</v>
      </c>
      <c t="str" s="861" r="EO144">
        <f>IF(ISNA(EK144),IF(ISNUMBER(EN144),EO143,NA()),EK144)</f>
        <v>#N/A:explicit</v>
      </c>
      <c s="861" r="EP144">
        <f>IF(ISNUMBER(EO144),EO144,(EI$46+1000))</f>
        <v>1000</v>
      </c>
      <c t="str" s="588" r="EQ144">
        <f>IF((EL144=TRUE),NA(),IF((EQ$44=(EI$46-MAX(EJ$46:EJ$146))),NA(),EQ$44))</f>
        <v>#N/A:explicit</v>
      </c>
      <c s="588" r="ER144">
        <f>IF((ISNA(((EO144*EN144)*EO143))),0,(IF((EN144&lt;EN143),-1,1)*(IF((EL143=FALSE),IF((EL144=FALSE),IF(ISNA(EO144),0,IF((EO143&lt;EQ$44),IF((EO144&lt;EQ$44),(((EN144-EN143)^2)^0.5),(((((EQ$44-EO143)*(EN144-EN143))/(EO144-EO143))^2)^0.5)),IF((EO144&lt;EQ$44),(((((EQ$44-EO144)*(EN144-EN143))/(EO143-EO144))^2)^0.5),0))),0),0))))</f>
        <v>0</v>
      </c>
      <c s="588" r="ES144">
        <f>IF(ISNA((EO144*EO143)),0,IF((EL143=FALSE),IF((EL144=FALSE),IF(ISNA(EK144),0,IF((EO143&lt;EQ$44),IF((EO144&lt;EQ$44),((EQ$44-((EO143+EO144)*0.5))*ER144),(((EQ$44-EO143)*0.5)*ER144)),IF((EO144&lt;EQ$44),(((EQ$44-EO144)*0.5)*ER144),0))),0),0))</f>
        <v>0</v>
      </c>
      <c s="588" r="ET144">
        <f>IF(ISNA((EO144*EO143)),0,IF((EL143=FALSE),IF((EL144=FALSE),IF(ISNA(EO144),0,IF((EO143&lt;EQ$44),IF((EO144&lt;EQ$44),(((ER144^2)+((EO144-EO143)^2))^0.5),(((ER144^2)+((EQ$44-EO143)^2))^0.5)),IF((EO144&lt;EQ$44),(((ER144^2)+((EQ$44-EO144)^2))^0.5),0))),0),0))</f>
        <v>0</v>
      </c>
      <c s="588" r="EU144">
        <f>IF(ISNUMBER((EO144*EO143)),IF((EO143&gt;=EA$148),IF((EO144&lt;EA$148),1,0),IF((EO144&gt;=EA$148),IF((EO143&lt;EA$148),1,0),0)),0)</f>
        <v>0</v>
      </c>
      <c s="588" r="EV144">
        <f>IF(ISNA((EO144*EO143)),0,(IF((EN144&lt;EN143),-1,1)*(IF(ISNA(EO144),0,IF((EO143&lt;EA$148),IF((EO144&lt;EA$148),(((EN144-EN143)^2)^0.5),(((((EA$148-EO143)*(EN144-EN143))/(EO144-EO143))^2)^0.5)),IF((EO144&lt;EA$148),(((((EA$148-EO144)*(EN144-EN143))/(EO143-EO144))^2)^0.5),0))))))</f>
        <v>0</v>
      </c>
      <c s="441" r="EW144">
        <f>IF((ES144&gt;0),(MAX(EW$47:EW143)+1),0)</f>
        <v>0</v>
      </c>
      <c s="388" r="EX144"/>
      <c s="406" r="EY144"/>
      <c s="886" r="EZ144"/>
      <c s="886" r="FA144"/>
      <c s="886" r="FB144"/>
      <c s="886" r="FC144"/>
      <c s="418" r="FD144"/>
      <c s="550" r="FE144"/>
      <c s="550" r="FF144"/>
      <c t="str" s="620" r="FG144">
        <f>IF((COUNT(FF144:FF$146,FH144:FH$146)=0),NA(),IF(ISBLANK(FF144),FG143,(FG143+(FF144-FH143))))</f>
        <v>#N/A:explicit</v>
      </c>
      <c s="550" r="FH144"/>
      <c t="str" s="620" r="FI144">
        <f>IF(OR(ISBLANK(FH144),ISNUMBER(FF145)),NA(),(FG144-FH144))</f>
        <v>#N/A:explicit</v>
      </c>
      <c t="b" s="895" r="FJ144">
        <v>0</v>
      </c>
      <c s="631" r="FK144"/>
      <c t="str" s="309" r="FL144">
        <f>IF((COUNT(FE144:FE$146)=0),NA(),IF(ISBLANK(FE144),IF(ISBLANK(FE143),MAX(FE$46:FE144),FE143),FE144))</f>
        <v>#N/A:explicit</v>
      </c>
      <c t="str" s="861" r="FM144">
        <f>IF(ISNA(FI144),IF(ISNUMBER(FL144),FM143,NA()),FI144)</f>
        <v>#N/A:explicit</v>
      </c>
      <c s="861" r="FN144">
        <f>IF(ISNUMBER(FM144),FM144,(FG$46+1000))</f>
        <v>1000</v>
      </c>
      <c t="str" s="588" r="FO144">
        <f>IF((FJ144=TRUE),NA(),IF((FO$44=(FG$46-MAX(FH$46:FH$146))),NA(),FO$44))</f>
        <v>#N/A:explicit</v>
      </c>
      <c s="588" r="FP144">
        <f>IF((ISNA(((FM144*FL144)*FM143))),0,(IF((FL144&lt;FL143),-1,1)*(IF((FJ143=FALSE),IF((FJ144=FALSE),IF(ISNA(FM144),0,IF((FM143&lt;FO$44),IF((FM144&lt;FO$44),(((FL144-FL143)^2)^0.5),(((((FO$44-FM143)*(FL144-FL143))/(FM144-FM143))^2)^0.5)),IF((FM144&lt;FO$44),(((((FO$44-FM144)*(FL144-FL143))/(FM143-FM144))^2)^0.5),0))),0),0))))</f>
        <v>0</v>
      </c>
      <c s="588" r="FQ144">
        <f>IF(ISNA((FM144*FM143)),0,IF((FJ143=FALSE),IF((FJ144=FALSE),IF(ISNA(FI144),0,IF((FM143&lt;FO$44),IF((FM144&lt;FO$44),((FO$44-((FM143+FM144)*0.5))*FP144),(((FO$44-FM143)*0.5)*FP144)),IF((FM144&lt;FO$44),(((FO$44-FM144)*0.5)*FP144),0))),0),0))</f>
        <v>0</v>
      </c>
      <c s="588" r="FR144">
        <f>IF(ISNA((FM144*FM143)),0,IF((FJ143=FALSE),IF((FJ144=FALSE),IF(ISNA(FM144),0,IF((FM143&lt;FO$44),IF((FM144&lt;FO$44),(((FP144^2)+((FM144-FM143)^2))^0.5),(((FP144^2)+((FO$44-FM143)^2))^0.5)),IF((FM144&lt;FO$44),(((FP144^2)+((FO$44-FM144)^2))^0.5),0))),0),0))</f>
        <v>0</v>
      </c>
      <c s="588" r="FS144">
        <f>IF(ISNUMBER((FM144*FM143)),IF((FM143&gt;=EY$148),IF((FM144&lt;EY$148),1,0),IF((FM144&gt;=EY$148),IF((FM143&lt;EY$148),1,0),0)),0)</f>
        <v>0</v>
      </c>
      <c s="588" r="FT144">
        <f>IF(ISNA((FM144*FM143)),0,(IF((FL144&lt;FL143),-1,1)*(IF(ISNA(FM144),0,IF((FM143&lt;EY$148),IF((FM144&lt;EY$148),(((FL144-FL143)^2)^0.5),(((((EY$148-FM143)*(FL144-FL143))/(FM144-FM143))^2)^0.5)),IF((FM144&lt;EY$148),(((((EY$148-FM144)*(FL144-FL143))/(FM143-FM144))^2)^0.5),0))))))</f>
        <v>0</v>
      </c>
      <c s="441" r="FU144">
        <f>IF((FQ144&gt;0),(MAX(FU$47:FU143)+1),0)</f>
        <v>0</v>
      </c>
      <c s="222" r="FV144"/>
      <c s="125" r="FW144"/>
      <c s="125" r="FX144"/>
      <c s="125" r="FY144"/>
      <c s="125" r="FZ144"/>
      <c s="125" r="GA144"/>
      <c s="125" r="GB144"/>
      <c s="125" r="GC144"/>
      <c s="125" r="GD144"/>
      <c s="125" r="GE144"/>
      <c s="125" r="GF144"/>
      <c s="125" r="GG144"/>
      <c s="125" r="GH144"/>
      <c s="125" r="GI144"/>
      <c s="125" r="GJ144"/>
      <c s="125" r="GK144"/>
      <c s="125" r="GL144"/>
      <c s="125" r="GM144"/>
      <c s="125" r="GN144"/>
      <c s="125" r="GO144"/>
      <c s="125" r="GP144"/>
      <c s="125" r="GQ144"/>
      <c s="125" r="GR144"/>
      <c s="125" r="GS144"/>
      <c s="125" r="GT144"/>
      <c s="125" r="GU144"/>
      <c s="125" r="GV144"/>
      <c s="125" r="GW144"/>
      <c s="125" r="GX144"/>
      <c s="125" r="GY144"/>
      <c s="125" r="GZ144"/>
      <c s="125" r="HA144"/>
      <c s="125" r="HB144"/>
    </row>
    <row r="145">
      <c s="125" r="A145"/>
      <c s="125" r="B145"/>
      <c s="125" r="C145"/>
      <c s="125" r="D145"/>
      <c s="125" r="E145"/>
      <c s="125" r="F145"/>
      <c s="125" r="G145"/>
      <c s="125" r="H145"/>
      <c s="125" r="I145"/>
      <c s="822" r="J145"/>
      <c s="406" r="K145"/>
      <c s="886" r="L145"/>
      <c s="886" r="M145"/>
      <c s="886" r="N145"/>
      <c s="886" r="O145"/>
      <c s="418" r="P145"/>
      <c s="550" r="Q145"/>
      <c s="550" r="R145"/>
      <c t="str" s="620" r="S145">
        <f>IF((COUNT(R145:R$146,T145:T$146)=0),NA(),IF(ISBLANK(R145),S144,(S144+(R145-T144))))</f>
        <v>#N/A:explicit</v>
      </c>
      <c s="550" r="T145"/>
      <c t="str" s="620" r="U145">
        <f>IF(OR(ISBLANK(T145),ISNUMBER(R146)),NA(),(S145-T145))</f>
        <v>#N/A:explicit</v>
      </c>
      <c t="b" s="895" r="V145">
        <v>0</v>
      </c>
      <c s="631" r="W145"/>
      <c t="str" s="309" r="X145">
        <f>IF((COUNT(Q145:Q$146)=0),NA(),IF(ISBLANK(Q145),IF(ISBLANK(Q144),MAX(Q$46:Q145),Q144),Q145))</f>
        <v>#N/A:explicit</v>
      </c>
      <c t="str" s="861" r="Y145">
        <f>IF(ISNA(U145),IF(ISNUMBER(X145),Y144,NA()),U145)</f>
        <v>#N/A:explicit</v>
      </c>
      <c s="861" r="Z145">
        <f>IF(ISNUMBER(Y145),Y145,(S$46+1000))</f>
        <v>1000</v>
      </c>
      <c t="str" s="588" r="AA145">
        <f>IF((V145=TRUE),NA(),IF((AA$44=(S$46-MAX(T$46:T$146))),NA(),AA$44))</f>
        <v>#N/A:explicit</v>
      </c>
      <c s="588" r="AB145">
        <f>IF((ISNA(((Y145*X145)*Y144))),0,(IF((X145&lt;X144),-1,1)*(IF((V144=FALSE),IF((V145=FALSE),IF(ISNA(Y145),0,IF((Y144&lt;AA$44),IF((Y145&lt;AA$44),(((X145-X144)^2)^0.5),(((((AA$44-Y144)*(X145-X144))/(Y145-Y144))^2)^0.5)),IF((Y145&lt;AA$44),(((((AA$44-Y145)*(X145-X144))/(Y144-Y145))^2)^0.5),0))),0),0))))</f>
        <v>0</v>
      </c>
      <c s="588" r="AC145">
        <f>IF(ISNA((Y145*Y144)),0,IF((V144=FALSE),IF((V145=FALSE),IF(ISNA(U145),0,IF((Y144&lt;AA$44),IF((Y145&lt;AA$44),((AA$44-((Y144+Y145)*0.5))*AB145),(((AA$44-Y144)*0.5)*AB145)),IF((Y145&lt;AA$44),(((AA$44-Y145)*0.5)*AB145),0))),0),0))</f>
        <v>0</v>
      </c>
      <c s="588" r="AD145">
        <f>IF(ISNA((Y145*Y144)),0,IF((V144=FALSE),IF((V145=FALSE),IF(ISNA(Y145),0,IF((Y144&lt;AA$44),IF((Y145&lt;AA$44),(((AB145^2)+((Y145-Y144)^2))^0.5),(((AB145^2)+((AA$44-Y144)^2))^0.5)),IF((Y145&lt;AA$44),(((AB145^2)+((AA$44-Y145)^2))^0.5),0))),0),0))</f>
        <v>0</v>
      </c>
      <c s="588" r="AE145">
        <f>IF(ISNUMBER((Y145*Y144)),IF((Y144&gt;=K$148),IF((Y145&lt;K$148),1,0),IF((Y145&gt;=K$148),IF((Y144&lt;K$148),1,0),0)),0)</f>
        <v>0</v>
      </c>
      <c s="588" r="AF145">
        <f>IF(ISNA((Y145*Y144)),0,(IF((X145&lt;X144),-1,1)*(IF(ISNA(Y145),0,IF((Y144&lt;K$148),IF((Y145&lt;K$148),(((X145-X144)^2)^0.5),(((((K$148-Y144)*(X145-X144))/(Y145-Y144))^2)^0.5)),IF((Y145&lt;K$148),(((((K$148-Y145)*(X145-X144))/(Y144-Y145))^2)^0.5),0))))))</f>
        <v>0</v>
      </c>
      <c s="441" r="AG145">
        <f>IF((AC145&gt;0),(MAX(AG$47:AG144)+1),0)</f>
        <v>0</v>
      </c>
      <c s="388" r="AH145"/>
      <c s="406" r="AI145"/>
      <c s="886" r="AJ145"/>
      <c s="886" r="AK145"/>
      <c s="886" r="AL145"/>
      <c s="886" r="AM145"/>
      <c s="418" r="AN145"/>
      <c s="550" r="AO145"/>
      <c s="550" r="AP145"/>
      <c t="str" s="620" r="AQ145">
        <f>IF((COUNT(AP145:AP$146,AR145:AR$146)=0),NA(),IF(ISBLANK(AP145),AQ144,(AQ144+(AP145-AR144))))</f>
        <v>#N/A:explicit</v>
      </c>
      <c s="550" r="AR145"/>
      <c t="str" s="620" r="AS145">
        <f>IF(OR(ISBLANK(AR145),ISNUMBER(AP146)),NA(),(AQ145-AR145))</f>
        <v>#N/A:explicit</v>
      </c>
      <c t="b" s="895" r="AT145">
        <v>0</v>
      </c>
      <c s="631" r="AU145"/>
      <c t="str" s="309" r="AV145">
        <f>IF((COUNT(AO145:AO$146)=0),NA(),IF(ISBLANK(AO145),IF(ISBLANK(AO144),MAX(AO$46:AO145),AO144),AO145))</f>
        <v>#N/A:explicit</v>
      </c>
      <c t="str" s="861" r="AW145">
        <f>IF(ISNA(AS145),IF(ISNUMBER(AV145),AW144,NA()),AS145)</f>
        <v>#N/A:explicit</v>
      </c>
      <c s="861" r="AX145">
        <f>IF(ISNUMBER(AW145),AW145,(AQ$46+1000))</f>
        <v>1000</v>
      </c>
      <c t="str" s="588" r="AY145">
        <f>IF((AT145=TRUE),NA(),IF((AY$44=(AQ$46-MAX(AR$46:AR$146))),NA(),AY$44))</f>
        <v>#N/A:explicit</v>
      </c>
      <c s="588" r="AZ145">
        <f>IF((ISNA(((AW145*AV145)*AW144))),0,(IF((AV145&lt;AV144),-1,1)*(IF((AT144=FALSE),IF((AT145=FALSE),IF(ISNA(AW145),0,IF((AW144&lt;AY$44),IF((AW145&lt;AY$44),(((AV145-AV144)^2)^0.5),(((((AY$44-AW144)*(AV145-AV144))/(AW145-AW144))^2)^0.5)),IF((AW145&lt;AY$44),(((((AY$44-AW145)*(AV145-AV144))/(AW144-AW145))^2)^0.5),0))),0),0))))</f>
        <v>0</v>
      </c>
      <c s="588" r="BA145">
        <f>IF(ISNA((AW145*AW144)),0,IF((AT144=FALSE),IF((AT145=FALSE),IF(ISNA(AS145),0,IF((AW144&lt;AY$44),IF((AW145&lt;AY$44),((AY$44-((AW144+AW145)*0.5))*AZ145),(((AY$44-AW144)*0.5)*AZ145)),IF((AW145&lt;AY$44),(((AY$44-AW145)*0.5)*AZ145),0))),0),0))</f>
        <v>0</v>
      </c>
      <c s="588" r="BB145">
        <f>IF(ISNA((AW145*AW144)),0,IF((AT144=FALSE),IF((AT145=FALSE),IF(ISNA(AW145),0,IF((AW144&lt;AY$44),IF((AW145&lt;AY$44),(((AZ145^2)+((AW145-AW144)^2))^0.5),(((AZ145^2)+((AY$44-AW144)^2))^0.5)),IF((AW145&lt;AY$44),(((AZ145^2)+((AY$44-AW145)^2))^0.5),0))),0),0))</f>
        <v>0</v>
      </c>
      <c s="588" r="BC145">
        <f>IF(ISNUMBER((AW145*AW144)),IF((AW144&gt;=AI$148),IF((AW145&lt;AI$148),1,0),IF((AW145&gt;=AI$148),IF((AW144&lt;AI$148),1,0),0)),0)</f>
        <v>0</v>
      </c>
      <c s="588" r="BD145">
        <f>IF(ISNA((AW145*AW144)),0,(IF((AV145&lt;AV144),-1,1)*(IF(ISNA(AW145),0,IF((AW144&lt;AI$148),IF((AW145&lt;AI$148),(((AV145-AV144)^2)^0.5),(((((AI$148-AW144)*(AV145-AV144))/(AW145-AW144))^2)^0.5)),IF((AW145&lt;AI$148),(((((AI$148-AW145)*(AV145-AV144))/(AW144-AW145))^2)^0.5),0))))))</f>
        <v>0</v>
      </c>
      <c s="441" r="BE145">
        <f>IF((BA145&gt;0),(MAX(BE$47:BE144)+1),0)</f>
        <v>0</v>
      </c>
      <c s="388" r="BF145"/>
      <c s="406" r="BG145"/>
      <c s="886" r="BH145"/>
      <c s="886" r="BI145"/>
      <c s="886" r="BJ145"/>
      <c s="886" r="BK145"/>
      <c s="418" r="BL145"/>
      <c s="550" r="BM145"/>
      <c s="550" r="BN145"/>
      <c t="str" s="620" r="BO145">
        <f>IF((COUNT(BN145:BN$146,BP145:BP$146)=0),NA(),IF(ISBLANK(BN145),BO144,(BO144+(BN145-BP144))))</f>
        <v>#N/A:explicit</v>
      </c>
      <c s="550" r="BP145"/>
      <c t="str" s="620" r="BQ145">
        <f>IF(OR(ISBLANK(BP145),ISNUMBER(BN146)),NA(),(BO145-BP145))</f>
        <v>#N/A:explicit</v>
      </c>
      <c t="b" s="895" r="BR145">
        <v>0</v>
      </c>
      <c s="631" r="BS145"/>
      <c t="str" s="309" r="BT145">
        <f>IF((COUNT(BM145:BM$146)=0),NA(),IF(ISBLANK(BM145),IF(ISBLANK(BM144),MAX(BM$46:BM145),BM144),BM145))</f>
        <v>#N/A:explicit</v>
      </c>
      <c t="str" s="861" r="BU145">
        <f>IF(ISNA(BQ145),IF(ISNUMBER(BT145),BU144,NA()),BQ145)</f>
        <v>#N/A:explicit</v>
      </c>
      <c s="861" r="BV145">
        <f>IF(ISNUMBER(BU145),BU145,(BO$46+1000))</f>
        <v>1000</v>
      </c>
      <c t="str" s="588" r="BW145">
        <f>IF((BR145=TRUE),NA(),IF((BW$44=(BO$46-MAX(BP$46:BP$146))),NA(),BW$44))</f>
        <v>#N/A:explicit</v>
      </c>
      <c s="588" r="BX145">
        <f>IF((ISNA(((BU145*BT145)*BU144))),0,(IF((BT145&lt;BT144),-1,1)*(IF((BR144=FALSE),IF((BR145=FALSE),IF(ISNA(BU145),0,IF((BU144&lt;BW$44),IF((BU145&lt;BW$44),(((BT145-BT144)^2)^0.5),(((((BW$44-BU144)*(BT145-BT144))/(BU145-BU144))^2)^0.5)),IF((BU145&lt;BW$44),(((((BW$44-BU145)*(BT145-BT144))/(BU144-BU145))^2)^0.5),0))),0),0))))</f>
        <v>0</v>
      </c>
      <c s="588" r="BY145">
        <f>IF(ISNA((BU145*BU144)),0,IF((BR144=FALSE),IF((BR145=FALSE),IF(ISNA(BQ145),0,IF((BU144&lt;BW$44),IF((BU145&lt;BW$44),((BW$44-((BU144+BU145)*0.5))*BX145),(((BW$44-BU144)*0.5)*BX145)),IF((BU145&lt;BW$44),(((BW$44-BU145)*0.5)*BX145),0))),0),0))</f>
        <v>0</v>
      </c>
      <c s="588" r="BZ145">
        <f>IF(ISNA((BU145*BU144)),0,IF((BR144=FALSE),IF((BR145=FALSE),IF(ISNA(BU145),0,IF((BU144&lt;BW$44),IF((BU145&lt;BW$44),(((BX145^2)+((BU145-BU144)^2))^0.5),(((BX145^2)+((BW$44-BU144)^2))^0.5)),IF((BU145&lt;BW$44),(((BX145^2)+((BW$44-BU145)^2))^0.5),0))),0),0))</f>
        <v>0</v>
      </c>
      <c s="588" r="CA145">
        <f>IF(ISNUMBER((BU145*BU144)),IF((BU144&gt;=BG$148),IF((BU145&lt;BG$148),1,0),IF((BU145&gt;=BG$148),IF((BU144&lt;BG$148),1,0),0)),0)</f>
        <v>0</v>
      </c>
      <c s="588" r="CB145">
        <f>IF(ISNA((BU145*BU144)),0,(IF((BT145&lt;BT144),-1,1)*(IF(ISNA(BU145),0,IF((BU144&lt;BG$148),IF((BU145&lt;BG$148),(((BT145-BT144)^2)^0.5),(((((BG$148-BU144)*(BT145-BT144))/(BU145-BU144))^2)^0.5)),IF((BU145&lt;BG$148),(((((BG$148-BU145)*(BT145-BT144))/(BU144-BU145))^2)^0.5),0))))))</f>
        <v>0</v>
      </c>
      <c s="441" r="CC145">
        <f>IF((BY145&gt;0),(MAX(CC$47:CC144)+1),0)</f>
        <v>0</v>
      </c>
      <c s="388" r="CD145"/>
      <c s="406" r="CE145"/>
      <c s="886" r="CF145"/>
      <c s="886" r="CG145"/>
      <c s="886" r="CH145"/>
      <c s="886" r="CI145"/>
      <c s="418" r="CJ145"/>
      <c s="550" r="CK145"/>
      <c s="550" r="CL145"/>
      <c t="str" s="620" r="CM145">
        <f>IF((COUNT(CL145:CL$146,CN145:CN$146)=0),NA(),IF(ISBLANK(CL145),CM144,(CM144+(CL145-CN144))))</f>
        <v>#N/A:explicit</v>
      </c>
      <c s="550" r="CN145"/>
      <c t="str" s="620" r="CO145">
        <f>IF(OR(ISBLANK(CN145),ISNUMBER(CL146)),NA(),(CM145-CN145))</f>
        <v>#N/A:explicit</v>
      </c>
      <c t="b" s="895" r="CP145">
        <v>0</v>
      </c>
      <c s="631" r="CQ145"/>
      <c t="str" s="309" r="CR145">
        <f>IF((COUNT(CK145:CK$146)=0),NA(),IF(ISBLANK(CK145),IF(ISBLANK(CK144),MAX(CK$46:CK145),CK144),CK145))</f>
        <v>#N/A:explicit</v>
      </c>
      <c t="str" s="861" r="CS145">
        <f>IF(ISNA(CO145),IF(ISNUMBER(CR145),CS144,NA()),CO145)</f>
        <v>#N/A:explicit</v>
      </c>
      <c s="861" r="CT145">
        <f>IF(ISNUMBER(CS145),CS145,(CM$46+1000))</f>
        <v>1000</v>
      </c>
      <c t="str" s="588" r="CU145">
        <f>IF((CP145=TRUE),NA(),IF((CU$44=(CM$46-MAX(CN$46:CN$146))),NA(),CU$44))</f>
        <v>#N/A:explicit</v>
      </c>
      <c s="588" r="CV145">
        <f>IF((ISNA(((CS145*CR145)*CS144))),0,(IF((CR145&lt;CR144),-1,1)*(IF((CP144=FALSE),IF((CP145=FALSE),IF(ISNA(CS145),0,IF((CS144&lt;CU$44),IF((CS145&lt;CU$44),(((CR145-CR144)^2)^0.5),(((((CU$44-CS144)*(CR145-CR144))/(CS145-CS144))^2)^0.5)),IF((CS145&lt;CU$44),(((((CU$44-CS145)*(CR145-CR144))/(CS144-CS145))^2)^0.5),0))),0),0))))</f>
        <v>0</v>
      </c>
      <c s="588" r="CW145">
        <f>IF(ISNA((CS145*CS144)),0,IF((CP144=FALSE),IF((CP145=FALSE),IF(ISNA(CO145),0,IF((CS144&lt;CU$44),IF((CS145&lt;CU$44),((CU$44-((CS144+CS145)*0.5))*CV145),(((CU$44-CS144)*0.5)*CV145)),IF((CS145&lt;CU$44),(((CU$44-CS145)*0.5)*CV145),0))),0),0))</f>
        <v>0</v>
      </c>
      <c s="588" r="CX145">
        <f>IF(ISNA((CS145*CS144)),0,IF((CP144=FALSE),IF((CP145=FALSE),IF(ISNA(CS145),0,IF((CS144&lt;CU$44),IF((CS145&lt;CU$44),(((CV145^2)+((CS145-CS144)^2))^0.5),(((CV145^2)+((CU$44-CS144)^2))^0.5)),IF((CS145&lt;CU$44),(((CV145^2)+((CU$44-CS145)^2))^0.5),0))),0),0))</f>
        <v>0</v>
      </c>
      <c s="588" r="CY145">
        <f>IF(ISNUMBER((CS145*CS144)),IF((CS144&gt;=CE$148),IF((CS145&lt;CE$148),1,0),IF((CS145&gt;=CE$148),IF((CS144&lt;CE$148),1,0),0)),0)</f>
        <v>0</v>
      </c>
      <c s="588" r="CZ145">
        <f>IF(ISNA((CS145*CS144)),0,(IF((CR145&lt;CR144),-1,1)*(IF(ISNA(CS145),0,IF((CS144&lt;CE$148),IF((CS145&lt;CE$148),(((CR145-CR144)^2)^0.5),(((((CE$148-CS144)*(CR145-CR144))/(CS145-CS144))^2)^0.5)),IF((CS145&lt;CE$148),(((((CE$148-CS145)*(CR145-CR144))/(CS144-CS145))^2)^0.5),0))))))</f>
        <v>0</v>
      </c>
      <c s="441" r="DA145">
        <f>IF((CW145&gt;0),(MAX(DA$47:DA144)+1),0)</f>
        <v>0</v>
      </c>
      <c s="388" r="DB145"/>
      <c s="406" r="DC145"/>
      <c s="886" r="DD145"/>
      <c s="886" r="DE145"/>
      <c s="886" r="DF145"/>
      <c s="886" r="DG145"/>
      <c s="418" r="DH145"/>
      <c s="550" r="DI145"/>
      <c s="550" r="DJ145"/>
      <c t="str" s="620" r="DK145">
        <f>IF((COUNT(DJ145:DJ$146,DL145:DL$146)=0),NA(),IF(ISBLANK(DJ145),DK144,(DK144+(DJ145-DL144))))</f>
        <v>#N/A:explicit</v>
      </c>
      <c s="550" r="DL145"/>
      <c t="str" s="620" r="DM145">
        <f>IF(OR(ISBLANK(DL145),ISNUMBER(DJ146)),NA(),(DK145-DL145))</f>
        <v>#N/A:explicit</v>
      </c>
      <c t="b" s="895" r="DN145">
        <v>0</v>
      </c>
      <c s="631" r="DO145"/>
      <c t="str" s="309" r="DP145">
        <f>IF((COUNT(DI145:DI$146)=0),NA(),IF(ISBLANK(DI145),IF(ISBLANK(DI144),MAX(DI$46:DI145),DI144),DI145))</f>
        <v>#N/A:explicit</v>
      </c>
      <c t="str" s="861" r="DQ145">
        <f>IF(ISNA(DM145),IF(ISNUMBER(DP145),DQ144,NA()),DM145)</f>
        <v>#N/A:explicit</v>
      </c>
      <c s="861" r="DR145">
        <f>IF(ISNUMBER(DQ145),DQ145,(DK$46+1000))</f>
        <v>1000</v>
      </c>
      <c t="str" s="588" r="DS145">
        <f>IF((DN145=TRUE),NA(),IF((DS$44=(DK$46-MAX(DL$46:DL$146))),NA(),DS$44))</f>
        <v>#N/A:explicit</v>
      </c>
      <c s="588" r="DT145">
        <f>IF((ISNA(((DQ145*DP145)*DQ144))),0,(IF((DP145&lt;DP144),-1,1)*(IF((DN144=FALSE),IF((DN145=FALSE),IF(ISNA(DQ145),0,IF((DQ144&lt;DS$44),IF((DQ145&lt;DS$44),(((DP145-DP144)^2)^0.5),(((((DS$44-DQ144)*(DP145-DP144))/(DQ145-DQ144))^2)^0.5)),IF((DQ145&lt;DS$44),(((((DS$44-DQ145)*(DP145-DP144))/(DQ144-DQ145))^2)^0.5),0))),0),0))))</f>
        <v>0</v>
      </c>
      <c s="588" r="DU145">
        <f>IF(ISNA((DQ145*DQ144)),0,IF((DN144=FALSE),IF((DN145=FALSE),IF(ISNA(DM145),0,IF((DQ144&lt;DS$44),IF((DQ145&lt;DS$44),((DS$44-((DQ144+DQ145)*0.5))*DT145),(((DS$44-DQ144)*0.5)*DT145)),IF((DQ145&lt;DS$44),(((DS$44-DQ145)*0.5)*DT145),0))),0),0))</f>
        <v>0</v>
      </c>
      <c s="588" r="DV145">
        <f>IF(ISNA((DQ145*DQ144)),0,IF((DN144=FALSE),IF((DN145=FALSE),IF(ISNA(DQ145),0,IF((DQ144&lt;DS$44),IF((DQ145&lt;DS$44),(((DT145^2)+((DQ145-DQ144)^2))^0.5),(((DT145^2)+((DS$44-DQ144)^2))^0.5)),IF((DQ145&lt;DS$44),(((DT145^2)+((DS$44-DQ145)^2))^0.5),0))),0),0))</f>
        <v>0</v>
      </c>
      <c s="588" r="DW145">
        <f>IF(ISNUMBER((DQ145*DQ144)),IF((DQ144&gt;=DC$148),IF((DQ145&lt;DC$148),1,0),IF((DQ145&gt;=DC$148),IF((DQ144&lt;DC$148),1,0),0)),0)</f>
        <v>0</v>
      </c>
      <c s="588" r="DX145">
        <f>IF(ISNA((DQ145*DQ144)),0,(IF((DP145&lt;DP144),-1,1)*(IF(ISNA(DQ145),0,IF((DQ144&lt;DC$148),IF((DQ145&lt;DC$148),(((DP145-DP144)^2)^0.5),(((((DC$148-DQ144)*(DP145-DP144))/(DQ145-DQ144))^2)^0.5)),IF((DQ145&lt;DC$148),(((((DC$148-DQ145)*(DP145-DP144))/(DQ144-DQ145))^2)^0.5),0))))))</f>
        <v>0</v>
      </c>
      <c s="441" r="DY145">
        <f>IF((DU145&gt;0),(MAX(DY$47:DY144)+1),0)</f>
        <v>0</v>
      </c>
      <c s="388" r="DZ145"/>
      <c s="406" r="EA145"/>
      <c s="886" r="EB145"/>
      <c s="886" r="EC145"/>
      <c s="886" r="ED145"/>
      <c s="886" r="EE145"/>
      <c s="418" r="EF145"/>
      <c s="550" r="EG145"/>
      <c s="550" r="EH145"/>
      <c t="str" s="620" r="EI145">
        <f>IF((COUNT(EH145:EH$146,EJ145:EJ$146)=0),NA(),IF(ISBLANK(EH145),EI144,(EI144+(EH145-EJ144))))</f>
        <v>#N/A:explicit</v>
      </c>
      <c s="550" r="EJ145"/>
      <c t="str" s="620" r="EK145">
        <f>IF(OR(ISBLANK(EJ145),ISNUMBER(EH146)),NA(),(EI145-EJ145))</f>
        <v>#N/A:explicit</v>
      </c>
      <c t="b" s="895" r="EL145">
        <v>0</v>
      </c>
      <c s="631" r="EM145"/>
      <c t="str" s="309" r="EN145">
        <f>IF((COUNT(EG145:EG$146)=0),NA(),IF(ISBLANK(EG145),IF(ISBLANK(EG144),MAX(EG$46:EG145),EG144),EG145))</f>
        <v>#N/A:explicit</v>
      </c>
      <c t="str" s="861" r="EO145">
        <f>IF(ISNA(EK145),IF(ISNUMBER(EN145),EO144,NA()),EK145)</f>
        <v>#N/A:explicit</v>
      </c>
      <c s="861" r="EP145">
        <f>IF(ISNUMBER(EO145),EO145,(EI$46+1000))</f>
        <v>1000</v>
      </c>
      <c t="str" s="588" r="EQ145">
        <f>IF((EL145=TRUE),NA(),IF((EQ$44=(EI$46-MAX(EJ$46:EJ$146))),NA(),EQ$44))</f>
        <v>#N/A:explicit</v>
      </c>
      <c s="588" r="ER145">
        <f>IF((ISNA(((EO145*EN145)*EO144))),0,(IF((EN145&lt;EN144),-1,1)*(IF((EL144=FALSE),IF((EL145=FALSE),IF(ISNA(EO145),0,IF((EO144&lt;EQ$44),IF((EO145&lt;EQ$44),(((EN145-EN144)^2)^0.5),(((((EQ$44-EO144)*(EN145-EN144))/(EO145-EO144))^2)^0.5)),IF((EO145&lt;EQ$44),(((((EQ$44-EO145)*(EN145-EN144))/(EO144-EO145))^2)^0.5),0))),0),0))))</f>
        <v>0</v>
      </c>
      <c s="588" r="ES145">
        <f>IF(ISNA((EO145*EO144)),0,IF((EL144=FALSE),IF((EL145=FALSE),IF(ISNA(EK145),0,IF((EO144&lt;EQ$44),IF((EO145&lt;EQ$44),((EQ$44-((EO144+EO145)*0.5))*ER145),(((EQ$44-EO144)*0.5)*ER145)),IF((EO145&lt;EQ$44),(((EQ$44-EO145)*0.5)*ER145),0))),0),0))</f>
        <v>0</v>
      </c>
      <c s="588" r="ET145">
        <f>IF(ISNA((EO145*EO144)),0,IF((EL144=FALSE),IF((EL145=FALSE),IF(ISNA(EO145),0,IF((EO144&lt;EQ$44),IF((EO145&lt;EQ$44),(((ER145^2)+((EO145-EO144)^2))^0.5),(((ER145^2)+((EQ$44-EO144)^2))^0.5)),IF((EO145&lt;EQ$44),(((ER145^2)+((EQ$44-EO145)^2))^0.5),0))),0),0))</f>
        <v>0</v>
      </c>
      <c s="588" r="EU145">
        <f>IF(ISNUMBER((EO145*EO144)),IF((EO144&gt;=EA$148),IF((EO145&lt;EA$148),1,0),IF((EO145&gt;=EA$148),IF((EO144&lt;EA$148),1,0),0)),0)</f>
        <v>0</v>
      </c>
      <c s="588" r="EV145">
        <f>IF(ISNA((EO145*EO144)),0,(IF((EN145&lt;EN144),-1,1)*(IF(ISNA(EO145),0,IF((EO144&lt;EA$148),IF((EO145&lt;EA$148),(((EN145-EN144)^2)^0.5),(((((EA$148-EO144)*(EN145-EN144))/(EO145-EO144))^2)^0.5)),IF((EO145&lt;EA$148),(((((EA$148-EO145)*(EN145-EN144))/(EO144-EO145))^2)^0.5),0))))))</f>
        <v>0</v>
      </c>
      <c s="441" r="EW145">
        <f>IF((ES145&gt;0),(MAX(EW$47:EW144)+1),0)</f>
        <v>0</v>
      </c>
      <c s="388" r="EX145"/>
      <c s="406" r="EY145"/>
      <c s="886" r="EZ145"/>
      <c s="886" r="FA145"/>
      <c s="886" r="FB145"/>
      <c s="886" r="FC145"/>
      <c s="418" r="FD145"/>
      <c s="550" r="FE145"/>
      <c s="550" r="FF145"/>
      <c t="str" s="620" r="FG145">
        <f>IF((COUNT(FF145:FF$146,FH145:FH$146)=0),NA(),IF(ISBLANK(FF145),FG144,(FG144+(FF145-FH144))))</f>
        <v>#N/A:explicit</v>
      </c>
      <c s="550" r="FH145"/>
      <c t="str" s="620" r="FI145">
        <f>IF(OR(ISBLANK(FH145),ISNUMBER(FF146)),NA(),(FG145-FH145))</f>
        <v>#N/A:explicit</v>
      </c>
      <c t="b" s="895" r="FJ145">
        <v>0</v>
      </c>
      <c s="631" r="FK145"/>
      <c t="str" s="309" r="FL145">
        <f>IF((COUNT(FE145:FE$146)=0),NA(),IF(ISBLANK(FE145),IF(ISBLANK(FE144),MAX(FE$46:FE145),FE144),FE145))</f>
        <v>#N/A:explicit</v>
      </c>
      <c t="str" s="861" r="FM145">
        <f>IF(ISNA(FI145),IF(ISNUMBER(FL145),FM144,NA()),FI145)</f>
        <v>#N/A:explicit</v>
      </c>
      <c s="861" r="FN145">
        <f>IF(ISNUMBER(FM145),FM145,(FG$46+1000))</f>
        <v>1000</v>
      </c>
      <c t="str" s="588" r="FO145">
        <f>IF((FJ145=TRUE),NA(),IF((FO$44=(FG$46-MAX(FH$46:FH$146))),NA(),FO$44))</f>
        <v>#N/A:explicit</v>
      </c>
      <c s="588" r="FP145">
        <f>IF((ISNA(((FM145*FL145)*FM144))),0,(IF((FL145&lt;FL144),-1,1)*(IF((FJ144=FALSE),IF((FJ145=FALSE),IF(ISNA(FM145),0,IF((FM144&lt;FO$44),IF((FM145&lt;FO$44),(((FL145-FL144)^2)^0.5),(((((FO$44-FM144)*(FL145-FL144))/(FM145-FM144))^2)^0.5)),IF((FM145&lt;FO$44),(((((FO$44-FM145)*(FL145-FL144))/(FM144-FM145))^2)^0.5),0))),0),0))))</f>
        <v>0</v>
      </c>
      <c s="588" r="FQ145">
        <f>IF(ISNA((FM145*FM144)),0,IF((FJ144=FALSE),IF((FJ145=FALSE),IF(ISNA(FI145),0,IF((FM144&lt;FO$44),IF((FM145&lt;FO$44),((FO$44-((FM144+FM145)*0.5))*FP145),(((FO$44-FM144)*0.5)*FP145)),IF((FM145&lt;FO$44),(((FO$44-FM145)*0.5)*FP145),0))),0),0))</f>
        <v>0</v>
      </c>
      <c s="588" r="FR145">
        <f>IF(ISNA((FM145*FM144)),0,IF((FJ144=FALSE),IF((FJ145=FALSE),IF(ISNA(FM145),0,IF((FM144&lt;FO$44),IF((FM145&lt;FO$44),(((FP145^2)+((FM145-FM144)^2))^0.5),(((FP145^2)+((FO$44-FM144)^2))^0.5)),IF((FM145&lt;FO$44),(((FP145^2)+((FO$44-FM145)^2))^0.5),0))),0),0))</f>
        <v>0</v>
      </c>
      <c s="588" r="FS145">
        <f>IF(ISNUMBER((FM145*FM144)),IF((FM144&gt;=EY$148),IF((FM145&lt;EY$148),1,0),IF((FM145&gt;=EY$148),IF((FM144&lt;EY$148),1,0),0)),0)</f>
        <v>0</v>
      </c>
      <c s="588" r="FT145">
        <f>IF(ISNA((FM145*FM144)),0,(IF((FL145&lt;FL144),-1,1)*(IF(ISNA(FM145),0,IF((FM144&lt;EY$148),IF((FM145&lt;EY$148),(((FL145-FL144)^2)^0.5),(((((EY$148-FM144)*(FL145-FL144))/(FM145-FM144))^2)^0.5)),IF((FM145&lt;EY$148),(((((EY$148-FM145)*(FL145-FL144))/(FM144-FM145))^2)^0.5),0))))))</f>
        <v>0</v>
      </c>
      <c s="441" r="FU145">
        <f>IF((FQ145&gt;0),(MAX(FU$47:FU144)+1),0)</f>
        <v>0</v>
      </c>
      <c s="222" r="FV145"/>
      <c s="125" r="FW145"/>
      <c s="125" r="FX145"/>
      <c s="125" r="FY145"/>
      <c s="125" r="FZ145"/>
      <c s="125" r="GA145"/>
      <c s="125" r="GB145"/>
      <c s="125" r="GC145"/>
      <c s="125" r="GD145"/>
      <c s="125" r="GE145"/>
      <c s="125" r="GF145"/>
      <c s="125" r="GG145"/>
      <c s="125" r="GH145"/>
      <c s="125" r="GI145"/>
      <c s="125" r="GJ145"/>
      <c s="125" r="GK145"/>
      <c s="125" r="GL145"/>
      <c s="125" r="GM145"/>
      <c s="125" r="GN145"/>
      <c s="125" r="GO145"/>
      <c s="125" r="GP145"/>
      <c s="125" r="GQ145"/>
      <c s="125" r="GR145"/>
      <c s="125" r="GS145"/>
      <c s="125" r="GT145"/>
      <c s="125" r="GU145"/>
      <c s="125" r="GV145"/>
      <c s="125" r="GW145"/>
      <c s="125" r="GX145"/>
      <c s="125" r="GY145"/>
      <c s="125" r="GZ145"/>
      <c s="125" r="HA145"/>
      <c s="125" r="HB145"/>
    </row>
    <row s="125" customFormat="1" r="146">
      <c s="125" r="A146"/>
      <c s="125" r="B146"/>
      <c s="125" r="C146"/>
      <c s="125" r="D146"/>
      <c s="125" r="E146"/>
      <c s="125" r="F146"/>
      <c s="125" r="G146"/>
      <c s="125" r="H146"/>
      <c s="125" r="I146"/>
      <c s="822" r="J146"/>
      <c s="695" r="K146"/>
      <c s="566" r="L146"/>
      <c s="566" r="M146"/>
      <c s="566" r="N146"/>
      <c s="566" r="O146"/>
      <c s="704" r="P146"/>
      <c s="550" r="Q146"/>
      <c s="550" r="R146"/>
      <c t="str" s="620" r="S146">
        <f>IF((COUNT(R146:R$146,T146:T$146)=0),NA(),IF(ISBLANK(R146),S145,(S145+(R146-T145))))</f>
        <v>#N/A:explicit</v>
      </c>
      <c s="550" r="T146"/>
      <c t="str" s="620" r="U146">
        <f>IF(OR(ISBLANK(T146),ISNUMBER(R147)),NA(),(S146-T146))</f>
        <v>#N/A:explicit</v>
      </c>
      <c t="b" s="895" r="V146">
        <v>0</v>
      </c>
      <c s="631" r="W146"/>
      <c t="str" s="236" r="X146">
        <f>IF((COUNT(Q146:Q$146)=0),NA(),IF(ISBLANK(Q146),IF(ISBLANK(Q145),MAX(Q$46:Q146),Q145),Q146))</f>
        <v>#N/A:explicit</v>
      </c>
      <c t="str" s="529" r="Y146">
        <f>IF(ISNA(U146),IF(ISNUMBER(X146),Y145,NA()),U146)</f>
        <v>#N/A:explicit</v>
      </c>
      <c s="529" r="Z146">
        <f>IF(ISNUMBER(Y146),Y146,(S$46+1000))</f>
        <v>1000</v>
      </c>
      <c t="str" s="159" r="AA146">
        <f>IF((V146=TRUE),NA(),IF((AA$44=(S$46-MAX(T$46:T$146))),NA(),AA$44))</f>
        <v>#N/A:explicit</v>
      </c>
      <c s="159" r="AB146">
        <f>IF((ISNA(((Y146*X146)*Y145))),0,(IF((X146&lt;X145),-1,1)*(IF((V145=FALSE),IF((V146=FALSE),IF(ISNA(Y146),0,IF((Y145&lt;AA$44),IF((Y146&lt;AA$44),(((X146-X145)^2)^0.5),(((((AA$44-Y145)*(X146-X145))/(Y146-Y145))^2)^0.5)),IF((Y146&lt;AA$44),(((((AA$44-Y146)*(X146-X145))/(Y145-Y146))^2)^0.5),0))),0),0))))</f>
        <v>0</v>
      </c>
      <c s="159" r="AC146">
        <f>IF(ISNA((Y146*Y145)),0,IF((V145=FALSE),IF((V146=FALSE),IF(ISNA(U146),0,IF((Y145&lt;AA$44),IF((Y146&lt;AA$44),((AA$44-((Y145+Y146)*0.5))*AB146),(((AA$44-Y145)*0.5)*AB146)),IF((Y146&lt;AA$44),(((AA$44-Y146)*0.5)*AB146),0))),0),0))</f>
        <v>0</v>
      </c>
      <c s="159" r="AD146">
        <f>IF(ISNA((Y146*Y145)),0,IF((V145=FALSE),IF((V146=FALSE),IF(ISNA(Y146),0,IF((Y145&lt;AA$44),IF((Y146&lt;AA$44),(((AB146^2)+((Y146-Y145)^2))^0.5),(((AB146^2)+((AA$44-Y145)^2))^0.5)),IF((Y146&lt;AA$44),(((AB146^2)+((AA$44-Y146)^2))^0.5),0))),0),0))</f>
        <v>0</v>
      </c>
      <c s="159" r="AE146">
        <f>IF(ISNUMBER((Y146*Y145)),IF((Y145&gt;=K$148),IF((Y146&lt;K$148),1,0),IF((Y146&gt;=K$148),IF((Y145&lt;K$148),1,0),0)),0)</f>
        <v>0</v>
      </c>
      <c s="159" r="AF146">
        <f>IF(ISNA((Y146*Y145)),0,(IF((X146&lt;X145),-1,1)*(IF(ISNA(Y146),0,IF((Y145&lt;K$148),IF((Y146&lt;K$148),(((X146-X145)^2)^0.5),(((((K$148-Y145)*(X146-X145))/(Y146-Y145))^2)^0.5)),IF((Y146&lt;K$148),(((((K$148-Y146)*(X146-X145))/(Y145-Y146))^2)^0.5),0))))))</f>
        <v>0</v>
      </c>
      <c s="751" r="AG146">
        <f>IF((AC146&gt;0),(MAX(AG$47:AG145)+1),0)</f>
        <v>0</v>
      </c>
      <c s="388" r="AH146"/>
      <c s="695" r="AI146"/>
      <c s="566" r="AJ146"/>
      <c s="566" r="AK146"/>
      <c s="566" r="AL146"/>
      <c s="566" r="AM146"/>
      <c s="704" r="AN146"/>
      <c s="550" r="AO146"/>
      <c s="550" r="AP146"/>
      <c t="str" s="620" r="AQ146">
        <f>IF((COUNT(AP146:AP$146,AR146:AR$146)=0),NA(),IF(ISBLANK(AP146),AQ145,(AQ145+(AP146-AR145))))</f>
        <v>#N/A:explicit</v>
      </c>
      <c s="550" r="AR146"/>
      <c t="str" s="620" r="AS146">
        <f>IF(OR(ISBLANK(AR146),ISNUMBER(AP147)),NA(),(AQ146-AR146))</f>
        <v>#N/A:explicit</v>
      </c>
      <c t="b" s="895" r="AT146">
        <v>0</v>
      </c>
      <c s="631" r="AU146"/>
      <c t="str" s="236" r="AV146">
        <f>IF((COUNT(AO146:AO$146)=0),NA(),IF(ISBLANK(AO146),IF(ISBLANK(AO145),MAX(AO$46:AO146),AO145),AO146))</f>
        <v>#N/A:explicit</v>
      </c>
      <c t="str" s="529" r="AW146">
        <f>IF(ISNA(AS146),IF(ISNUMBER(AV146),AW145,NA()),AS146)</f>
        <v>#N/A:explicit</v>
      </c>
      <c s="529" r="AX146">
        <f>IF(ISNUMBER(AW146),AW146,(AQ$46+1000))</f>
        <v>1000</v>
      </c>
      <c t="str" s="159" r="AY146">
        <f>IF((AT146=TRUE),NA(),IF((AY$44=(AQ$46-MAX(AR$46:AR$146))),NA(),AY$44))</f>
        <v>#N/A:explicit</v>
      </c>
      <c s="159" r="AZ146">
        <f>IF((ISNA(((AW146*AV146)*AW145))),0,(IF((AV146&lt;AV145),-1,1)*(IF((AT145=FALSE),IF((AT146=FALSE),IF(ISNA(AW146),0,IF((AW145&lt;AY$44),IF((AW146&lt;AY$44),(((AV146-AV145)^2)^0.5),(((((AY$44-AW145)*(AV146-AV145))/(AW146-AW145))^2)^0.5)),IF((AW146&lt;AY$44),(((((AY$44-AW146)*(AV146-AV145))/(AW145-AW146))^2)^0.5),0))),0),0))))</f>
        <v>0</v>
      </c>
      <c s="159" r="BA146">
        <f>IF(ISNA((AW146*AW145)),0,IF((AT145=FALSE),IF((AT146=FALSE),IF(ISNA(AS146),0,IF((AW145&lt;AY$44),IF((AW146&lt;AY$44),((AY$44-((AW145+AW146)*0.5))*AZ146),(((AY$44-AW145)*0.5)*AZ146)),IF((AW146&lt;AY$44),(((AY$44-AW146)*0.5)*AZ146),0))),0),0))</f>
        <v>0</v>
      </c>
      <c s="159" r="BB146">
        <f>IF(ISNA((AW146*AW145)),0,IF((AT145=FALSE),IF((AT146=FALSE),IF(ISNA(AW146),0,IF((AW145&lt;AY$44),IF((AW146&lt;AY$44),(((AZ146^2)+((AW146-AW145)^2))^0.5),(((AZ146^2)+((AY$44-AW145)^2))^0.5)),IF((AW146&lt;AY$44),(((AZ146^2)+((AY$44-AW146)^2))^0.5),0))),0),0))</f>
        <v>0</v>
      </c>
      <c s="159" r="BC146">
        <f>IF(ISNUMBER((AW146*AW145)),IF((AW145&gt;=AI$148),IF((AW146&lt;AI$148),1,0),IF((AW146&gt;=AI$148),IF((AW145&lt;AI$148),1,0),0)),0)</f>
        <v>0</v>
      </c>
      <c s="159" r="BD146">
        <f>IF(ISNA((AW146*AW145)),0,(IF((AV146&lt;AV145),-1,1)*(IF(ISNA(AW146),0,IF((AW145&lt;AI$148),IF((AW146&lt;AI$148),(((AV146-AV145)^2)^0.5),(((((AI$148-AW145)*(AV146-AV145))/(AW146-AW145))^2)^0.5)),IF((AW146&lt;AI$148),(((((AI$148-AW146)*(AV146-AV145))/(AW145-AW146))^2)^0.5),0))))))</f>
        <v>0</v>
      </c>
      <c s="751" r="BE146">
        <f>IF((BA146&gt;0),(MAX(BE$47:BE145)+1),0)</f>
        <v>0</v>
      </c>
      <c s="388" r="BF146"/>
      <c s="695" r="BG146"/>
      <c s="566" r="BH146"/>
      <c s="566" r="BI146"/>
      <c s="566" r="BJ146"/>
      <c s="566" r="BK146"/>
      <c s="704" r="BL146"/>
      <c s="550" r="BM146"/>
      <c s="550" r="BN146"/>
      <c t="str" s="620" r="BO146">
        <f>IF((COUNT(BN146:BN$146,BP146:BP$146)=0),NA(),IF(ISBLANK(BN146),BO145,(BO145+(BN146-BP145))))</f>
        <v>#N/A:explicit</v>
      </c>
      <c s="550" r="BP146"/>
      <c t="str" s="620" r="BQ146">
        <f>IF(OR(ISBLANK(BP146),ISNUMBER(BN147)),NA(),(BO146-BP146))</f>
        <v>#N/A:explicit</v>
      </c>
      <c t="b" s="895" r="BR146">
        <v>0</v>
      </c>
      <c s="631" r="BS146"/>
      <c t="str" s="236" r="BT146">
        <f>IF((COUNT(BM146:BM$146)=0),NA(),IF(ISBLANK(BM146),IF(ISBLANK(BM145),MAX(BM$46:BM146),BM145),BM146))</f>
        <v>#N/A:explicit</v>
      </c>
      <c t="str" s="529" r="BU146">
        <f>IF(ISNA(BQ146),IF(ISNUMBER(BT146),BU145,NA()),BQ146)</f>
        <v>#N/A:explicit</v>
      </c>
      <c s="529" r="BV146">
        <f>IF(ISNUMBER(BU146),BU146,(BO$46+1000))</f>
        <v>1000</v>
      </c>
      <c t="str" s="159" r="BW146">
        <f>IF((BR146=TRUE),NA(),IF((BW$44=(BO$46-MAX(BP$46:BP$146))),NA(),BW$44))</f>
        <v>#N/A:explicit</v>
      </c>
      <c s="159" r="BX146">
        <f>IF((ISNA(((BU146*BT146)*BU145))),0,(IF((BT146&lt;BT145),-1,1)*(IF((BR145=FALSE),IF((BR146=FALSE),IF(ISNA(BU146),0,IF((BU145&lt;BW$44),IF((BU146&lt;BW$44),(((BT146-BT145)^2)^0.5),(((((BW$44-BU145)*(BT146-BT145))/(BU146-BU145))^2)^0.5)),IF((BU146&lt;BW$44),(((((BW$44-BU146)*(BT146-BT145))/(BU145-BU146))^2)^0.5),0))),0),0))))</f>
        <v>0</v>
      </c>
      <c s="159" r="BY146">
        <f>IF(ISNA((BU146*BU145)),0,IF((BR145=FALSE),IF((BR146=FALSE),IF(ISNA(BQ146),0,IF((BU145&lt;BW$44),IF((BU146&lt;BW$44),((BW$44-((BU145+BU146)*0.5))*BX146),(((BW$44-BU145)*0.5)*BX146)),IF((BU146&lt;BW$44),(((BW$44-BU146)*0.5)*BX146),0))),0),0))</f>
        <v>0</v>
      </c>
      <c s="159" r="BZ146">
        <f>IF(ISNA((BU146*BU145)),0,IF((BR145=FALSE),IF((BR146=FALSE),IF(ISNA(BU146),0,IF((BU145&lt;BW$44),IF((BU146&lt;BW$44),(((BX146^2)+((BU146-BU145)^2))^0.5),(((BX146^2)+((BW$44-BU145)^2))^0.5)),IF((BU146&lt;BW$44),(((BX146^2)+((BW$44-BU146)^2))^0.5),0))),0),0))</f>
        <v>0</v>
      </c>
      <c s="159" r="CA146">
        <f>IF(ISNUMBER((BU146*BU145)),IF((BU145&gt;=BG$148),IF((BU146&lt;BG$148),1,0),IF((BU146&gt;=BG$148),IF((BU145&lt;BG$148),1,0),0)),0)</f>
        <v>0</v>
      </c>
      <c s="159" r="CB146">
        <f>IF(ISNA((BU146*BU145)),0,(IF((BT146&lt;BT145),-1,1)*(IF(ISNA(BU146),0,IF((BU145&lt;BG$148),IF((BU146&lt;BG$148),(((BT146-BT145)^2)^0.5),(((((BG$148-BU145)*(BT146-BT145))/(BU146-BU145))^2)^0.5)),IF((BU146&lt;BG$148),(((((BG$148-BU146)*(BT146-BT145))/(BU145-BU146))^2)^0.5),0))))))</f>
        <v>0</v>
      </c>
      <c s="751" r="CC146">
        <f>IF((BY146&gt;0),(MAX(CC$47:CC145)+1),0)</f>
        <v>0</v>
      </c>
      <c s="388" r="CD146"/>
      <c s="695" r="CE146"/>
      <c s="566" r="CF146"/>
      <c s="566" r="CG146"/>
      <c s="566" r="CH146"/>
      <c s="566" r="CI146"/>
      <c s="704" r="CJ146"/>
      <c s="550" r="CK146"/>
      <c s="550" r="CL146"/>
      <c t="str" s="620" r="CM146">
        <f>IF((COUNT(CL146:CL$146,CN146:CN$146)=0),NA(),IF(ISBLANK(CL146),CM145,(CM145+(CL146-CN145))))</f>
        <v>#N/A:explicit</v>
      </c>
      <c s="550" r="CN146"/>
      <c t="str" s="620" r="CO146">
        <f>IF(OR(ISBLANK(CN146),ISNUMBER(CL147)),NA(),(CM146-CN146))</f>
        <v>#N/A:explicit</v>
      </c>
      <c t="b" s="895" r="CP146">
        <v>0</v>
      </c>
      <c s="631" r="CQ146"/>
      <c t="str" s="236" r="CR146">
        <f>IF((COUNT(CK146:CK$146)=0),NA(),IF(ISBLANK(CK146),IF(ISBLANK(CK145),MAX(CK$46:CK146),CK145),CK146))</f>
        <v>#N/A:explicit</v>
      </c>
      <c t="str" s="529" r="CS146">
        <f>IF(ISNA(CO146),IF(ISNUMBER(CR146),CS145,NA()),CO146)</f>
        <v>#N/A:explicit</v>
      </c>
      <c s="529" r="CT146">
        <f>IF(ISNUMBER(CS146),CS146,(CM$46+1000))</f>
        <v>1000</v>
      </c>
      <c t="str" s="159" r="CU146">
        <f>IF((CP146=TRUE),NA(),IF((CU$44=(CM$46-MAX(CN$46:CN$146))),NA(),CU$44))</f>
        <v>#N/A:explicit</v>
      </c>
      <c s="159" r="CV146">
        <f>IF((ISNA(((CS146*CR146)*CS145))),0,(IF((CR146&lt;CR145),-1,1)*(IF((CP145=FALSE),IF((CP146=FALSE),IF(ISNA(CS146),0,IF((CS145&lt;CU$44),IF((CS146&lt;CU$44),(((CR146-CR145)^2)^0.5),(((((CU$44-CS145)*(CR146-CR145))/(CS146-CS145))^2)^0.5)),IF((CS146&lt;CU$44),(((((CU$44-CS146)*(CR146-CR145))/(CS145-CS146))^2)^0.5),0))),0),0))))</f>
        <v>0</v>
      </c>
      <c s="159" r="CW146">
        <f>IF(ISNA((CS146*CS145)),0,IF((CP145=FALSE),IF((CP146=FALSE),IF(ISNA(CO146),0,IF((CS145&lt;CU$44),IF((CS146&lt;CU$44),((CU$44-((CS145+CS146)*0.5))*CV146),(((CU$44-CS145)*0.5)*CV146)),IF((CS146&lt;CU$44),(((CU$44-CS146)*0.5)*CV146),0))),0),0))</f>
        <v>0</v>
      </c>
      <c s="159" r="CX146">
        <f>IF(ISNA((CS146*CS145)),0,IF((CP145=FALSE),IF((CP146=FALSE),IF(ISNA(CS146),0,IF((CS145&lt;CU$44),IF((CS146&lt;CU$44),(((CV146^2)+((CS146-CS145)^2))^0.5),(((CV146^2)+((CU$44-CS145)^2))^0.5)),IF((CS146&lt;CU$44),(((CV146^2)+((CU$44-CS146)^2))^0.5),0))),0),0))</f>
        <v>0</v>
      </c>
      <c s="159" r="CY146">
        <f>IF(ISNUMBER((CS146*CS145)),IF((CS145&gt;=CE$148),IF((CS146&lt;CE$148),1,0),IF((CS146&gt;=CE$148),IF((CS145&lt;CE$148),1,0),0)),0)</f>
        <v>0</v>
      </c>
      <c s="159" r="CZ146">
        <f>IF(ISNA((CS146*CS145)),0,(IF((CR146&lt;CR145),-1,1)*(IF(ISNA(CS146),0,IF((CS145&lt;CE$148),IF((CS146&lt;CE$148),(((CR146-CR145)^2)^0.5),(((((CE$148-CS145)*(CR146-CR145))/(CS146-CS145))^2)^0.5)),IF((CS146&lt;CE$148),(((((CE$148-CS146)*(CR146-CR145))/(CS145-CS146))^2)^0.5),0))))))</f>
        <v>0</v>
      </c>
      <c s="751" r="DA146">
        <f>IF((CW146&gt;0),(MAX(DA$47:DA145)+1),0)</f>
        <v>0</v>
      </c>
      <c s="388" r="DB146"/>
      <c s="695" r="DC146"/>
      <c s="566" r="DD146"/>
      <c s="566" r="DE146"/>
      <c s="566" r="DF146"/>
      <c s="566" r="DG146"/>
      <c s="704" r="DH146"/>
      <c s="550" r="DI146"/>
      <c s="550" r="DJ146"/>
      <c t="str" s="620" r="DK146">
        <f>IF((COUNT(DJ146:DJ$146,DL146:DL$146)=0),NA(),IF(ISBLANK(DJ146),DK145,(DK145+(DJ146-DL145))))</f>
        <v>#N/A:explicit</v>
      </c>
      <c s="550" r="DL146"/>
      <c t="str" s="620" r="DM146">
        <f>IF(OR(ISBLANK(DL146),ISNUMBER(DJ147)),NA(),(DK146-DL146))</f>
        <v>#N/A:explicit</v>
      </c>
      <c t="b" s="895" r="DN146">
        <v>0</v>
      </c>
      <c s="631" r="DO146"/>
      <c t="str" s="236" r="DP146">
        <f>IF((COUNT(DI146:DI$146)=0),NA(),IF(ISBLANK(DI146),IF(ISBLANK(DI145),MAX(DI$46:DI146),DI145),DI146))</f>
        <v>#N/A:explicit</v>
      </c>
      <c t="str" s="529" r="DQ146">
        <f>IF(ISNA(DM146),IF(ISNUMBER(DP146),DQ145,NA()),DM146)</f>
        <v>#N/A:explicit</v>
      </c>
      <c s="529" r="DR146">
        <f>IF(ISNUMBER(DQ146),DQ146,(DK$46+1000))</f>
        <v>1000</v>
      </c>
      <c t="str" s="159" r="DS146">
        <f>IF((DN146=TRUE),NA(),IF((DS$44=(DK$46-MAX(DL$46:DL$146))),NA(),DS$44))</f>
        <v>#N/A:explicit</v>
      </c>
      <c s="159" r="DT146">
        <f>IF((ISNA(((DQ146*DP146)*DQ145))),0,(IF((DP146&lt;DP145),-1,1)*(IF((DN145=FALSE),IF((DN146=FALSE),IF(ISNA(DQ146),0,IF((DQ145&lt;DS$44),IF((DQ146&lt;DS$44),(((DP146-DP145)^2)^0.5),(((((DS$44-DQ145)*(DP146-DP145))/(DQ146-DQ145))^2)^0.5)),IF((DQ146&lt;DS$44),(((((DS$44-DQ146)*(DP146-DP145))/(DQ145-DQ146))^2)^0.5),0))),0),0))))</f>
        <v>0</v>
      </c>
      <c s="159" r="DU146">
        <f>IF(ISNA((DQ146*DQ145)),0,IF((DN145=FALSE),IF((DN146=FALSE),IF(ISNA(DM146),0,IF((DQ145&lt;DS$44),IF((DQ146&lt;DS$44),((DS$44-((DQ145+DQ146)*0.5))*DT146),(((DS$44-DQ145)*0.5)*DT146)),IF((DQ146&lt;DS$44),(((DS$44-DQ146)*0.5)*DT146),0))),0),0))</f>
        <v>0</v>
      </c>
      <c s="159" r="DV146">
        <f>IF(ISNA((DQ146*DQ145)),0,IF((DN145=FALSE),IF((DN146=FALSE),IF(ISNA(DQ146),0,IF((DQ145&lt;DS$44),IF((DQ146&lt;DS$44),(((DT146^2)+((DQ146-DQ145)^2))^0.5),(((DT146^2)+((DS$44-DQ145)^2))^0.5)),IF((DQ146&lt;DS$44),(((DT146^2)+((DS$44-DQ146)^2))^0.5),0))),0),0))</f>
        <v>0</v>
      </c>
      <c s="159" r="DW146">
        <f>IF(ISNUMBER((DQ146*DQ145)),IF((DQ145&gt;=DC$148),IF((DQ146&lt;DC$148),1,0),IF((DQ146&gt;=DC$148),IF((DQ145&lt;DC$148),1,0),0)),0)</f>
        <v>0</v>
      </c>
      <c s="159" r="DX146">
        <f>IF(ISNA((DQ146*DQ145)),0,(IF((DP146&lt;DP145),-1,1)*(IF(ISNA(DQ146),0,IF((DQ145&lt;DC$148),IF((DQ146&lt;DC$148),(((DP146-DP145)^2)^0.5),(((((DC$148-DQ145)*(DP146-DP145))/(DQ146-DQ145))^2)^0.5)),IF((DQ146&lt;DC$148),(((((DC$148-DQ146)*(DP146-DP145))/(DQ145-DQ146))^2)^0.5),0))))))</f>
        <v>0</v>
      </c>
      <c s="751" r="DY146">
        <f>IF((DU146&gt;0),(MAX(DY$47:DY145)+1),0)</f>
        <v>0</v>
      </c>
      <c s="388" r="DZ146"/>
      <c s="695" r="EA146"/>
      <c s="566" r="EB146"/>
      <c s="566" r="EC146"/>
      <c s="566" r="ED146"/>
      <c s="566" r="EE146"/>
      <c s="704" r="EF146"/>
      <c s="550" r="EG146"/>
      <c s="550" r="EH146"/>
      <c t="str" s="620" r="EI146">
        <f>IF((COUNT(EH146:EH$146,EJ146:EJ$146)=0),NA(),IF(ISBLANK(EH146),EI145,(EI145+(EH146-EJ145))))</f>
        <v>#N/A:explicit</v>
      </c>
      <c s="550" r="EJ146"/>
      <c t="str" s="620" r="EK146">
        <f>IF(OR(ISBLANK(EJ146),ISNUMBER(EH147)),NA(),(EI146-EJ146))</f>
        <v>#N/A:explicit</v>
      </c>
      <c t="b" s="895" r="EL146">
        <v>0</v>
      </c>
      <c s="631" r="EM146"/>
      <c t="str" s="236" r="EN146">
        <f>IF((COUNT(EG146:EG$146)=0),NA(),IF(ISBLANK(EG146),IF(ISBLANK(EG145),MAX(EG$46:EG146),EG145),EG146))</f>
        <v>#N/A:explicit</v>
      </c>
      <c t="str" s="529" r="EO146">
        <f>IF(ISNA(EK146),IF(ISNUMBER(EN146),EO145,NA()),EK146)</f>
        <v>#N/A:explicit</v>
      </c>
      <c s="529" r="EP146">
        <f>IF(ISNUMBER(EO146),EO146,(EI$46+1000))</f>
        <v>1000</v>
      </c>
      <c t="str" s="159" r="EQ146">
        <f>IF((EL146=TRUE),NA(),IF((EQ$44=(EI$46-MAX(EJ$46:EJ$146))),NA(),EQ$44))</f>
        <v>#N/A:explicit</v>
      </c>
      <c s="159" r="ER146">
        <f>IF((ISNA(((EO146*EN146)*EO145))),0,(IF((EN146&lt;EN145),-1,1)*(IF((EL145=FALSE),IF((EL146=FALSE),IF(ISNA(EO146),0,IF((EO145&lt;EQ$44),IF((EO146&lt;EQ$44),(((EN146-EN145)^2)^0.5),(((((EQ$44-EO145)*(EN146-EN145))/(EO146-EO145))^2)^0.5)),IF((EO146&lt;EQ$44),(((((EQ$44-EO146)*(EN146-EN145))/(EO145-EO146))^2)^0.5),0))),0),0))))</f>
        <v>0</v>
      </c>
      <c s="159" r="ES146">
        <f>IF(ISNA((EO146*EO145)),0,IF((EL145=FALSE),IF((EL146=FALSE),IF(ISNA(EK146),0,IF((EO145&lt;EQ$44),IF((EO146&lt;EQ$44),((EQ$44-((EO145+EO146)*0.5))*ER146),(((EQ$44-EO145)*0.5)*ER146)),IF((EO146&lt;EQ$44),(((EQ$44-EO146)*0.5)*ER146),0))),0),0))</f>
        <v>0</v>
      </c>
      <c s="159" r="ET146">
        <f>IF(ISNA((EO146*EO145)),0,IF((EL145=FALSE),IF((EL146=FALSE),IF(ISNA(EO146),0,IF((EO145&lt;EQ$44),IF((EO146&lt;EQ$44),(((ER146^2)+((EO146-EO145)^2))^0.5),(((ER146^2)+((EQ$44-EO145)^2))^0.5)),IF((EO146&lt;EQ$44),(((ER146^2)+((EQ$44-EO146)^2))^0.5),0))),0),0))</f>
        <v>0</v>
      </c>
      <c s="159" r="EU146">
        <f>IF(ISNUMBER((EO146*EO145)),IF((EO145&gt;=EA$148),IF((EO146&lt;EA$148),1,0),IF((EO146&gt;=EA$148),IF((EO145&lt;EA$148),1,0),0)),0)</f>
        <v>0</v>
      </c>
      <c s="159" r="EV146">
        <f>IF(ISNA((EO146*EO145)),0,(IF((EN146&lt;EN145),-1,1)*(IF(ISNA(EO146),0,IF((EO145&lt;EA$148),IF((EO146&lt;EA$148),(((EN146-EN145)^2)^0.5),(((((EA$148-EO145)*(EN146-EN145))/(EO146-EO145))^2)^0.5)),IF((EO146&lt;EA$148),(((((EA$148-EO146)*(EN146-EN145))/(EO145-EO146))^2)^0.5),0))))))</f>
        <v>0</v>
      </c>
      <c s="751" r="EW146">
        <f>IF((ES146&gt;0),(MAX(EW$47:EW145)+1),0)</f>
        <v>0</v>
      </c>
      <c s="388" r="EX146"/>
      <c s="695" r="EY146"/>
      <c s="566" r="EZ146"/>
      <c s="566" r="FA146"/>
      <c s="566" r="FB146"/>
      <c s="566" r="FC146"/>
      <c s="704" r="FD146"/>
      <c s="550" r="FE146"/>
      <c s="550" r="FF146"/>
      <c t="str" s="620" r="FG146">
        <f>IF((COUNT(FF146:FF$146,FH146:FH$146)=0),NA(),IF(ISBLANK(FF146),FG145,(FG145+(FF146-FH145))))</f>
        <v>#N/A:explicit</v>
      </c>
      <c s="550" r="FH146"/>
      <c t="str" s="620" r="FI146">
        <f>IF(OR(ISBLANK(FH146),ISNUMBER(FF147)),NA(),(FG146-FH146))</f>
        <v>#N/A:explicit</v>
      </c>
      <c t="b" s="895" r="FJ146">
        <v>0</v>
      </c>
      <c s="631" r="FK146"/>
      <c t="str" s="236" r="FL146">
        <f>IF((COUNT(FE146:FE$146)=0),NA(),IF(ISBLANK(FE146),IF(ISBLANK(FE145),MAX(FE$46:FE146),FE145),FE146))</f>
        <v>#N/A:explicit</v>
      </c>
      <c t="str" s="529" r="FM146">
        <f>IF(ISNA(FI146),IF(ISNUMBER(FL146),FM145,NA()),FI146)</f>
        <v>#N/A:explicit</v>
      </c>
      <c s="529" r="FN146">
        <f>IF(ISNUMBER(FM146),FM146,(FG$46+1000))</f>
        <v>1000</v>
      </c>
      <c t="str" s="159" r="FO146">
        <f>IF((FJ146=TRUE),NA(),IF((FO$44=(FG$46-MAX(FH$46:FH$146))),NA(),FO$44))</f>
        <v>#N/A:explicit</v>
      </c>
      <c s="159" r="FP146">
        <f>IF((ISNA(((FM146*FL146)*FM145))),0,(IF((FL146&lt;FL145),-1,1)*(IF((FJ145=FALSE),IF((FJ146=FALSE),IF(ISNA(FM146),0,IF((FM145&lt;FO$44),IF((FM146&lt;FO$44),(((FL146-FL145)^2)^0.5),(((((FO$44-FM145)*(FL146-FL145))/(FM146-FM145))^2)^0.5)),IF((FM146&lt;FO$44),(((((FO$44-FM146)*(FL146-FL145))/(FM145-FM146))^2)^0.5),0))),0),0))))</f>
        <v>0</v>
      </c>
      <c s="159" r="FQ146">
        <f>IF(ISNA((FM146*FM145)),0,IF((FJ145=FALSE),IF((FJ146=FALSE),IF(ISNA(FI146),0,IF((FM145&lt;FO$44),IF((FM146&lt;FO$44),((FO$44-((FM145+FM146)*0.5))*FP146),(((FO$44-FM145)*0.5)*FP146)),IF((FM146&lt;FO$44),(((FO$44-FM146)*0.5)*FP146),0))),0),0))</f>
        <v>0</v>
      </c>
      <c s="159" r="FR146">
        <f>IF(ISNA((FM146*FM145)),0,IF((FJ145=FALSE),IF((FJ146=FALSE),IF(ISNA(FM146),0,IF((FM145&lt;FO$44),IF((FM146&lt;FO$44),(((FP146^2)+((FM146-FM145)^2))^0.5),(((FP146^2)+((FO$44-FM145)^2))^0.5)),IF((FM146&lt;FO$44),(((FP146^2)+((FO$44-FM146)^2))^0.5),0))),0),0))</f>
        <v>0</v>
      </c>
      <c s="159" r="FS146">
        <f>IF(ISNUMBER((FM146*FM145)),IF((FM145&gt;=EY$148),IF((FM146&lt;EY$148),1,0),IF((FM146&gt;=EY$148),IF((FM145&lt;EY$148),1,0),0)),0)</f>
        <v>0</v>
      </c>
      <c s="159" r="FT146">
        <f>IF(ISNA((FM146*FM145)),0,(IF((FL146&lt;FL145),-1,1)*(IF(ISNA(FM146),0,IF((FM145&lt;EY$148),IF((FM146&lt;EY$148),(((FL146-FL145)^2)^0.5),(((((EY$148-FM145)*(FL146-FL145))/(FM146-FM145))^2)^0.5)),IF((FM146&lt;EY$148),(((((EY$148-FM146)*(FL146-FL145))/(FM145-FM146))^2)^0.5),0))))))</f>
        <v>0</v>
      </c>
      <c s="751" r="FU146">
        <f>IF((FQ146&gt;0),(MAX(FU$47:FU145)+1),0)</f>
        <v>0</v>
      </c>
      <c s="222" r="FV146"/>
      <c s="125" r="FW146"/>
      <c s="125" r="FX146"/>
      <c s="125" r="FY146"/>
      <c s="125" r="FZ146"/>
      <c s="125" r="GA146"/>
      <c s="125" r="GB146"/>
      <c s="125" r="GC146"/>
      <c s="125" r="GD146"/>
      <c s="125" r="GE146"/>
      <c s="125" r="GF146"/>
      <c s="125" r="GG146"/>
      <c s="125" r="GH146"/>
      <c s="125" r="GI146"/>
      <c s="125" r="GJ146"/>
      <c s="125" r="GK146"/>
      <c s="125" r="GL146"/>
      <c s="125" r="GM146"/>
      <c s="125" r="GN146"/>
      <c s="125" r="GO146"/>
      <c s="125" r="GP146"/>
      <c s="125" r="GQ146"/>
      <c s="125" r="GR146"/>
      <c s="125" r="GS146"/>
      <c s="125" r="GT146"/>
      <c s="125" r="GU146"/>
      <c s="125" r="GV146"/>
      <c s="125" r="GW146"/>
      <c s="125" r="GX146"/>
      <c s="125" r="GY146"/>
      <c s="125" r="GZ146"/>
      <c s="125" r="HA146"/>
      <c s="125" r="HB146"/>
    </row>
    <row customHeight="1" s="125" customFormat="1" r="147" ht="14.25">
      <c s="125" r="A147"/>
      <c s="125" r="B147"/>
      <c s="125" r="C147"/>
      <c s="125" r="D147"/>
      <c s="125" r="E147"/>
      <c s="125" r="F147"/>
      <c s="125" r="G147"/>
      <c s="125" r="H147"/>
      <c s="125" r="I147"/>
      <c s="822" r="J147"/>
      <c t="s" s="64" r="K147">
        <v>607</v>
      </c>
      <c t="b" s="517" r="L147">
        <v>1</v>
      </c>
      <c t="s" s="517" r="M147">
        <v>608</v>
      </c>
      <c t="b" s="517" r="N147">
        <v>1</v>
      </c>
      <c s="462" r="O147"/>
      <c s="462" r="P147"/>
      <c s="517" r="Q147"/>
      <c s="517" r="R147"/>
      <c t="s" s="517" r="S147">
        <v>609</v>
      </c>
      <c s="70" r="T147"/>
      <c t="s" s="517" r="U147">
        <v>610</v>
      </c>
      <c t="s" s="844" r="V147">
        <v>611</v>
      </c>
      <c s="70" r="W147"/>
      <c s="70" r="X147"/>
      <c s="70" r="Y147"/>
      <c s="70" r="Z147"/>
      <c t="str" s="484" r="AA147">
        <f>IF(ISBLANK(N49),IF(ISNUMBER(O49),(((TRUNC((O49/100))&amp;" + ")&amp;ROUND((O49-(TRUNC((O49/100))*100)),2))&amp;"   "),"  "),(((TRUNC((N49/100))&amp;" + ")&amp;ROUND((N49-(TRUNC((N49/100))*100)),2))&amp;"    "))</f>
        <v>  </v>
      </c>
      <c s="70" r="AB147"/>
      <c t="s" s="844" r="AC147">
        <v>612</v>
      </c>
      <c t="s" s="70" r="AD147">
        <v>613</v>
      </c>
      <c s="844" r="AE147"/>
      <c s="844" r="AF147"/>
      <c s="603" r="AG147"/>
      <c s="431" r="AH147"/>
      <c t="s" s="64" r="AI147">
        <v>607</v>
      </c>
      <c t="b" s="517" r="AJ147">
        <v>1</v>
      </c>
      <c t="s" s="517" r="AK147">
        <v>608</v>
      </c>
      <c t="b" s="517" r="AL147">
        <v>1</v>
      </c>
      <c s="462" r="AM147"/>
      <c s="462" r="AN147"/>
      <c s="517" r="AO147"/>
      <c s="517" r="AP147"/>
      <c t="s" s="517" r="AQ147">
        <v>609</v>
      </c>
      <c s="70" r="AR147"/>
      <c t="s" s="517" r="AS147">
        <v>610</v>
      </c>
      <c t="s" s="844" r="AT147">
        <v>611</v>
      </c>
      <c s="70" r="AU147"/>
      <c s="70" r="AV147"/>
      <c s="70" r="AW147"/>
      <c s="70" r="AX147"/>
      <c t="str" s="484" r="AY147">
        <f>IF(ISBLANK(AL49),IF(ISNUMBER(AM49),(((TRUNC((AM49/100))&amp;" + ")&amp;ROUND((AM49-(TRUNC((AM49/100))*100)),2))&amp;"   "),"  "),(((TRUNC((AL49/100))&amp;" + ")&amp;ROUND((AL49-(TRUNC((AL49/100))*100)),2))&amp;"    "))</f>
        <v>  </v>
      </c>
      <c s="70" r="AZ147"/>
      <c t="s" s="844" r="BA147">
        <v>612</v>
      </c>
      <c t="s" s="70" r="BB147">
        <v>613</v>
      </c>
      <c s="844" r="BC147"/>
      <c s="844" r="BD147"/>
      <c s="603" r="BE147"/>
      <c s="431" r="BF147"/>
      <c t="s" s="64" r="BG147">
        <v>607</v>
      </c>
      <c t="b" s="517" r="BH147">
        <v>1</v>
      </c>
      <c t="s" s="517" r="BI147">
        <v>608</v>
      </c>
      <c t="b" s="517" r="BJ147">
        <v>1</v>
      </c>
      <c s="462" r="BK147"/>
      <c s="462" r="BL147"/>
      <c s="517" r="BM147"/>
      <c s="517" r="BN147"/>
      <c t="s" s="517" r="BO147">
        <v>609</v>
      </c>
      <c s="70" r="BP147"/>
      <c t="s" s="517" r="BQ147">
        <v>610</v>
      </c>
      <c t="s" s="844" r="BR147">
        <v>611</v>
      </c>
      <c s="70" r="BS147"/>
      <c s="70" r="BT147"/>
      <c s="70" r="BU147"/>
      <c s="70" r="BV147"/>
      <c t="str" s="484" r="BW147">
        <f>IF(ISBLANK(BJ49),IF(ISNUMBER(BK49),(((TRUNC((BK49/100))&amp;" + ")&amp;ROUND((BK49-(TRUNC((BK49/100))*100)),2))&amp;"   "),"  "),(((TRUNC((BJ49/100))&amp;" + ")&amp;ROUND((BJ49-(TRUNC((BJ49/100))*100)),2))&amp;"    "))</f>
        <v>  </v>
      </c>
      <c s="70" r="BX147"/>
      <c t="s" s="844" r="BY147">
        <v>612</v>
      </c>
      <c t="s" s="70" r="BZ147">
        <v>613</v>
      </c>
      <c s="844" r="CA147"/>
      <c s="844" r="CB147"/>
      <c s="603" r="CC147"/>
      <c s="431" r="CD147"/>
      <c t="s" s="64" r="CE147">
        <v>607</v>
      </c>
      <c t="b" s="517" r="CF147">
        <v>1</v>
      </c>
      <c t="s" s="517" r="CG147">
        <v>608</v>
      </c>
      <c t="b" s="517" r="CH147">
        <v>1</v>
      </c>
      <c s="462" r="CI147"/>
      <c s="462" r="CJ147"/>
      <c s="517" r="CK147"/>
      <c s="517" r="CL147"/>
      <c t="s" s="517" r="CM147">
        <v>609</v>
      </c>
      <c s="70" r="CN147"/>
      <c t="s" s="517" r="CO147">
        <v>610</v>
      </c>
      <c t="s" s="844" r="CP147">
        <v>611</v>
      </c>
      <c s="70" r="CQ147"/>
      <c s="70" r="CR147"/>
      <c s="70" r="CS147"/>
      <c s="70" r="CT147"/>
      <c t="str" s="484" r="CU147">
        <f>IF(ISBLANK(CH49),IF(ISNUMBER(CI49),(((TRUNC((CI49/100))&amp;" + ")&amp;ROUND((CI49-(TRUNC((CI49/100))*100)),2))&amp;"   "),"  "),(((TRUNC((CH49/100))&amp;" + ")&amp;ROUND((CH49-(TRUNC((CH49/100))*100)),2))&amp;"    "))</f>
        <v>  </v>
      </c>
      <c s="70" r="CV147"/>
      <c t="s" s="844" r="CW147">
        <v>612</v>
      </c>
      <c t="s" s="70" r="CX147">
        <v>613</v>
      </c>
      <c s="844" r="CY147"/>
      <c s="844" r="CZ147"/>
      <c s="603" r="DA147"/>
      <c s="431" r="DB147"/>
      <c t="s" s="64" r="DC147">
        <v>607</v>
      </c>
      <c t="b" s="517" r="DD147">
        <v>1</v>
      </c>
      <c t="s" s="517" r="DE147">
        <v>608</v>
      </c>
      <c t="b" s="517" r="DF147">
        <v>1</v>
      </c>
      <c s="462" r="DG147"/>
      <c s="462" r="DH147"/>
      <c s="517" r="DI147"/>
      <c s="517" r="DJ147"/>
      <c t="s" s="517" r="DK147">
        <v>609</v>
      </c>
      <c s="70" r="DL147"/>
      <c t="s" s="517" r="DM147">
        <v>610</v>
      </c>
      <c t="s" s="844" r="DN147">
        <v>611</v>
      </c>
      <c s="70" r="DO147"/>
      <c s="70" r="DP147"/>
      <c s="70" r="DQ147"/>
      <c s="70" r="DR147"/>
      <c t="str" s="484" r="DS147">
        <f>IF(ISBLANK(DF49),IF(ISNUMBER(DG49),(((TRUNC((DG49/100))&amp;" + ")&amp;ROUND((DG49-(TRUNC((DG49/100))*100)),2))&amp;"   "),"  "),(((TRUNC((DF49/100))&amp;" + ")&amp;ROUND((DF49-(TRUNC((DF49/100))*100)),2))&amp;"    "))</f>
        <v>  </v>
      </c>
      <c s="70" r="DT147"/>
      <c t="s" s="844" r="DU147">
        <v>612</v>
      </c>
      <c t="s" s="70" r="DV147">
        <v>613</v>
      </c>
      <c s="844" r="DW147"/>
      <c s="844" r="DX147"/>
      <c s="603" r="DY147"/>
      <c s="431" r="DZ147"/>
      <c t="s" s="64" r="EA147">
        <v>607</v>
      </c>
      <c t="b" s="517" r="EB147">
        <v>1</v>
      </c>
      <c t="s" s="517" r="EC147">
        <v>608</v>
      </c>
      <c t="b" s="517" r="ED147">
        <v>1</v>
      </c>
      <c s="462" r="EE147"/>
      <c s="462" r="EF147"/>
      <c s="517" r="EG147"/>
      <c s="517" r="EH147"/>
      <c t="s" s="517" r="EI147">
        <v>609</v>
      </c>
      <c s="70" r="EJ147"/>
      <c t="s" s="517" r="EK147">
        <v>610</v>
      </c>
      <c t="s" s="844" r="EL147">
        <v>611</v>
      </c>
      <c s="70" r="EM147"/>
      <c s="70" r="EN147"/>
      <c s="70" r="EO147"/>
      <c s="70" r="EP147"/>
      <c t="str" s="484" r="EQ147">
        <f>IF(ISBLANK(ED49),IF(ISNUMBER(EE49),(((TRUNC((EE49/100))&amp;" + ")&amp;ROUND((EE49-(TRUNC((EE49/100))*100)),2))&amp;"   "),"  "),(((TRUNC((ED49/100))&amp;" + ")&amp;ROUND((ED49-(TRUNC((ED49/100))*100)),2))&amp;"    "))</f>
        <v>  </v>
      </c>
      <c s="70" r="ER147"/>
      <c t="s" s="844" r="ES147">
        <v>612</v>
      </c>
      <c t="s" s="70" r="ET147">
        <v>613</v>
      </c>
      <c s="844" r="EU147"/>
      <c s="844" r="EV147"/>
      <c s="603" r="EW147"/>
      <c s="431" r="EX147"/>
      <c t="s" s="64" r="EY147">
        <v>607</v>
      </c>
      <c t="b" s="517" r="EZ147">
        <v>1</v>
      </c>
      <c t="s" s="517" r="FA147">
        <v>608</v>
      </c>
      <c t="b" s="517" r="FB147">
        <v>1</v>
      </c>
      <c s="462" r="FC147"/>
      <c s="462" r="FD147"/>
      <c s="517" r="FE147"/>
      <c s="517" r="FF147"/>
      <c t="s" s="517" r="FG147">
        <v>609</v>
      </c>
      <c s="70" r="FH147"/>
      <c t="s" s="517" r="FI147">
        <v>610</v>
      </c>
      <c t="s" s="844" r="FJ147">
        <v>611</v>
      </c>
      <c s="70" r="FK147"/>
      <c s="70" r="FL147"/>
      <c s="70" r="FM147"/>
      <c s="70" r="FN147"/>
      <c t="str" s="484" r="FO147">
        <f>IF(ISBLANK(FB49),IF(ISNUMBER(FC49),(((TRUNC((FC49/100))&amp;" + ")&amp;ROUND((FC49-(TRUNC((FC49/100))*100)),2))&amp;"   "),"  "),(((TRUNC((FB49/100))&amp;" + ")&amp;ROUND((FB49-(TRUNC((FB49/100))*100)),2))&amp;"    "))</f>
        <v>  </v>
      </c>
      <c s="70" r="FP147"/>
      <c t="s" s="844" r="FQ147">
        <v>612</v>
      </c>
      <c t="s" s="70" r="FR147">
        <v>613</v>
      </c>
      <c s="844" r="FS147"/>
      <c s="844" r="FT147"/>
      <c s="603" r="FU147"/>
      <c s="139" r="FV147"/>
      <c s="125" r="FW147"/>
      <c s="125" r="FX147"/>
      <c s="125" r="FY147"/>
      <c s="125" r="FZ147"/>
      <c s="125" r="GA147"/>
      <c s="125" r="GB147"/>
      <c s="125" r="GC147"/>
      <c s="125" r="GD147"/>
      <c s="125" r="GE147"/>
      <c s="125" r="GF147"/>
      <c s="125" r="GG147"/>
      <c s="125" r="GH147"/>
      <c s="125" r="GI147"/>
      <c s="125" r="GJ147"/>
      <c s="125" r="GK147"/>
      <c s="125" r="GL147"/>
      <c s="125" r="GM147"/>
      <c s="125" r="GN147"/>
      <c s="125" r="GO147"/>
      <c s="125" r="GP147"/>
      <c s="125" r="GQ147"/>
      <c s="125" r="GR147"/>
      <c s="125" r="GS147"/>
      <c s="125" r="GT147"/>
      <c s="125" r="GU147"/>
      <c s="125" r="GV147"/>
      <c s="125" r="GW147"/>
      <c s="125" r="GX147"/>
      <c s="125" r="GY147"/>
      <c s="125" r="GZ147"/>
      <c s="125" r="HA147"/>
      <c s="125" r="HB147"/>
    </row>
    <row customHeight="1" s="125" customFormat="1" r="148" ht="14.25">
      <c s="125" r="A148"/>
      <c s="125" r="B148"/>
      <c s="125" r="C148"/>
      <c s="125" r="D148"/>
      <c s="125" r="E148"/>
      <c s="125" r="F148"/>
      <c s="125" r="G148"/>
      <c s="125" r="H148"/>
      <c s="125" r="I148"/>
      <c s="822" r="J148"/>
      <c t="str" s="878" r="K148">
        <f>IF(AND(ISNUMBER(AA44),(L147=TRUE)),(S148+AA44),NA())</f>
        <v>#N/A:explicit</v>
      </c>
      <c s="649" r="L148"/>
      <c t="s" s="649" r="M148">
        <v>614</v>
      </c>
      <c t="s" s="649" r="N148">
        <v>615</v>
      </c>
      <c t="s" s="728" r="O148">
        <v>616</v>
      </c>
      <c t="s" s="728" r="P148">
        <v>617</v>
      </c>
      <c s="649" r="Q148"/>
      <c s="649" r="R148"/>
      <c s="649" r="S148">
        <f>IF((AC148=1),L29,IF((AC148=3),L29,IF(ISNUMBER($E47),$E47,IF(ISNUMBER($E46),$E46,0))))</f>
        <v>0</v>
      </c>
      <c s="234" r="T148"/>
      <c t="str" s="208" r="U148">
        <f>IF(ISNUMBER(L36),(((IF((V148=2),(1000*9.81),62.4)*L36)*(T35/100))/L27),"---")</f>
        <v>---</v>
      </c>
      <c s="285" r="V148">
        <f>Summary!$J4</f>
        <v>1</v>
      </c>
      <c s="234" r="W148"/>
      <c s="234" r="X148"/>
      <c s="234" r="Y148"/>
      <c s="234" r="Z148"/>
      <c t="str" s="634" r="AA148">
        <f>IF(($D$73="---")," ",($D$73&amp;", "))</f>
        <v> </v>
      </c>
      <c s="234" r="AB148"/>
      <c s="177" r="AC148">
        <v>1</v>
      </c>
      <c t="s" s="234" r="AD148">
        <v>618</v>
      </c>
      <c s="177" r="AE148"/>
      <c s="728" r="AF148"/>
      <c s="581" r="AG148"/>
      <c s="431" r="AH148"/>
      <c t="str" s="878" r="AI148">
        <f>IF(AND(ISNUMBER(AY44),(AJ147=TRUE)),(AQ148+AY44),NA())</f>
        <v>#N/A:explicit</v>
      </c>
      <c s="649" r="AJ148"/>
      <c t="s" s="649" r="AK148">
        <v>614</v>
      </c>
      <c t="s" s="649" r="AL148">
        <v>615</v>
      </c>
      <c t="s" s="728" r="AM148">
        <v>616</v>
      </c>
      <c t="s" s="728" r="AN148">
        <v>617</v>
      </c>
      <c s="649" r="AO148"/>
      <c s="649" r="AP148"/>
      <c s="649" r="AQ148">
        <f>IF((BA148=1),AJ29,IF((BA148=3),AJ29,IF(ISNUMBER($E47),$E47,IF(ISNUMBER($E46),$E46,0))))</f>
        <v>0</v>
      </c>
      <c s="234" r="AR148"/>
      <c t="str" s="208" r="AS148">
        <f>IF(ISNUMBER(AJ36),(((62.4*AJ36)*(AR35/100))/AJ27),"---")</f>
        <v>---</v>
      </c>
      <c s="285" r="AT148">
        <f>Summary!$J4</f>
        <v>1</v>
      </c>
      <c s="234" r="AU148"/>
      <c s="234" r="AV148"/>
      <c s="234" r="AW148"/>
      <c s="234" r="AX148"/>
      <c t="str" s="634" r="AY148">
        <f>IF(($D$73="---")," ",($D$73&amp;", "))</f>
        <v> </v>
      </c>
      <c s="234" r="AZ148"/>
      <c s="177" r="BA148">
        <v>1</v>
      </c>
      <c t="s" s="234" r="BB148">
        <v>618</v>
      </c>
      <c s="177" r="BC148"/>
      <c s="728" r="BD148"/>
      <c s="581" r="BE148"/>
      <c s="431" r="BF148"/>
      <c t="str" s="878" r="BG148">
        <f>IF(AND(ISNUMBER(BW44),(BH147=TRUE)),(BO148+BW44),NA())</f>
        <v>#N/A:explicit</v>
      </c>
      <c s="649" r="BH148"/>
      <c t="s" s="649" r="BI148">
        <v>614</v>
      </c>
      <c t="s" s="649" r="BJ148">
        <v>615</v>
      </c>
      <c t="s" s="728" r="BK148">
        <v>616</v>
      </c>
      <c t="s" s="728" r="BL148">
        <v>617</v>
      </c>
      <c s="649" r="BM148"/>
      <c s="649" r="BN148"/>
      <c s="649" r="BO148">
        <f>IF((BY148=1),BH29,IF((BY148=3),BH29,IF(ISNUMBER($E47),$E47,IF(ISNUMBER($E46),$E46,0))))</f>
        <v>0</v>
      </c>
      <c s="234" r="BP148"/>
      <c t="str" s="208" r="BQ148">
        <f>IF(ISNUMBER(BH36),(((62.4*BH36)*(BP35/100))/BH27),"---")</f>
        <v>---</v>
      </c>
      <c s="285" r="BR148">
        <f>Summary!$J4</f>
        <v>1</v>
      </c>
      <c s="234" r="BS148"/>
      <c s="234" r="BT148"/>
      <c s="234" r="BU148"/>
      <c s="234" r="BV148"/>
      <c t="str" s="634" r="BW148">
        <f>IF(($D$73="---")," ",($D$73&amp;", "))</f>
        <v> </v>
      </c>
      <c s="234" r="BX148"/>
      <c s="177" r="BY148">
        <v>1</v>
      </c>
      <c t="s" s="234" r="BZ148">
        <v>618</v>
      </c>
      <c s="177" r="CA148"/>
      <c s="728" r="CB148"/>
      <c s="581" r="CC148"/>
      <c s="431" r="CD148"/>
      <c t="str" s="878" r="CE148">
        <f>IF(AND(ISNUMBER(CU44),(CF147=TRUE)),(CM148+CU44),NA())</f>
        <v>#N/A:explicit</v>
      </c>
      <c s="649" r="CF148"/>
      <c t="s" s="649" r="CG148">
        <v>614</v>
      </c>
      <c t="s" s="649" r="CH148">
        <v>615</v>
      </c>
      <c t="s" s="728" r="CI148">
        <v>616</v>
      </c>
      <c t="s" s="728" r="CJ148">
        <v>617</v>
      </c>
      <c s="649" r="CK148"/>
      <c s="649" r="CL148"/>
      <c s="649" r="CM148">
        <f>IF((CW148=1),CF29,IF((CW148=3),CF29,IF(ISNUMBER($E47),$E47,IF(ISNUMBER($E46),$E46,0))))</f>
        <v>0</v>
      </c>
      <c s="234" r="CN148"/>
      <c t="str" s="208" r="CO148">
        <f>IF(ISNUMBER(CF36),(((62.4*CF36)*(CN35/100))/CF27),"---")</f>
        <v>---</v>
      </c>
      <c s="285" r="CP148">
        <f>Summary!$J4</f>
        <v>1</v>
      </c>
      <c s="234" r="CQ148"/>
      <c s="234" r="CR148"/>
      <c s="234" r="CS148"/>
      <c s="234" r="CT148"/>
      <c t="str" s="634" r="CU148">
        <f>IF(($D$73="---")," ",($D$73&amp;", "))</f>
        <v> </v>
      </c>
      <c s="234" r="CV148"/>
      <c s="177" r="CW148">
        <v>1</v>
      </c>
      <c t="s" s="234" r="CX148">
        <v>618</v>
      </c>
      <c s="177" r="CY148"/>
      <c s="728" r="CZ148"/>
      <c s="581" r="DA148"/>
      <c s="431" r="DB148"/>
      <c t="str" s="878" r="DC148">
        <f>IF(AND(ISNUMBER(DS44),(DD147=TRUE)),(DK148+DS44),NA())</f>
        <v>#N/A:explicit</v>
      </c>
      <c s="649" r="DD148"/>
      <c t="s" s="649" r="DE148">
        <v>614</v>
      </c>
      <c t="s" s="649" r="DF148">
        <v>615</v>
      </c>
      <c t="s" s="728" r="DG148">
        <v>616</v>
      </c>
      <c t="s" s="728" r="DH148">
        <v>617</v>
      </c>
      <c s="649" r="DI148"/>
      <c s="649" r="DJ148"/>
      <c s="649" r="DK148">
        <f>IF((DU148=1),DD29,IF((DU148=3),DD29,IF(ISNUMBER($E47),$E47,IF(ISNUMBER($E46),$E46,0))))</f>
        <v>0</v>
      </c>
      <c s="234" r="DL148"/>
      <c t="str" s="208" r="DM148">
        <f>IF(ISNUMBER(DD36),(((62.4*DD36)*(DL35/100))/DD27),"---")</f>
        <v>---</v>
      </c>
      <c s="285" r="DN148">
        <f>Summary!$J4</f>
        <v>1</v>
      </c>
      <c s="234" r="DO148"/>
      <c s="234" r="DP148"/>
      <c s="234" r="DQ148"/>
      <c s="234" r="DR148"/>
      <c t="str" s="634" r="DS148">
        <f>IF(($D$73="---")," ",($D$73&amp;", "))</f>
        <v> </v>
      </c>
      <c s="234" r="DT148"/>
      <c s="177" r="DU148">
        <v>1</v>
      </c>
      <c t="s" s="234" r="DV148">
        <v>618</v>
      </c>
      <c s="177" r="DW148"/>
      <c s="728" r="DX148"/>
      <c s="581" r="DY148"/>
      <c s="431" r="DZ148"/>
      <c t="str" s="878" r="EA148">
        <f>IF(AND(ISNUMBER(EQ44),(EB147=TRUE)),(EI148+EQ44),NA())</f>
        <v>#N/A:explicit</v>
      </c>
      <c s="649" r="EB148"/>
      <c t="s" s="649" r="EC148">
        <v>614</v>
      </c>
      <c t="s" s="649" r="ED148">
        <v>615</v>
      </c>
      <c t="s" s="728" r="EE148">
        <v>616</v>
      </c>
      <c t="s" s="728" r="EF148">
        <v>617</v>
      </c>
      <c s="649" r="EG148"/>
      <c s="649" r="EH148"/>
      <c s="649" r="EI148">
        <f>IF((ES148=1),EB29,IF((ES148=3),EB29,IF(ISNUMBER($E47),$E47,IF(ISNUMBER($E46),$E46,0))))</f>
        <v>0</v>
      </c>
      <c s="234" r="EJ148"/>
      <c t="str" s="208" r="EK148">
        <f>IF(ISNUMBER(EB36),(((62.4*EB36)*(EJ35/100))/EB27),"---")</f>
        <v>---</v>
      </c>
      <c s="285" r="EL148">
        <f>Summary!$J4</f>
        <v>1</v>
      </c>
      <c s="234" r="EM148"/>
      <c s="234" r="EN148"/>
      <c s="234" r="EO148"/>
      <c s="234" r="EP148"/>
      <c t="str" s="634" r="EQ148">
        <f>IF(($D$73="---")," ",($D$73&amp;", "))</f>
        <v> </v>
      </c>
      <c s="234" r="ER148"/>
      <c s="177" r="ES148">
        <v>1</v>
      </c>
      <c t="s" s="234" r="ET148">
        <v>618</v>
      </c>
      <c s="177" r="EU148"/>
      <c s="728" r="EV148"/>
      <c s="581" r="EW148"/>
      <c s="431" r="EX148"/>
      <c t="str" s="878" r="EY148">
        <f>IF(AND(ISNUMBER(FO44),(EZ147=TRUE)),(FG148+FO44),NA())</f>
        <v>#N/A:explicit</v>
      </c>
      <c s="649" r="EZ148"/>
      <c t="s" s="649" r="FA148">
        <v>614</v>
      </c>
      <c t="s" s="649" r="FB148">
        <v>615</v>
      </c>
      <c t="s" s="728" r="FC148">
        <v>616</v>
      </c>
      <c t="s" s="728" r="FD148">
        <v>617</v>
      </c>
      <c s="649" r="FE148"/>
      <c s="649" r="FF148"/>
      <c s="649" r="FG148">
        <f>IF((FQ148=1),EZ29,IF((FQ148=3),EZ29,IF(ISNUMBER($E47),$E47,IF(ISNUMBER($E46),$E46,0))))</f>
        <v>0</v>
      </c>
      <c s="234" r="FH148"/>
      <c t="str" s="208" r="FI148">
        <f>IF(ISNUMBER(EZ36),(((62.4*EZ36)*(FH35/100))/EZ27),"---")</f>
        <v>---</v>
      </c>
      <c s="285" r="FJ148">
        <f>Summary!$J4</f>
        <v>1</v>
      </c>
      <c s="234" r="FK148"/>
      <c s="234" r="FL148"/>
      <c s="234" r="FM148"/>
      <c s="234" r="FN148"/>
      <c t="str" s="634" r="FO148">
        <f>IF(($D$73="---")," ",($D$73&amp;", "))</f>
        <v> </v>
      </c>
      <c s="234" r="FP148"/>
      <c s="177" r="FQ148">
        <v>1</v>
      </c>
      <c t="s" s="234" r="FR148">
        <v>618</v>
      </c>
      <c s="177" r="FS148"/>
      <c s="728" r="FT148"/>
      <c s="581" r="FU148"/>
      <c s="139" r="FV148"/>
      <c s="125" r="FW148"/>
      <c s="125" r="FX148"/>
      <c s="125" r="FY148"/>
      <c s="125" r="FZ148"/>
      <c s="125" r="GA148"/>
      <c s="125" r="GB148"/>
      <c s="125" r="GC148"/>
      <c s="125" r="GD148"/>
      <c s="125" r="GE148"/>
      <c s="125" r="GF148"/>
      <c s="125" r="GG148"/>
      <c s="125" r="GH148"/>
      <c s="125" r="GI148"/>
      <c s="125" r="GJ148"/>
      <c s="125" r="GK148"/>
      <c s="125" r="GL148"/>
      <c s="125" r="GM148"/>
      <c s="125" r="GN148"/>
      <c s="125" r="GO148"/>
      <c s="125" r="GP148"/>
      <c s="125" r="GQ148"/>
      <c s="125" r="GR148"/>
      <c s="125" r="GS148"/>
      <c s="125" r="GT148"/>
      <c s="125" r="GU148"/>
      <c s="125" r="GV148"/>
      <c s="125" r="GW148"/>
      <c s="125" r="GX148"/>
      <c s="125" r="GY148"/>
      <c s="125" r="GZ148"/>
      <c s="125" r="HA148"/>
      <c s="125" r="HB148"/>
    </row>
    <row customHeight="1" s="125" customFormat="1" r="149" ht="14.25">
      <c s="125" r="A149"/>
      <c s="125" r="B149"/>
      <c s="125" r="C149"/>
      <c s="125" r="D149"/>
      <c s="125" r="E149"/>
      <c s="125" r="F149"/>
      <c s="125" r="G149"/>
      <c s="125" r="H149"/>
      <c s="125" r="I149"/>
      <c s="822" r="J149"/>
      <c s="535" r="K149">
        <f>MIN(Q46:Q146)</f>
        <v>0</v>
      </c>
      <c t="str" s="649" r="L149">
        <f>IF(AND(ISNUMBER(AA44),(L147=TRUE)),(S148+AA44),NA())</f>
        <v>#N/A:explicit</v>
      </c>
      <c s="649" r="M149">
        <f>MIN(Q46:Q146)</f>
        <v>0</v>
      </c>
      <c t="str" s="728" r="N149">
        <f>IF((N147=TRUE),AG45,NA())</f>
        <v>#N/A:explicit</v>
      </c>
      <c t="str" s="649" r="O149">
        <f>INDEX(Q46:Q146,(1+MATCH(MAX(AG47:AG146),AG47:AG146,0)))</f>
        <v/>
      </c>
      <c t="str" s="728" r="P149">
        <f>N149</f>
        <v>#N/A:explicit</v>
      </c>
      <c s="649" r="Q149"/>
      <c s="649" r="R149"/>
      <c s="234" r="S149"/>
      <c s="234" r="T149"/>
      <c s="234" r="U149"/>
      <c s="177" r="V149"/>
      <c s="234" r="W149"/>
      <c s="234" r="X149"/>
      <c s="234" r="Y149"/>
      <c s="234" r="Z149"/>
      <c t="str" s="634" r="AA149">
        <f>IF((AC148=1),AD147,IF((AC148=2),AD148,IF((AC148=3),AD149,IF((AC148=4),AD150,"---"))))</f>
        <v>Riffle</v>
      </c>
      <c s="234" r="AB149"/>
      <c s="177" r="AC149"/>
      <c t="s" s="234" r="AD149">
        <v>619</v>
      </c>
      <c s="177" r="AE149"/>
      <c s="728" r="AF149"/>
      <c s="581" r="AG149"/>
      <c s="431" r="AH149"/>
      <c s="535" r="AI149">
        <f>MIN(AO46:AO146)</f>
        <v>0</v>
      </c>
      <c t="str" s="649" r="AJ149">
        <f>IF(AND(ISNUMBER(AY44),(AJ147=TRUE)),(AQ148+AY44),NA())</f>
        <v>#N/A:explicit</v>
      </c>
      <c s="649" r="AK149">
        <f>MIN(AO46:AO146)</f>
        <v>0</v>
      </c>
      <c t="str" s="728" r="AL149">
        <f>IF((AL147=TRUE),BE45,NA())</f>
        <v>#N/A:explicit</v>
      </c>
      <c t="str" s="649" r="AM149">
        <f>INDEX(AO46:AO146,(1+MATCH(MAX(BE47:BE146),BE47:BE146,0)))</f>
        <v/>
      </c>
      <c t="str" s="728" r="AN149">
        <f>AL149</f>
        <v>#N/A:explicit</v>
      </c>
      <c s="649" r="AO149"/>
      <c s="649" r="AP149"/>
      <c s="234" r="AQ149"/>
      <c s="234" r="AR149"/>
      <c s="234" r="AS149"/>
      <c s="177" r="AT149"/>
      <c s="234" r="AU149"/>
      <c s="234" r="AV149"/>
      <c s="234" r="AW149"/>
      <c s="234" r="AX149"/>
      <c t="str" s="634" r="AY149">
        <f>IF((BA148=1),BB147,IF((BA148=2),BB148,IF((BA148=3),BB149,IF((BA148=4),BB150,"---"))))</f>
        <v>Riffle</v>
      </c>
      <c s="234" r="AZ149"/>
      <c s="177" r="BA149"/>
      <c t="s" s="234" r="BB149">
        <v>619</v>
      </c>
      <c s="177" r="BC149"/>
      <c s="728" r="BD149"/>
      <c s="581" r="BE149"/>
      <c s="431" r="BF149"/>
      <c s="535" r="BG149">
        <f>MIN(BM46:BM146)</f>
        <v>0</v>
      </c>
      <c t="str" s="649" r="BH149">
        <f>IF(AND(ISNUMBER(BW44),(BH147=TRUE)),(BO148+BW44),NA())</f>
        <v>#N/A:explicit</v>
      </c>
      <c s="649" r="BI149">
        <f>MIN(BM46:BM146)</f>
        <v>0</v>
      </c>
      <c t="str" s="728" r="BJ149">
        <f>IF((BJ147=TRUE),CC45,NA())</f>
        <v>#N/A:explicit</v>
      </c>
      <c t="str" s="649" r="BK149">
        <f>INDEX(BM46:BM146,(1+MATCH(MAX(CC47:CC146),CC47:CC146,0)))</f>
        <v/>
      </c>
      <c t="str" s="728" r="BL149">
        <f>BJ149</f>
        <v>#N/A:explicit</v>
      </c>
      <c s="649" r="BM149"/>
      <c s="649" r="BN149"/>
      <c s="234" r="BO149"/>
      <c s="234" r="BP149"/>
      <c s="234" r="BQ149"/>
      <c s="177" r="BR149"/>
      <c s="234" r="BS149"/>
      <c s="234" r="BT149"/>
      <c s="234" r="BU149"/>
      <c s="234" r="BV149"/>
      <c t="str" s="634" r="BW149">
        <f>IF((BY148=1),BZ147,IF((BY148=2),BZ148,IF((BY148=3),BZ149,IF((BY148=4),BZ150,"---"))))</f>
        <v>Riffle</v>
      </c>
      <c s="234" r="BX149"/>
      <c s="177" r="BY149"/>
      <c t="s" s="234" r="BZ149">
        <v>619</v>
      </c>
      <c s="177" r="CA149"/>
      <c s="728" r="CB149"/>
      <c s="581" r="CC149"/>
      <c s="431" r="CD149"/>
      <c s="535" r="CE149">
        <f>MIN(CK46:CK146)</f>
        <v>0</v>
      </c>
      <c t="str" s="649" r="CF149">
        <f>IF(AND(ISNUMBER(CU44),(CF147=TRUE)),(CM148+CU44),NA())</f>
        <v>#N/A:explicit</v>
      </c>
      <c s="649" r="CG149">
        <f>MIN(CK46:CK146)</f>
        <v>0</v>
      </c>
      <c t="str" s="728" r="CH149">
        <f>IF((CH147=TRUE),DA45,NA())</f>
        <v>#N/A:explicit</v>
      </c>
      <c t="str" s="649" r="CI149">
        <f>INDEX(CK46:CK146,(1+MATCH(MAX(DA47:DA146),DA47:DA146,0)))</f>
        <v/>
      </c>
      <c t="str" s="728" r="CJ149">
        <f>CH149</f>
        <v>#N/A:explicit</v>
      </c>
      <c s="649" r="CK149"/>
      <c s="649" r="CL149"/>
      <c s="234" r="CM149"/>
      <c s="234" r="CN149"/>
      <c s="234" r="CO149"/>
      <c s="177" r="CP149"/>
      <c s="234" r="CQ149"/>
      <c s="234" r="CR149"/>
      <c s="234" r="CS149"/>
      <c s="234" r="CT149"/>
      <c t="str" s="634" r="CU149">
        <f>IF((CW148=1),CX147,IF((CW148=2),CX148,IF((CW148=3),CX149,IF((CW148=4),CX150,"---"))))</f>
        <v>Riffle</v>
      </c>
      <c s="234" r="CV149"/>
      <c s="177" r="CW149"/>
      <c t="s" s="234" r="CX149">
        <v>619</v>
      </c>
      <c s="177" r="CY149"/>
      <c s="728" r="CZ149"/>
      <c s="581" r="DA149"/>
      <c s="431" r="DB149"/>
      <c s="535" r="DC149">
        <f>MIN(DI46:DI146)</f>
        <v>0</v>
      </c>
      <c t="str" s="649" r="DD149">
        <f>IF(AND(ISNUMBER(DS44),(DD147=TRUE)),(DK148+DS44),NA())</f>
        <v>#N/A:explicit</v>
      </c>
      <c s="649" r="DE149">
        <f>MIN(DI46:DI146)</f>
        <v>0</v>
      </c>
      <c t="str" s="728" r="DF149">
        <f>IF((DF147=TRUE),DY45,NA())</f>
        <v>#N/A:explicit</v>
      </c>
      <c t="str" s="649" r="DG149">
        <f>INDEX(DI46:DI146,(1+MATCH(MAX(DY47:DY146),DY47:DY146,0)))</f>
        <v/>
      </c>
      <c t="str" s="728" r="DH149">
        <f>DF149</f>
        <v>#N/A:explicit</v>
      </c>
      <c s="649" r="DI149"/>
      <c s="649" r="DJ149"/>
      <c s="234" r="DK149"/>
      <c s="234" r="DL149"/>
      <c s="234" r="DM149"/>
      <c s="177" r="DN149"/>
      <c s="234" r="DO149"/>
      <c s="234" r="DP149"/>
      <c s="234" r="DQ149"/>
      <c s="234" r="DR149"/>
      <c t="str" s="634" r="DS149">
        <f>IF((DU148=1),DV147,IF((DU148=2),DV148,IF((DU148=3),DV149,IF((DU148=4),DV150,"---"))))</f>
        <v>Riffle</v>
      </c>
      <c s="234" r="DT149"/>
      <c s="177" r="DU149"/>
      <c t="s" s="234" r="DV149">
        <v>619</v>
      </c>
      <c s="177" r="DW149"/>
      <c s="728" r="DX149"/>
      <c s="581" r="DY149"/>
      <c s="431" r="DZ149"/>
      <c s="535" r="EA149">
        <f>MIN(EG46:EG146)</f>
        <v>0</v>
      </c>
      <c t="str" s="649" r="EB149">
        <f>IF(AND(ISNUMBER(EQ44),(EB147=TRUE)),(EI148+EQ44),NA())</f>
        <v>#N/A:explicit</v>
      </c>
      <c s="649" r="EC149">
        <f>MIN(EG46:EG146)</f>
        <v>0</v>
      </c>
      <c t="str" s="728" r="ED149">
        <f>IF((ED147=TRUE),EW45,NA())</f>
        <v>#N/A:explicit</v>
      </c>
      <c t="str" s="649" r="EE149">
        <f>INDEX(EG46:EG146,(1+MATCH(MAX(EW47:EW146),EW47:EW146,0)))</f>
        <v/>
      </c>
      <c t="str" s="728" r="EF149">
        <f>ED149</f>
        <v>#N/A:explicit</v>
      </c>
      <c s="649" r="EG149"/>
      <c s="649" r="EH149"/>
      <c s="234" r="EI149"/>
      <c s="234" r="EJ149"/>
      <c s="234" r="EK149"/>
      <c s="177" r="EL149"/>
      <c s="234" r="EM149"/>
      <c s="234" r="EN149"/>
      <c s="234" r="EO149"/>
      <c s="234" r="EP149"/>
      <c t="str" s="634" r="EQ149">
        <f>IF((ES148=1),ET147,IF((ES148=2),ET148,IF((ES148=3),ET149,IF((ES148=4),ET150,"---"))))</f>
        <v>Riffle</v>
      </c>
      <c s="234" r="ER149"/>
      <c s="177" r="ES149"/>
      <c t="s" s="234" r="ET149">
        <v>619</v>
      </c>
      <c s="177" r="EU149"/>
      <c s="728" r="EV149"/>
      <c s="581" r="EW149"/>
      <c s="431" r="EX149"/>
      <c s="535" r="EY149">
        <f>MIN(FE46:FE146)</f>
        <v>0</v>
      </c>
      <c t="str" s="649" r="EZ149">
        <f>IF(AND(ISNUMBER(FO44),(EZ147=TRUE)),(FG148+FO44),NA())</f>
        <v>#N/A:explicit</v>
      </c>
      <c s="649" r="FA149">
        <f>MIN(FE46:FE146)</f>
        <v>0</v>
      </c>
      <c t="str" s="728" r="FB149">
        <f>IF((FB147=TRUE),FU45,NA())</f>
        <v>#N/A:explicit</v>
      </c>
      <c t="str" s="649" r="FC149">
        <f>INDEX(FE46:FE146,(1+MATCH(MAX(FU47:FU146),FU47:FU146,0)))</f>
        <v/>
      </c>
      <c t="str" s="728" r="FD149">
        <f>FB149</f>
        <v>#N/A:explicit</v>
      </c>
      <c s="649" r="FE149"/>
      <c s="649" r="FF149"/>
      <c s="234" r="FG149"/>
      <c s="234" r="FH149"/>
      <c s="234" r="FI149"/>
      <c s="177" r="FJ149"/>
      <c s="234" r="FK149"/>
      <c s="234" r="FL149"/>
      <c s="234" r="FM149"/>
      <c s="234" r="FN149"/>
      <c t="str" s="634" r="FO149">
        <f>IF((FQ148=1),FR147,IF((FQ148=2),FR148,IF((FQ148=3),FR149,IF((FQ148=4),FR150,"---"))))</f>
        <v>Riffle</v>
      </c>
      <c s="234" r="FP149"/>
      <c s="177" r="FQ149"/>
      <c t="s" s="234" r="FR149">
        <v>619</v>
      </c>
      <c s="177" r="FS149"/>
      <c s="728" r="FT149"/>
      <c s="581" r="FU149"/>
      <c s="139" r="FV149"/>
      <c s="125" r="FW149"/>
      <c s="125" r="FX149"/>
      <c s="125" r="FY149"/>
      <c s="125" r="FZ149"/>
      <c s="125" r="GA149"/>
      <c s="125" r="GB149"/>
      <c s="125" r="GC149"/>
      <c s="125" r="GD149"/>
      <c s="125" r="GE149"/>
      <c s="125" r="GF149"/>
      <c s="125" r="GG149"/>
      <c s="125" r="GH149"/>
      <c s="125" r="GI149"/>
      <c s="125" r="GJ149"/>
      <c s="125" r="GK149"/>
      <c s="125" r="GL149"/>
      <c s="125" r="GM149"/>
      <c s="125" r="GN149"/>
      <c s="125" r="GO149"/>
      <c s="125" r="GP149"/>
      <c s="125" r="GQ149"/>
      <c s="125" r="GR149"/>
      <c s="125" r="GS149"/>
      <c s="125" r="GT149"/>
      <c s="125" r="GU149"/>
      <c s="125" r="GV149"/>
      <c s="125" r="GW149"/>
      <c s="125" r="GX149"/>
      <c s="125" r="GY149"/>
      <c s="125" r="GZ149"/>
      <c s="125" r="HA149"/>
      <c s="125" r="HB149"/>
    </row>
    <row customHeight="1" s="125" customFormat="1" r="150" ht="14.25">
      <c s="125" r="A150"/>
      <c s="125" r="B150"/>
      <c s="125" r="C150"/>
      <c s="125" r="D150"/>
      <c s="125" r="E150"/>
      <c s="125" r="F150"/>
      <c s="125" r="G150"/>
      <c s="125" r="H150"/>
      <c s="125" r="I150"/>
      <c s="822" r="J150"/>
      <c s="535" r="K150">
        <f>MAX(Q46:Q146)</f>
        <v>0</v>
      </c>
      <c t="str" s="11" r="L150">
        <f>K148</f>
        <v>#N/A:explicit</v>
      </c>
      <c t="str" s="649" r="M150">
        <f>INDEX(Q46:Q146,MATCH(1,AG47:AG147,0))</f>
        <v>#N/A:lookupNotFound:1</v>
      </c>
      <c t="str" s="728" r="N150">
        <f>N149</f>
        <v>#N/A:explicit</v>
      </c>
      <c s="649" r="O150">
        <f>MAX(Q46:Q146)</f>
        <v>0</v>
      </c>
      <c t="str" s="728" r="P150">
        <f>N149</f>
        <v>#N/A:explicit</v>
      </c>
      <c s="649" r="Q150"/>
      <c s="649" r="R150"/>
      <c s="728" r="S150"/>
      <c s="728" r="T150"/>
      <c s="728" r="U150"/>
      <c s="728" r="V150"/>
      <c s="234" r="W150"/>
      <c s="234" r="X150"/>
      <c s="234" r="Y150"/>
      <c s="234" r="Z150"/>
      <c t="str" s="634" r="AA150">
        <f>$D$74</f>
        <v>---</v>
      </c>
      <c s="234" r="AB150"/>
      <c s="780" r="AC150"/>
      <c t="s" s="234" r="AD150">
        <v>620</v>
      </c>
      <c s="177" r="AE150"/>
      <c s="780" r="AF150"/>
      <c s="581" r="AG150"/>
      <c s="431" r="AH150"/>
      <c s="535" r="AI150">
        <f>MAX(AO46:AO146)</f>
        <v>0</v>
      </c>
      <c t="str" s="11" r="AJ150">
        <f>AI148</f>
        <v>#N/A:explicit</v>
      </c>
      <c t="str" s="649" r="AK150">
        <f>INDEX(AO46:AO146,MATCH(1,BE47:BE147,0))</f>
        <v>#N/A:lookupNotFound:1</v>
      </c>
      <c t="str" s="728" r="AL150">
        <f>AL149</f>
        <v>#N/A:explicit</v>
      </c>
      <c s="649" r="AM150">
        <f>MAX(AO46:AO146)</f>
        <v>0</v>
      </c>
      <c t="str" s="728" r="AN150">
        <f>AL149</f>
        <v>#N/A:explicit</v>
      </c>
      <c s="649" r="AO150"/>
      <c s="649" r="AP150"/>
      <c s="728" r="AQ150"/>
      <c s="728" r="AR150"/>
      <c s="728" r="AS150"/>
      <c s="728" r="AT150"/>
      <c s="234" r="AU150"/>
      <c s="234" r="AV150"/>
      <c s="234" r="AW150"/>
      <c s="234" r="AX150"/>
      <c t="str" s="634" r="AY150">
        <f>$D$74</f>
        <v>---</v>
      </c>
      <c s="234" r="AZ150"/>
      <c s="780" r="BA150"/>
      <c t="s" s="234" r="BB150">
        <v>620</v>
      </c>
      <c s="177" r="BC150"/>
      <c s="780" r="BD150"/>
      <c s="581" r="BE150"/>
      <c s="431" r="BF150"/>
      <c s="535" r="BG150">
        <f>MAX(BM46:BM146)</f>
        <v>0</v>
      </c>
      <c t="str" s="11" r="BH150">
        <f>BG148</f>
        <v>#N/A:explicit</v>
      </c>
      <c t="str" s="649" r="BI150">
        <f>INDEX(BM46:BM146,MATCH(1,CC47:CC147,0))</f>
        <v>#N/A:lookupNotFound:1</v>
      </c>
      <c t="str" s="728" r="BJ150">
        <f>BJ149</f>
        <v>#N/A:explicit</v>
      </c>
      <c s="649" r="BK150">
        <f>MAX(BM46:BM146)</f>
        <v>0</v>
      </c>
      <c t="str" s="728" r="BL150">
        <f>BJ149</f>
        <v>#N/A:explicit</v>
      </c>
      <c s="649" r="BM150"/>
      <c s="649" r="BN150"/>
      <c s="728" r="BO150"/>
      <c s="728" r="BP150"/>
      <c s="728" r="BQ150"/>
      <c s="728" r="BR150"/>
      <c s="234" r="BS150"/>
      <c s="234" r="BT150"/>
      <c s="234" r="BU150"/>
      <c s="234" r="BV150"/>
      <c t="str" s="634" r="BW150">
        <f>$D$74</f>
        <v>---</v>
      </c>
      <c s="234" r="BX150"/>
      <c s="780" r="BY150"/>
      <c t="s" s="234" r="BZ150">
        <v>620</v>
      </c>
      <c s="177" r="CA150"/>
      <c s="780" r="CB150"/>
      <c s="581" r="CC150"/>
      <c s="431" r="CD150"/>
      <c s="535" r="CE150">
        <f>MAX(CK46:CK146)</f>
        <v>0</v>
      </c>
      <c t="str" s="11" r="CF150">
        <f>CE148</f>
        <v>#N/A:explicit</v>
      </c>
      <c t="str" s="649" r="CG150">
        <f>INDEX(CK46:CK146,MATCH(1,DA47:DA147,0))</f>
        <v>#N/A:lookupNotFound:1</v>
      </c>
      <c t="str" s="728" r="CH150">
        <f>CH149</f>
        <v>#N/A:explicit</v>
      </c>
      <c s="649" r="CI150">
        <f>MAX(CK46:CK146)</f>
        <v>0</v>
      </c>
      <c t="str" s="728" r="CJ150">
        <f>CH149</f>
        <v>#N/A:explicit</v>
      </c>
      <c s="649" r="CK150"/>
      <c s="649" r="CL150"/>
      <c s="728" r="CM150"/>
      <c s="728" r="CN150"/>
      <c s="728" r="CO150"/>
      <c s="728" r="CP150"/>
      <c s="234" r="CQ150"/>
      <c s="234" r="CR150"/>
      <c s="234" r="CS150"/>
      <c s="234" r="CT150"/>
      <c t="str" s="634" r="CU150">
        <f>$D$74</f>
        <v>---</v>
      </c>
      <c s="234" r="CV150"/>
      <c s="780" r="CW150"/>
      <c t="s" s="234" r="CX150">
        <v>620</v>
      </c>
      <c s="177" r="CY150"/>
      <c s="780" r="CZ150"/>
      <c s="581" r="DA150"/>
      <c s="431" r="DB150"/>
      <c s="535" r="DC150">
        <f>MAX(DI46:DI146)</f>
        <v>0</v>
      </c>
      <c t="str" s="11" r="DD150">
        <f>DC148</f>
        <v>#N/A:explicit</v>
      </c>
      <c t="str" s="649" r="DE150">
        <f>INDEX(DI46:DI146,MATCH(1,DY47:DY147,0))</f>
        <v>#N/A:lookupNotFound:1</v>
      </c>
      <c t="str" s="728" r="DF150">
        <f>DF149</f>
        <v>#N/A:explicit</v>
      </c>
      <c s="649" r="DG150">
        <f>MAX(DI46:DI146)</f>
        <v>0</v>
      </c>
      <c t="str" s="728" r="DH150">
        <f>DF149</f>
        <v>#N/A:explicit</v>
      </c>
      <c s="649" r="DI150"/>
      <c s="649" r="DJ150"/>
      <c s="728" r="DK150"/>
      <c s="728" r="DL150"/>
      <c s="728" r="DM150"/>
      <c s="728" r="DN150"/>
      <c s="234" r="DO150"/>
      <c s="234" r="DP150"/>
      <c s="234" r="DQ150"/>
      <c s="234" r="DR150"/>
      <c t="str" s="634" r="DS150">
        <f>$D$74</f>
        <v>---</v>
      </c>
      <c s="234" r="DT150"/>
      <c s="780" r="DU150"/>
      <c t="s" s="234" r="DV150">
        <v>620</v>
      </c>
      <c s="177" r="DW150"/>
      <c s="780" r="DX150"/>
      <c s="581" r="DY150"/>
      <c s="431" r="DZ150"/>
      <c s="535" r="EA150">
        <f>MAX(EG46:EG146)</f>
        <v>0</v>
      </c>
      <c t="str" s="11" r="EB150">
        <f>EA148</f>
        <v>#N/A:explicit</v>
      </c>
      <c t="str" s="649" r="EC150">
        <f>INDEX(EG46:EG146,MATCH(1,EW47:EW147,0))</f>
        <v>#N/A:lookupNotFound:1</v>
      </c>
      <c t="str" s="728" r="ED150">
        <f>ED149</f>
        <v>#N/A:explicit</v>
      </c>
      <c s="649" r="EE150">
        <f>MAX(EG46:EG146)</f>
        <v>0</v>
      </c>
      <c t="str" s="728" r="EF150">
        <f>ED149</f>
        <v>#N/A:explicit</v>
      </c>
      <c s="649" r="EG150"/>
      <c s="649" r="EH150"/>
      <c s="728" r="EI150"/>
      <c s="728" r="EJ150"/>
      <c s="728" r="EK150"/>
      <c s="728" r="EL150"/>
      <c s="234" r="EM150"/>
      <c s="234" r="EN150"/>
      <c s="234" r="EO150"/>
      <c s="234" r="EP150"/>
      <c t="str" s="634" r="EQ150">
        <f>$D$74</f>
        <v>---</v>
      </c>
      <c s="234" r="ER150"/>
      <c s="780" r="ES150"/>
      <c t="s" s="234" r="ET150">
        <v>620</v>
      </c>
      <c s="177" r="EU150"/>
      <c s="780" r="EV150"/>
      <c s="581" r="EW150"/>
      <c s="431" r="EX150"/>
      <c s="535" r="EY150">
        <f>MAX(FE46:FE146)</f>
        <v>0</v>
      </c>
      <c t="str" s="11" r="EZ150">
        <f>EY148</f>
        <v>#N/A:explicit</v>
      </c>
      <c t="str" s="649" r="FA150">
        <f>INDEX(FE46:FE146,MATCH(1,FU47:FU147,0))</f>
        <v>#N/A:lookupNotFound:1</v>
      </c>
      <c t="str" s="728" r="FB150">
        <f>FB149</f>
        <v>#N/A:explicit</v>
      </c>
      <c s="649" r="FC150">
        <f>MAX(FE46:FE146)</f>
        <v>0</v>
      </c>
      <c t="str" s="728" r="FD150">
        <f>FB149</f>
        <v>#N/A:explicit</v>
      </c>
      <c s="649" r="FE150"/>
      <c s="649" r="FF150"/>
      <c s="728" r="FG150"/>
      <c s="728" r="FH150"/>
      <c s="728" r="FI150"/>
      <c s="728" r="FJ150"/>
      <c s="234" r="FK150"/>
      <c s="234" r="FL150"/>
      <c s="234" r="FM150"/>
      <c s="234" r="FN150"/>
      <c t="str" s="634" r="FO150">
        <f>$D$74</f>
        <v>---</v>
      </c>
      <c s="234" r="FP150"/>
      <c s="780" r="FQ150"/>
      <c t="s" s="234" r="FR150">
        <v>620</v>
      </c>
      <c s="177" r="FS150"/>
      <c s="780" r="FT150"/>
      <c s="581" r="FU150"/>
      <c s="139" r="FV150"/>
      <c s="125" r="FW150"/>
      <c s="125" r="FX150"/>
      <c s="125" r="FY150"/>
      <c s="125" r="FZ150"/>
      <c s="125" r="GA150"/>
      <c s="125" r="GB150"/>
      <c s="125" r="GC150"/>
      <c s="125" r="GD150"/>
      <c s="125" r="GE150"/>
      <c s="125" r="GF150"/>
      <c s="125" r="GG150"/>
      <c s="125" r="GH150"/>
      <c s="125" r="GI150"/>
      <c s="125" r="GJ150"/>
      <c s="125" r="GK150"/>
      <c s="125" r="GL150"/>
      <c s="125" r="GM150"/>
      <c s="125" r="GN150"/>
      <c s="125" r="GO150"/>
      <c s="125" r="GP150"/>
      <c s="125" r="GQ150"/>
      <c s="125" r="GR150"/>
      <c s="125" r="GS150"/>
      <c s="125" r="GT150"/>
      <c s="125" r="GU150"/>
      <c s="125" r="GV150"/>
      <c s="125" r="GW150"/>
      <c s="125" r="GX150"/>
      <c s="125" r="GY150"/>
      <c s="125" r="GZ150"/>
      <c s="125" r="HA150"/>
      <c s="125" r="HB150"/>
    </row>
    <row customHeight="1" s="125" customFormat="1" r="151" ht="15.0">
      <c s="125" r="A151"/>
      <c s="125" r="B151"/>
      <c s="125" r="C151"/>
      <c s="125" r="D151"/>
      <c s="125" r="E151"/>
      <c s="125" r="F151"/>
      <c s="125" r="G151"/>
      <c s="125" r="H151"/>
      <c s="125" r="I151"/>
      <c s="822" r="J151"/>
      <c s="584" r="K151"/>
      <c s="19" r="L151"/>
      <c s="559" r="M151"/>
      <c s="655" r="N151"/>
      <c s="559" r="O151"/>
      <c s="655" r="P151"/>
      <c s="559" r="Q151"/>
      <c s="559" r="R151"/>
      <c s="655" r="S151"/>
      <c s="655" r="T151"/>
      <c s="655" r="U151"/>
      <c s="655" r="V151"/>
      <c s="558" r="W151"/>
      <c s="558" r="X151"/>
      <c s="558" r="Y151"/>
      <c s="558" r="Z151"/>
      <c s="394" r="AA151"/>
      <c s="558" r="AB151"/>
      <c s="265" r="AC151"/>
      <c s="558" r="AD151"/>
      <c s="461" r="AE151"/>
      <c s="265" r="AF151"/>
      <c s="43" r="AG151"/>
      <c s="431" r="AH151"/>
      <c s="584" r="AI151"/>
      <c s="19" r="AJ151"/>
      <c s="559" r="AK151"/>
      <c s="655" r="AL151"/>
      <c s="559" r="AM151"/>
      <c s="655" r="AN151"/>
      <c s="559" r="AO151"/>
      <c s="559" r="AP151"/>
      <c s="655" r="AQ151"/>
      <c s="655" r="AR151"/>
      <c s="655" r="AS151"/>
      <c s="655" r="AT151"/>
      <c s="558" r="AU151"/>
      <c s="558" r="AV151"/>
      <c s="558" r="AW151"/>
      <c s="558" r="AX151"/>
      <c s="394" r="AY151"/>
      <c s="558" r="AZ151"/>
      <c s="265" r="BA151"/>
      <c s="558" r="BB151"/>
      <c s="461" r="BC151"/>
      <c s="265" r="BD151"/>
      <c s="43" r="BE151"/>
      <c s="431" r="BF151"/>
      <c s="584" r="BG151"/>
      <c s="19" r="BH151"/>
      <c s="559" r="BI151"/>
      <c s="655" r="BJ151"/>
      <c s="559" r="BK151"/>
      <c s="655" r="BL151"/>
      <c s="559" r="BM151"/>
      <c s="559" r="BN151"/>
      <c s="655" r="BO151"/>
      <c s="655" r="BP151"/>
      <c s="655" r="BQ151"/>
      <c s="655" r="BR151"/>
      <c s="558" r="BS151"/>
      <c s="558" r="BT151"/>
      <c s="558" r="BU151"/>
      <c s="558" r="BV151"/>
      <c s="394" r="BW151"/>
      <c s="558" r="BX151"/>
      <c s="265" r="BY151"/>
      <c s="558" r="BZ151"/>
      <c s="461" r="CA151"/>
      <c s="265" r="CB151"/>
      <c s="43" r="CC151"/>
      <c s="431" r="CD151"/>
      <c s="584" r="CE151"/>
      <c s="19" r="CF151"/>
      <c s="559" r="CG151"/>
      <c s="655" r="CH151"/>
      <c s="559" r="CI151"/>
      <c s="655" r="CJ151"/>
      <c s="559" r="CK151"/>
      <c s="559" r="CL151"/>
      <c s="655" r="CM151"/>
      <c s="655" r="CN151"/>
      <c s="655" r="CO151"/>
      <c s="655" r="CP151"/>
      <c s="558" r="CQ151"/>
      <c s="558" r="CR151"/>
      <c s="558" r="CS151"/>
      <c s="558" r="CT151"/>
      <c s="394" r="CU151"/>
      <c s="558" r="CV151"/>
      <c s="265" r="CW151"/>
      <c s="558" r="CX151"/>
      <c s="461" r="CY151"/>
      <c s="265" r="CZ151"/>
      <c s="43" r="DA151"/>
      <c s="431" r="DB151"/>
      <c s="584" r="DC151"/>
      <c s="19" r="DD151"/>
      <c s="559" r="DE151"/>
      <c s="655" r="DF151"/>
      <c s="559" r="DG151"/>
      <c s="655" r="DH151"/>
      <c s="559" r="DI151"/>
      <c s="559" r="DJ151"/>
      <c s="655" r="DK151"/>
      <c s="655" r="DL151"/>
      <c s="655" r="DM151"/>
      <c s="655" r="DN151"/>
      <c s="558" r="DO151"/>
      <c s="558" r="DP151"/>
      <c s="558" r="DQ151"/>
      <c s="558" r="DR151"/>
      <c s="394" r="DS151"/>
      <c s="558" r="DT151"/>
      <c s="265" r="DU151"/>
      <c s="558" r="DV151"/>
      <c s="461" r="DW151"/>
      <c s="265" r="DX151"/>
      <c s="43" r="DY151"/>
      <c s="431" r="DZ151"/>
      <c s="584" r="EA151"/>
      <c s="19" r="EB151"/>
      <c s="559" r="EC151"/>
      <c s="655" r="ED151"/>
      <c s="559" r="EE151"/>
      <c s="655" r="EF151"/>
      <c s="559" r="EG151"/>
      <c s="559" r="EH151"/>
      <c s="655" r="EI151"/>
      <c s="655" r="EJ151"/>
      <c s="655" r="EK151"/>
      <c s="655" r="EL151"/>
      <c s="558" r="EM151"/>
      <c s="558" r="EN151"/>
      <c s="558" r="EO151"/>
      <c s="558" r="EP151"/>
      <c s="394" r="EQ151"/>
      <c s="558" r="ER151"/>
      <c s="265" r="ES151"/>
      <c s="558" r="ET151"/>
      <c s="461" r="EU151"/>
      <c s="265" r="EV151"/>
      <c s="43" r="EW151"/>
      <c s="431" r="EX151"/>
      <c s="584" r="EY151"/>
      <c s="19" r="EZ151"/>
      <c s="559" r="FA151"/>
      <c s="655" r="FB151"/>
      <c s="559" r="FC151"/>
      <c s="655" r="FD151"/>
      <c s="559" r="FE151"/>
      <c s="559" r="FF151"/>
      <c s="655" r="FG151"/>
      <c s="655" r="FH151"/>
      <c s="655" r="FI151"/>
      <c s="655" r="FJ151"/>
      <c s="558" r="FK151"/>
      <c s="558" r="FL151"/>
      <c s="558" r="FM151"/>
      <c s="558" r="FN151"/>
      <c s="394" r="FO151"/>
      <c s="558" r="FP151"/>
      <c s="265" r="FQ151"/>
      <c s="558" r="FR151"/>
      <c s="461" r="FS151"/>
      <c s="265" r="FT151"/>
      <c s="43" r="FU151"/>
      <c s="139" r="FV151"/>
      <c s="125" r="FW151"/>
      <c s="125" r="FX151"/>
      <c s="125" r="FY151"/>
      <c s="125" r="FZ151"/>
      <c s="125" r="GA151"/>
      <c s="125" r="GB151"/>
      <c s="125" r="GC151"/>
      <c s="125" r="GD151"/>
      <c s="125" r="GE151"/>
      <c s="125" r="GF151"/>
      <c s="125" r="GG151"/>
      <c s="125" r="GH151"/>
      <c s="125" r="GI151"/>
      <c s="125" r="GJ151"/>
      <c s="125" r="GK151"/>
      <c s="125" r="GL151"/>
      <c s="125" r="GM151"/>
      <c s="125" r="GN151"/>
      <c s="125" r="GO151"/>
      <c s="125" r="GP151"/>
      <c s="125" r="GQ151"/>
      <c s="125" r="GR151"/>
      <c s="125" r="GS151"/>
      <c s="125" r="GT151"/>
      <c s="125" r="GU151"/>
      <c s="125" r="GV151"/>
      <c s="125" r="GW151"/>
      <c s="125" r="GX151"/>
      <c s="125" r="GY151"/>
      <c s="125" r="GZ151"/>
      <c s="125" r="HA151"/>
      <c s="125" r="HB151"/>
    </row>
    <row customHeight="1" r="152" ht="13.5">
      <c s="125" r="A152"/>
      <c s="125" r="B152"/>
      <c s="125" r="C152"/>
      <c s="125" r="D152"/>
      <c s="125" r="E152"/>
      <c s="125" r="F152"/>
      <c s="125" r="G152"/>
      <c s="125" r="H152"/>
      <c s="125" r="I152"/>
      <c s="125" r="J152"/>
      <c s="442" r="K152"/>
      <c s="442" r="L152"/>
      <c s="442" r="M152"/>
      <c s="442" r="N152"/>
      <c s="442" r="O152"/>
      <c s="442" r="P152"/>
      <c s="442" r="Q152"/>
      <c s="442" r="R152"/>
      <c s="442" r="S152"/>
      <c s="442" r="T152"/>
      <c s="442" r="U152"/>
      <c s="442" r="V152"/>
      <c s="442" r="W152"/>
      <c s="442" r="X152"/>
      <c s="442" r="Y152"/>
      <c s="442" r="Z152"/>
      <c s="442" r="AA152"/>
      <c s="442" r="AB152"/>
      <c s="442" r="AC152"/>
      <c s="442" r="AD152"/>
      <c s="442" r="AE152"/>
      <c s="442" r="AF152"/>
      <c s="130" r="AG152"/>
      <c s="642" r="AH152"/>
      <c s="442" r="AI152"/>
      <c s="442" r="AJ152"/>
      <c s="442" r="AK152"/>
      <c s="442" r="AL152"/>
      <c s="442" r="AM152"/>
      <c s="442" r="AN152"/>
      <c s="442" r="AO152"/>
      <c s="442" r="AP152"/>
      <c s="442" r="AQ152"/>
      <c s="442" r="AR152"/>
      <c s="442" r="AS152"/>
      <c s="442" r="AT152"/>
      <c s="442" r="AU152"/>
      <c s="442" r="AV152"/>
      <c s="442" r="AW152"/>
      <c s="442" r="AX152"/>
      <c s="442" r="AY152"/>
      <c s="442" r="AZ152"/>
      <c s="442" r="BA152"/>
      <c s="442" r="BB152"/>
      <c s="442" r="BC152"/>
      <c s="442" r="BD152"/>
      <c s="130" r="BE152"/>
      <c s="642" r="BF152"/>
      <c s="442" r="BG152"/>
      <c s="442" r="BH152"/>
      <c s="442" r="BI152"/>
      <c s="442" r="BJ152"/>
      <c s="442" r="BK152"/>
      <c s="442" r="BL152"/>
      <c s="442" r="BM152"/>
      <c s="442" r="BN152"/>
      <c s="442" r="BO152"/>
      <c s="442" r="BP152"/>
      <c s="442" r="BQ152"/>
      <c s="442" r="BR152"/>
      <c s="442" r="BS152"/>
      <c s="442" r="BT152"/>
      <c s="442" r="BU152"/>
      <c s="442" r="BV152"/>
      <c s="442" r="BW152"/>
      <c s="442" r="BX152"/>
      <c s="442" r="BY152"/>
      <c s="442" r="BZ152"/>
      <c s="442" r="CA152"/>
      <c s="442" r="CB152"/>
      <c s="130" r="CC152"/>
      <c s="642" r="CD152"/>
      <c s="442" r="CE152"/>
      <c s="442" r="CF152"/>
      <c s="442" r="CG152"/>
      <c s="442" r="CH152"/>
      <c s="442" r="CI152"/>
      <c s="442" r="CJ152"/>
      <c s="442" r="CK152"/>
      <c s="442" r="CL152"/>
      <c s="442" r="CM152"/>
      <c s="442" r="CN152"/>
      <c s="442" r="CO152"/>
      <c s="442" r="CP152"/>
      <c s="442" r="CQ152"/>
      <c s="442" r="CR152"/>
      <c s="442" r="CS152"/>
      <c s="442" r="CT152"/>
      <c s="442" r="CU152"/>
      <c s="442" r="CV152"/>
      <c s="442" r="CW152"/>
      <c s="442" r="CX152"/>
      <c s="442" r="CY152"/>
      <c s="442" r="CZ152"/>
      <c s="130" r="DA152"/>
      <c s="642" r="DB152"/>
      <c s="442" r="DC152"/>
      <c s="442" r="DD152"/>
      <c s="442" r="DE152"/>
      <c s="442" r="DF152"/>
      <c s="442" r="DG152"/>
      <c s="442" r="DH152"/>
      <c s="442" r="DI152"/>
      <c s="442" r="DJ152"/>
      <c s="442" r="DK152"/>
      <c s="442" r="DL152"/>
      <c s="442" r="DM152"/>
      <c s="442" r="DN152"/>
      <c s="442" r="DO152"/>
      <c s="442" r="DP152"/>
      <c s="442" r="DQ152"/>
      <c s="442" r="DR152"/>
      <c s="442" r="DS152"/>
      <c s="442" r="DT152"/>
      <c s="442" r="DU152"/>
      <c s="442" r="DV152"/>
      <c s="442" r="DW152"/>
      <c s="442" r="DX152"/>
      <c s="130" r="DY152"/>
      <c s="642" r="DZ152"/>
      <c s="442" r="EA152"/>
      <c s="442" r="EB152"/>
      <c s="442" r="EC152"/>
      <c s="442" r="ED152"/>
      <c s="442" r="EE152"/>
      <c s="442" r="EF152"/>
      <c s="442" r="EG152"/>
      <c s="442" r="EH152"/>
      <c s="442" r="EI152"/>
      <c s="442" r="EJ152"/>
      <c s="442" r="EK152"/>
      <c s="442" r="EL152"/>
      <c s="442" r="EM152"/>
      <c s="442" r="EN152"/>
      <c s="442" r="EO152"/>
      <c s="442" r="EP152"/>
      <c s="442" r="EQ152"/>
      <c s="442" r="ER152"/>
      <c s="442" r="ES152"/>
      <c s="442" r="ET152"/>
      <c s="442" r="EU152"/>
      <c s="442" r="EV152"/>
      <c s="130" r="EW152"/>
      <c s="642" r="EX152"/>
      <c s="442" r="EY152"/>
      <c s="442" r="EZ152"/>
      <c s="442" r="FA152"/>
      <c s="442" r="FB152"/>
      <c s="442" r="FC152"/>
      <c s="442" r="FD152"/>
      <c s="442" r="FE152"/>
      <c s="442" r="FF152"/>
      <c s="442" r="FG152"/>
      <c s="442" r="FH152"/>
      <c s="442" r="FI152"/>
      <c s="442" r="FJ152"/>
      <c s="442" r="FK152"/>
      <c s="442" r="FL152"/>
      <c s="442" r="FM152"/>
      <c s="442" r="FN152"/>
      <c s="442" r="FO152"/>
      <c s="442" r="FP152"/>
      <c s="442" r="FQ152"/>
      <c s="442" r="FR152"/>
      <c s="442" r="FS152"/>
      <c s="442" r="FT152"/>
      <c s="130" r="FU152"/>
      <c s="642" r="FV152"/>
      <c s="125" r="FW152"/>
      <c s="125" r="FX152"/>
      <c s="125" r="FY152"/>
      <c s="125" r="FZ152"/>
      <c s="125" r="GA152"/>
      <c s="125" r="GB152"/>
      <c s="125" r="GC152"/>
      <c s="125" r="GD152"/>
      <c s="125" r="GE152"/>
      <c s="125" r="GF152"/>
      <c s="125" r="GG152"/>
      <c s="125" r="GH152"/>
      <c s="125" r="GI152"/>
      <c s="125" r="GJ152"/>
      <c s="125" r="GK152"/>
      <c s="125" r="GL152"/>
      <c s="125" r="GM152"/>
      <c s="125" r="GN152"/>
      <c s="125" r="GO152"/>
      <c s="125" r="GP152"/>
      <c s="125" r="GQ152"/>
      <c s="125" r="GR152"/>
      <c s="125" r="GS152"/>
      <c s="125" r="GT152"/>
      <c s="125" r="GU152"/>
      <c s="125" r="GV152"/>
      <c s="125" r="GW152"/>
      <c s="125" r="GX152"/>
      <c s="125" r="GY152"/>
      <c s="125" r="GZ152"/>
      <c s="125" r="HA152"/>
      <c s="125" r="HB152"/>
    </row>
    <row r="153">
      <c s="125" r="A153"/>
      <c s="125" r="B153"/>
      <c s="125" r="C153"/>
      <c s="125" r="D153"/>
      <c s="125" r="E153"/>
      <c s="125" r="F153"/>
      <c s="125" r="G153"/>
      <c s="125" r="H153"/>
      <c t="s" s="125" r="I153">
        <v>2</v>
      </c>
      <c s="125" r="J153"/>
      <c s="125" r="K153"/>
      <c s="125" r="L153"/>
      <c s="125" r="M153"/>
      <c s="125" r="N153"/>
      <c s="125" r="O153"/>
      <c s="125" r="P153"/>
      <c s="125" r="Q153"/>
      <c s="125" r="R153"/>
      <c s="125" r="S153"/>
      <c s="125" r="T153"/>
      <c s="125" r="U153"/>
      <c s="125" r="V153"/>
      <c s="125" r="W153"/>
      <c s="125" r="X153"/>
      <c s="125" r="Y153"/>
      <c s="125" r="Z153"/>
      <c s="125" r="AA153"/>
      <c s="125" r="AB153"/>
      <c s="125" r="AC153"/>
      <c s="125" r="AD153"/>
      <c s="125" r="AE153"/>
      <c s="125" r="AF153"/>
      <c s="125" r="AG153"/>
      <c s="125" r="AH153"/>
      <c s="125" r="AI153"/>
      <c s="125" r="AJ153"/>
      <c s="125" r="AK153"/>
      <c s="125" r="AL153"/>
      <c s="125" r="AM153"/>
      <c s="125" r="AN153"/>
      <c s="125" r="AO153"/>
      <c s="125" r="AP153"/>
      <c s="125" r="AQ153"/>
      <c s="125" r="AR153"/>
      <c s="125" r="AS153"/>
      <c s="125" r="AT153"/>
      <c s="125" r="AU153"/>
      <c s="125" r="AV153"/>
      <c s="125" r="AW153"/>
      <c s="125" r="AX153"/>
      <c s="125" r="AY153"/>
      <c s="125" r="AZ153"/>
      <c s="125" r="BA153"/>
      <c s="125" r="BB153"/>
      <c s="125" r="BC153"/>
      <c s="125" r="BD153"/>
      <c s="125" r="BE153"/>
      <c s="125" r="BF153"/>
      <c s="125" r="BG153"/>
      <c s="125" r="BH153"/>
      <c s="125" r="BI153"/>
      <c s="125" r="BJ153"/>
      <c s="125" r="BK153"/>
      <c s="125" r="BL153"/>
      <c s="125" r="BM153"/>
      <c s="125" r="BN153"/>
      <c s="125" r="BO153"/>
      <c s="125" r="BP153"/>
      <c s="125" r="BQ153"/>
      <c s="125" r="BR153"/>
      <c s="125" r="BS153"/>
      <c s="125" r="BT153"/>
      <c s="125" r="BU153"/>
      <c s="125" r="BV153"/>
      <c s="125" r="BW153"/>
      <c s="125" r="BX153"/>
      <c s="125" r="BY153"/>
      <c s="125" r="BZ153"/>
      <c s="125" r="CA153"/>
      <c s="125" r="CB153"/>
      <c s="642" r="CC153"/>
      <c s="642" r="CD153"/>
      <c s="125" r="CE153"/>
      <c s="125" r="CF153"/>
      <c s="125" r="CG153"/>
      <c s="125" r="CH153"/>
      <c s="125" r="CI153"/>
      <c s="125" r="CJ153"/>
      <c s="125" r="CK153"/>
      <c s="125" r="CL153"/>
      <c s="125" r="CM153"/>
      <c s="125" r="CN153"/>
      <c s="125" r="CO153"/>
      <c s="125" r="CP153"/>
      <c s="125" r="CQ153"/>
      <c s="125" r="CR153"/>
      <c s="125" r="CS153"/>
      <c s="125" r="CT153"/>
      <c s="125" r="CU153"/>
      <c s="125" r="CV153"/>
      <c s="125" r="CW153"/>
      <c s="125" r="CX153"/>
      <c s="125" r="CY153"/>
      <c s="125" r="CZ153"/>
      <c s="642" r="DA153"/>
      <c s="642" r="DB153"/>
      <c s="125" r="DC153"/>
      <c s="125" r="DD153"/>
      <c s="125" r="DE153"/>
      <c s="125" r="DF153"/>
      <c s="125" r="DG153"/>
      <c s="125" r="DH153"/>
      <c s="125" r="DI153"/>
      <c s="125" r="DJ153"/>
      <c s="125" r="DK153"/>
      <c s="125" r="DL153"/>
      <c s="125" r="DM153"/>
      <c s="125" r="DN153"/>
      <c s="125" r="DO153"/>
      <c s="125" r="DP153"/>
      <c s="125" r="DQ153"/>
      <c s="125" r="DR153"/>
      <c s="125" r="DS153"/>
      <c s="125" r="DT153"/>
      <c s="125" r="DU153"/>
      <c s="125" r="DV153"/>
      <c s="125" r="DW153"/>
      <c s="125" r="DX153"/>
      <c s="642" r="DY153"/>
      <c s="642" r="DZ153"/>
      <c s="125" r="EA153"/>
      <c s="125" r="EB153"/>
      <c s="125" r="EC153"/>
      <c s="125" r="ED153"/>
      <c s="125" r="EE153"/>
      <c s="125" r="EF153"/>
      <c s="125" r="EG153"/>
      <c s="125" r="EH153"/>
      <c s="125" r="EI153"/>
      <c s="125" r="EJ153"/>
      <c s="125" r="EK153"/>
      <c s="125" r="EL153"/>
      <c s="125" r="EM153"/>
      <c s="125" r="EN153"/>
      <c s="125" r="EO153"/>
      <c s="125" r="EP153"/>
      <c s="125" r="EQ153"/>
      <c s="125" r="ER153"/>
      <c s="125" r="ES153"/>
      <c s="125" r="ET153"/>
      <c s="125" r="EU153"/>
      <c s="125" r="EV153"/>
      <c s="642" r="EW153"/>
      <c s="642" r="EX153"/>
      <c s="125" r="EY153"/>
      <c s="125" r="EZ153"/>
      <c s="125" r="FA153"/>
      <c s="125" r="FB153"/>
      <c s="125" r="FC153"/>
      <c s="125" r="FD153"/>
      <c s="125" r="FE153"/>
      <c s="125" r="FF153"/>
      <c s="125" r="FG153"/>
      <c s="125" r="FH153"/>
      <c s="125" r="FI153"/>
      <c s="125" r="FJ153"/>
      <c s="125" r="FK153"/>
      <c s="125" r="FL153"/>
      <c s="125" r="FM153"/>
      <c s="125" r="FN153"/>
      <c s="125" r="FO153"/>
      <c s="125" r="FP153"/>
      <c s="125" r="FQ153"/>
      <c s="125" r="FR153"/>
      <c s="125" r="FS153"/>
      <c s="125" r="FT153"/>
      <c s="642" r="FU153"/>
      <c s="642" r="FV153"/>
      <c s="125" r="FW153"/>
      <c s="125" r="FX153"/>
      <c s="125" r="FY153"/>
      <c s="125" r="FZ153"/>
      <c s="125" r="GA153"/>
      <c s="125" r="GB153"/>
      <c s="125" r="GC153"/>
      <c s="125" r="GD153"/>
      <c s="125" r="GE153"/>
      <c s="125" r="GF153"/>
      <c s="125" r="GG153"/>
      <c s="125" r="GH153"/>
      <c s="125" r="GI153"/>
      <c s="125" r="GJ153"/>
      <c s="125" r="GK153"/>
      <c s="125" r="GL153"/>
      <c s="125" r="GM153"/>
      <c s="125" r="GN153"/>
      <c s="125" r="GO153"/>
      <c s="125" r="GP153"/>
      <c s="125" r="GQ153"/>
      <c s="125" r="GR153"/>
      <c s="125" r="GS153"/>
      <c s="125" r="GT153"/>
      <c s="125" r="GU153"/>
      <c s="125" r="GV153"/>
      <c s="125" r="GW153"/>
      <c s="125" r="GX153"/>
      <c s="125" r="GY153"/>
      <c s="125" r="GZ153"/>
      <c s="125" r="HA153"/>
      <c s="125" r="HB153"/>
    </row>
    <row r="154">
      <c s="125" r="A154"/>
      <c s="125" r="B154"/>
      <c s="125" r="C154"/>
      <c s="125" r="D154"/>
      <c s="125" r="E154"/>
      <c s="125" r="F154"/>
      <c s="125" r="G154"/>
      <c s="125" r="H154"/>
      <c s="125" r="I154"/>
      <c s="125" r="J154"/>
      <c s="125" r="K154"/>
      <c s="125" r="L154"/>
      <c s="125" r="M154"/>
      <c s="125" r="N154"/>
      <c s="125" r="O154"/>
      <c s="125" r="P154"/>
      <c s="125" r="Q154"/>
      <c s="125" r="R154"/>
      <c s="125" r="S154"/>
      <c s="125" r="T154"/>
      <c s="125" r="U154"/>
      <c s="125" r="V154"/>
      <c s="125" r="W154"/>
      <c s="125" r="X154"/>
      <c s="125" r="Y154"/>
      <c s="125" r="Z154"/>
      <c s="125" r="AA154"/>
      <c s="125" r="AB154"/>
      <c s="125" r="AC154"/>
      <c s="125" r="AD154"/>
      <c s="125" r="AE154"/>
      <c s="125" r="AF154"/>
      <c s="125" r="AG154"/>
      <c t="s" s="125" r="AH154">
        <v>2</v>
      </c>
      <c s="125" r="AI154"/>
      <c s="125" r="AJ154"/>
      <c s="125" r="AK154"/>
      <c s="125" r="AL154"/>
      <c s="125" r="AM154"/>
      <c s="125" r="AN154"/>
      <c s="125" r="AO154"/>
      <c s="125" r="AP154"/>
      <c s="125" r="AQ154"/>
      <c s="125" r="AR154"/>
      <c s="125" r="AS154"/>
      <c s="125" r="AT154"/>
      <c s="125" r="AU154"/>
      <c s="125" r="AV154"/>
      <c s="125" r="AW154"/>
      <c s="125" r="AX154"/>
      <c s="125" r="AY154"/>
      <c s="125" r="AZ154"/>
      <c s="125" r="BA154"/>
      <c s="125" r="BB154"/>
      <c s="125" r="BC154"/>
      <c s="125" r="BD154"/>
      <c s="125" r="BE154"/>
      <c s="125" r="BF154"/>
      <c s="125" r="BG154"/>
      <c s="125" r="BH154"/>
      <c s="125" r="BI154"/>
      <c s="125" r="BJ154"/>
      <c s="125" r="BK154"/>
      <c s="125" r="BL154"/>
      <c s="125" r="BM154"/>
      <c s="125" r="BN154"/>
      <c s="125" r="BO154"/>
      <c s="125" r="BP154"/>
      <c s="125" r="BQ154"/>
      <c s="125" r="BR154"/>
      <c s="125" r="BS154"/>
      <c s="125" r="BT154"/>
      <c s="125" r="BU154"/>
      <c s="125" r="BV154"/>
      <c s="125" r="BW154"/>
      <c s="125" r="BX154"/>
      <c s="125" r="BY154"/>
      <c s="125" r="BZ154"/>
      <c s="125" r="CA154"/>
      <c s="125" r="CB154"/>
      <c s="642" r="CC154"/>
      <c t="s" s="642" r="CD154">
        <v>2</v>
      </c>
      <c s="125" r="CE154"/>
      <c s="125" r="CF154"/>
      <c s="125" r="CG154"/>
      <c s="125" r="CH154"/>
      <c s="125" r="CI154"/>
      <c s="125" r="CJ154"/>
      <c s="125" r="CK154"/>
      <c s="125" r="CL154"/>
      <c s="125" r="CM154"/>
      <c s="125" r="CN154"/>
      <c s="125" r="CO154"/>
      <c s="125" r="CP154"/>
      <c s="125" r="CQ154"/>
      <c s="125" r="CR154"/>
      <c s="125" r="CS154"/>
      <c s="125" r="CT154"/>
      <c s="125" r="CU154"/>
      <c s="125" r="CV154"/>
      <c s="125" r="CW154"/>
      <c s="125" r="CX154"/>
      <c s="125" r="CY154"/>
      <c s="125" r="CZ154"/>
      <c s="642" r="DA154"/>
      <c t="s" s="642" r="DB154">
        <v>2</v>
      </c>
      <c s="125" r="DC154"/>
      <c s="125" r="DD154"/>
      <c s="125" r="DE154"/>
      <c s="125" r="DF154"/>
      <c s="125" r="DG154"/>
      <c s="125" r="DH154"/>
      <c s="125" r="DI154"/>
      <c s="125" r="DJ154"/>
      <c s="125" r="DK154"/>
      <c s="125" r="DL154"/>
      <c s="125" r="DM154"/>
      <c s="125" r="DN154"/>
      <c s="125" r="DO154"/>
      <c s="125" r="DP154"/>
      <c s="125" r="DQ154"/>
      <c s="125" r="DR154"/>
      <c s="125" r="DS154"/>
      <c s="125" r="DT154"/>
      <c s="125" r="DU154"/>
      <c s="125" r="DV154"/>
      <c s="125" r="DW154"/>
      <c s="125" r="DX154"/>
      <c s="642" r="DY154"/>
      <c t="s" s="642" r="DZ154">
        <v>2</v>
      </c>
      <c s="125" r="EA154"/>
      <c s="125" r="EB154"/>
      <c s="125" r="EC154"/>
      <c s="125" r="ED154"/>
      <c s="125" r="EE154"/>
      <c s="125" r="EF154"/>
      <c s="125" r="EG154"/>
      <c s="125" r="EH154"/>
      <c s="125" r="EI154"/>
      <c s="125" r="EJ154"/>
      <c s="125" r="EK154"/>
      <c s="125" r="EL154"/>
      <c s="125" r="EM154"/>
      <c s="125" r="EN154"/>
      <c s="125" r="EO154"/>
      <c s="125" r="EP154"/>
      <c s="125" r="EQ154"/>
      <c s="125" r="ER154"/>
      <c s="125" r="ES154"/>
      <c s="125" r="ET154"/>
      <c s="125" r="EU154"/>
      <c s="125" r="EV154"/>
      <c s="642" r="EW154"/>
      <c t="s" s="642" r="EX154">
        <v>2</v>
      </c>
      <c s="125" r="EY154"/>
      <c s="125" r="EZ154"/>
      <c s="125" r="FA154"/>
      <c s="125" r="FB154"/>
      <c s="125" r="FC154"/>
      <c s="125" r="FD154"/>
      <c s="125" r="FE154"/>
      <c s="125" r="FF154"/>
      <c s="125" r="FG154"/>
      <c s="125" r="FH154"/>
      <c s="125" r="FI154"/>
      <c s="125" r="FJ154"/>
      <c s="125" r="FK154"/>
      <c s="125" r="FL154"/>
      <c s="125" r="FM154"/>
      <c s="125" r="FN154"/>
      <c s="125" r="FO154"/>
      <c s="125" r="FP154"/>
      <c s="125" r="FQ154"/>
      <c s="125" r="FR154"/>
      <c s="125" r="FS154"/>
      <c s="125" r="FT154"/>
      <c s="642" r="FU154"/>
      <c t="s" s="642" r="FV154">
        <v>2</v>
      </c>
      <c s="125" r="FW154"/>
      <c s="125" r="FX154"/>
      <c s="125" r="FY154"/>
      <c s="125" r="FZ154"/>
      <c s="125" r="GA154"/>
      <c s="125" r="GB154"/>
      <c s="125" r="GC154"/>
      <c s="125" r="GD154"/>
      <c s="125" r="GE154"/>
      <c s="125" r="GF154"/>
      <c s="125" r="GG154"/>
      <c s="125" r="GH154"/>
      <c s="125" r="GI154"/>
      <c s="125" r="GJ154"/>
      <c s="125" r="GK154"/>
      <c s="125" r="GL154"/>
      <c s="125" r="GM154"/>
      <c s="125" r="GN154"/>
      <c s="125" r="GO154"/>
      <c s="125" r="GP154"/>
      <c s="125" r="GQ154"/>
      <c s="125" r="GR154"/>
      <c s="125" r="GS154"/>
      <c s="125" r="GT154"/>
      <c s="125" r="GU154"/>
      <c s="125" r="GV154"/>
      <c s="125" r="GW154"/>
      <c s="125" r="GX154"/>
      <c s="125" r="GY154"/>
      <c s="125" r="GZ154"/>
      <c s="125" r="HA154"/>
      <c s="125" r="HB154"/>
    </row>
    <row r="155">
      <c s="125" r="A155"/>
      <c s="125" r="B155"/>
      <c s="125" r="C155"/>
      <c s="125" r="D155"/>
      <c s="125" r="E155"/>
      <c s="125" r="F155"/>
      <c s="125" r="G155"/>
      <c s="125" r="H155"/>
      <c s="125" r="I155"/>
      <c s="125" r="J155"/>
      <c s="125" r="K155"/>
      <c s="125" r="L155"/>
      <c s="125" r="M155"/>
      <c s="125" r="N155"/>
      <c s="125" r="O155"/>
      <c s="125" r="P155"/>
      <c s="125" r="Q155"/>
      <c t="s" s="125" r="R155">
        <v>2</v>
      </c>
      <c s="125" r="S155"/>
      <c s="125" r="T155"/>
      <c s="125" r="U155"/>
      <c s="125" r="V155"/>
      <c s="125" r="W155"/>
      <c s="125" r="X155"/>
      <c s="125" r="Y155"/>
      <c s="125" r="Z155"/>
      <c s="125" r="AA155"/>
      <c s="125" r="AB155"/>
      <c s="125" r="AC155"/>
      <c s="125" r="AD155"/>
      <c s="125" r="AE155"/>
      <c s="125" r="AF155"/>
      <c s="125" r="AG155"/>
      <c s="125" r="AH155"/>
      <c s="125" r="AI155"/>
      <c s="125" r="AJ155"/>
      <c s="125" r="AK155"/>
      <c s="125" r="AL155"/>
      <c s="125" r="AM155"/>
      <c s="125" r="AN155"/>
      <c s="125" r="AO155"/>
      <c s="125" r="AP155"/>
      <c s="125" r="AQ155"/>
      <c s="125" r="AR155"/>
      <c s="125" r="AS155"/>
      <c s="125" r="AT155"/>
      <c s="125" r="AU155"/>
      <c s="125" r="AV155"/>
      <c s="125" r="AW155"/>
      <c s="125" r="AX155"/>
      <c s="125" r="AY155"/>
      <c s="125" r="AZ155"/>
      <c s="125" r="BA155"/>
      <c s="125" r="BB155"/>
      <c s="125" r="BC155"/>
      <c s="125" r="BD155"/>
      <c s="125" r="BE155"/>
      <c s="125" r="BF155"/>
      <c s="125" r="BG155"/>
      <c s="125" r="BH155"/>
      <c s="125" r="BI155"/>
      <c s="125" r="BJ155"/>
      <c s="125" r="BK155"/>
      <c s="125" r="BL155"/>
      <c s="125" r="BM155"/>
      <c s="125" r="BN155"/>
      <c s="125" r="BO155"/>
      <c s="125" r="BP155"/>
      <c s="125" r="BQ155"/>
      <c s="125" r="BR155"/>
      <c s="125" r="BS155"/>
      <c s="125" r="BT155"/>
      <c s="125" r="BU155"/>
      <c s="125" r="BV155"/>
      <c s="125" r="BW155"/>
      <c s="125" r="BX155"/>
      <c s="125" r="BY155"/>
      <c s="125" r="BZ155"/>
      <c s="125" r="CA155"/>
      <c s="125" r="CB155"/>
      <c s="642" r="CC155"/>
      <c s="642" r="CD155"/>
      <c s="125" r="CE155"/>
      <c s="125" r="CF155"/>
      <c s="125" r="CG155"/>
      <c s="125" r="CH155"/>
      <c s="125" r="CI155"/>
      <c s="125" r="CJ155"/>
      <c s="125" r="CK155"/>
      <c s="125" r="CL155"/>
      <c s="125" r="CM155"/>
      <c s="125" r="CN155"/>
      <c s="125" r="CO155"/>
      <c s="125" r="CP155"/>
      <c s="125" r="CQ155"/>
      <c s="125" r="CR155"/>
      <c s="125" r="CS155"/>
      <c s="125" r="CT155"/>
      <c s="125" r="CU155"/>
      <c s="125" r="CV155"/>
      <c s="125" r="CW155"/>
      <c s="125" r="CX155"/>
      <c s="125" r="CY155"/>
      <c s="125" r="CZ155"/>
      <c s="642" r="DA155"/>
      <c s="642" r="DB155"/>
      <c s="125" r="DC155"/>
      <c s="125" r="DD155"/>
      <c s="125" r="DE155"/>
      <c s="125" r="DF155"/>
      <c s="125" r="DG155"/>
      <c s="125" r="DH155"/>
      <c s="125" r="DI155"/>
      <c s="125" r="DJ155"/>
      <c s="125" r="DK155"/>
      <c s="125" r="DL155"/>
      <c s="125" r="DM155"/>
      <c s="125" r="DN155"/>
      <c s="125" r="DO155"/>
      <c s="125" r="DP155"/>
      <c s="125" r="DQ155"/>
      <c s="125" r="DR155"/>
      <c s="125" r="DS155"/>
      <c s="125" r="DT155"/>
      <c s="125" r="DU155"/>
      <c s="125" r="DV155"/>
      <c s="125" r="DW155"/>
      <c s="125" r="DX155"/>
      <c s="642" r="DY155"/>
      <c s="642" r="DZ155"/>
      <c s="125" r="EA155"/>
      <c s="125" r="EB155"/>
      <c s="125" r="EC155"/>
      <c s="125" r="ED155"/>
      <c s="125" r="EE155"/>
      <c s="125" r="EF155"/>
      <c s="125" r="EG155"/>
      <c s="125" r="EH155"/>
      <c s="125" r="EI155"/>
      <c s="125" r="EJ155"/>
      <c s="125" r="EK155"/>
      <c s="125" r="EL155"/>
      <c s="125" r="EM155"/>
      <c s="125" r="EN155"/>
      <c s="125" r="EO155"/>
      <c s="125" r="EP155"/>
      <c s="125" r="EQ155"/>
      <c s="125" r="ER155"/>
      <c s="125" r="ES155"/>
      <c s="125" r="ET155"/>
      <c s="125" r="EU155"/>
      <c s="125" r="EV155"/>
      <c s="642" r="EW155"/>
      <c s="642" r="EX155"/>
      <c s="125" r="EY155"/>
      <c s="125" r="EZ155"/>
      <c s="125" r="FA155"/>
      <c s="125" r="FB155"/>
      <c s="125" r="FC155"/>
      <c s="125" r="FD155"/>
      <c s="125" r="FE155"/>
      <c s="125" r="FF155"/>
      <c s="125" r="FG155"/>
      <c s="125" r="FH155"/>
      <c s="125" r="FI155"/>
      <c s="125" r="FJ155"/>
      <c s="125" r="FK155"/>
      <c s="125" r="FL155"/>
      <c s="125" r="FM155"/>
      <c s="125" r="FN155"/>
      <c s="125" r="FO155"/>
      <c s="125" r="FP155"/>
      <c s="125" r="FQ155"/>
      <c s="125" r="FR155"/>
      <c s="125" r="FS155"/>
      <c s="125" r="FT155"/>
      <c s="642" r="FU155"/>
      <c s="642" r="FV155"/>
      <c s="125" r="FW155"/>
      <c s="125" r="FX155"/>
      <c s="125" r="FY155"/>
      <c s="125" r="FZ155"/>
      <c s="125" r="GA155"/>
      <c s="125" r="GB155"/>
      <c s="125" r="GC155"/>
      <c s="125" r="GD155"/>
      <c s="125" r="GE155"/>
      <c s="125" r="GF155"/>
      <c s="125" r="GG155"/>
      <c s="125" r="GH155"/>
      <c s="125" r="GI155"/>
      <c s="125" r="GJ155"/>
      <c s="125" r="GK155"/>
      <c s="125" r="GL155"/>
      <c s="125" r="GM155"/>
      <c s="125" r="GN155"/>
      <c s="125" r="GO155"/>
      <c s="125" r="GP155"/>
      <c s="125" r="GQ155"/>
      <c s="125" r="GR155"/>
      <c s="125" r="GS155"/>
      <c s="125" r="GT155"/>
      <c s="125" r="GU155"/>
      <c s="125" r="GV155"/>
      <c s="125" r="GW155"/>
      <c s="125" r="GX155"/>
      <c s="125" r="GY155"/>
      <c s="125" r="GZ155"/>
      <c s="125" r="HA155"/>
      <c s="125" r="HB155"/>
    </row>
    <row r="156">
      <c s="125" r="A156"/>
      <c s="125" r="B156"/>
      <c s="125" r="C156"/>
      <c s="125" r="D156"/>
      <c s="125" r="E156"/>
      <c s="125" r="F156"/>
      <c s="125" r="G156"/>
      <c s="125" r="H156"/>
      <c s="125" r="I156"/>
      <c s="125" r="J156"/>
      <c s="125" r="K156"/>
      <c s="125" r="L156"/>
      <c s="125" r="M156"/>
      <c s="125" r="N156"/>
      <c s="125" r="O156"/>
      <c s="125" r="P156"/>
      <c s="125" r="Q156"/>
      <c s="125" r="R156"/>
      <c s="125" r="S156"/>
      <c s="125" r="T156"/>
      <c t="s" s="125" r="U156">
        <v>2</v>
      </c>
      <c s="125" r="V156"/>
      <c s="125" r="W156"/>
      <c s="125" r="X156"/>
      <c s="125" r="Y156"/>
      <c s="125" r="Z156"/>
      <c s="125" r="AA156"/>
      <c s="125" r="AB156"/>
      <c s="125" r="AC156"/>
      <c s="125" r="AD156"/>
      <c s="125" r="AE156"/>
      <c s="125" r="AF156"/>
      <c s="125" r="AG156"/>
      <c s="125" r="AH156"/>
      <c s="125" r="AI156"/>
      <c s="125" r="AJ156"/>
      <c s="125" r="AK156"/>
      <c s="125" r="AL156"/>
      <c s="125" r="AM156"/>
      <c s="125" r="AN156"/>
      <c s="125" r="AO156"/>
      <c s="125" r="AP156"/>
      <c s="125" r="AQ156"/>
      <c s="125" r="AR156"/>
      <c s="125" r="AS156"/>
      <c s="125" r="AT156"/>
      <c s="125" r="AU156"/>
      <c s="125" r="AV156"/>
      <c s="125" r="AW156"/>
      <c s="125" r="AX156"/>
      <c s="125" r="AY156"/>
      <c s="125" r="AZ156"/>
      <c s="125" r="BA156"/>
      <c s="125" r="BB156"/>
      <c s="125" r="BC156"/>
      <c s="125" r="BD156"/>
      <c s="125" r="BE156"/>
      <c s="125" r="BF156"/>
      <c s="125" r="BG156"/>
      <c s="125" r="BH156"/>
      <c s="125" r="BI156"/>
      <c s="125" r="BJ156"/>
      <c s="125" r="BK156"/>
      <c s="125" r="BL156"/>
      <c s="125" r="BM156"/>
      <c s="125" r="BN156"/>
      <c s="125" r="BO156"/>
      <c s="125" r="BP156"/>
      <c s="125" r="BQ156"/>
      <c s="125" r="BR156"/>
      <c s="125" r="BS156"/>
      <c s="125" r="BT156"/>
      <c s="125" r="BU156"/>
      <c s="125" r="BV156"/>
      <c s="125" r="BW156"/>
      <c s="125" r="BX156"/>
      <c s="125" r="BY156"/>
      <c s="125" r="BZ156"/>
      <c s="125" r="CA156"/>
      <c s="125" r="CB156"/>
      <c s="642" r="CC156"/>
      <c s="642" r="CD156"/>
      <c s="125" r="CE156"/>
      <c s="125" r="CF156"/>
      <c s="125" r="CG156"/>
      <c s="125" r="CH156"/>
      <c s="125" r="CI156"/>
      <c s="125" r="CJ156"/>
      <c s="125" r="CK156"/>
      <c s="125" r="CL156"/>
      <c s="125" r="CM156"/>
      <c s="125" r="CN156"/>
      <c s="125" r="CO156"/>
      <c s="125" r="CP156"/>
      <c s="125" r="CQ156"/>
      <c s="125" r="CR156"/>
      <c s="125" r="CS156"/>
      <c s="125" r="CT156"/>
      <c s="125" r="CU156"/>
      <c s="125" r="CV156"/>
      <c s="125" r="CW156"/>
      <c s="125" r="CX156"/>
      <c s="125" r="CY156"/>
      <c s="125" r="CZ156"/>
      <c s="642" r="DA156"/>
      <c s="642" r="DB156"/>
      <c s="125" r="DC156"/>
      <c s="125" r="DD156"/>
      <c s="125" r="DE156"/>
      <c s="125" r="DF156"/>
      <c s="125" r="DG156"/>
      <c s="125" r="DH156"/>
      <c s="125" r="DI156"/>
      <c s="125" r="DJ156"/>
      <c s="125" r="DK156"/>
      <c s="125" r="DL156"/>
      <c s="125" r="DM156"/>
      <c s="125" r="DN156"/>
      <c s="125" r="DO156"/>
      <c s="125" r="DP156"/>
      <c s="125" r="DQ156"/>
      <c s="125" r="DR156"/>
      <c s="125" r="DS156"/>
      <c s="125" r="DT156"/>
      <c s="125" r="DU156"/>
      <c s="125" r="DV156"/>
      <c s="125" r="DW156"/>
      <c s="125" r="DX156"/>
      <c s="642" r="DY156"/>
      <c s="642" r="DZ156"/>
      <c s="125" r="EA156"/>
      <c s="125" r="EB156"/>
      <c s="125" r="EC156"/>
      <c s="125" r="ED156"/>
      <c s="125" r="EE156"/>
      <c s="125" r="EF156"/>
      <c s="125" r="EG156"/>
      <c s="125" r="EH156"/>
      <c s="125" r="EI156"/>
      <c s="125" r="EJ156"/>
      <c s="125" r="EK156"/>
      <c s="125" r="EL156"/>
      <c s="125" r="EM156"/>
      <c s="125" r="EN156"/>
      <c s="125" r="EO156"/>
      <c s="125" r="EP156"/>
      <c s="125" r="EQ156"/>
      <c s="125" r="ER156"/>
      <c s="125" r="ES156"/>
      <c s="125" r="ET156"/>
      <c s="125" r="EU156"/>
      <c s="125" r="EV156"/>
      <c s="642" r="EW156"/>
      <c s="642" r="EX156"/>
      <c s="125" r="EY156"/>
      <c s="125" r="EZ156"/>
      <c s="125" r="FA156"/>
      <c s="125" r="FB156"/>
      <c s="125" r="FC156"/>
      <c s="125" r="FD156"/>
      <c s="125" r="FE156"/>
      <c s="125" r="FF156"/>
      <c s="125" r="FG156"/>
      <c s="125" r="FH156"/>
      <c s="125" r="FI156"/>
      <c s="125" r="FJ156"/>
      <c s="125" r="FK156"/>
      <c s="125" r="FL156"/>
      <c s="125" r="FM156"/>
      <c s="125" r="FN156"/>
      <c s="125" r="FO156"/>
      <c s="125" r="FP156"/>
      <c s="125" r="FQ156"/>
      <c s="125" r="FR156"/>
      <c s="125" r="FS156"/>
      <c s="125" r="FT156"/>
      <c s="642" r="FU156"/>
      <c s="642" r="FV156"/>
      <c s="125" r="FW156"/>
      <c s="125" r="FX156"/>
      <c s="125" r="FY156"/>
      <c s="125" r="FZ156"/>
      <c s="125" r="GA156"/>
      <c s="125" r="GB156"/>
      <c s="125" r="GC156"/>
      <c s="125" r="GD156"/>
      <c s="125" r="GE156"/>
      <c s="125" r="GF156"/>
      <c s="125" r="GG156"/>
      <c s="125" r="GH156"/>
      <c s="125" r="GI156"/>
      <c s="125" r="GJ156"/>
      <c s="125" r="GK156"/>
      <c s="125" r="GL156"/>
      <c s="125" r="GM156"/>
      <c s="125" r="GN156"/>
      <c s="125" r="GO156"/>
      <c s="125" r="GP156"/>
      <c s="125" r="GQ156"/>
      <c s="125" r="GR156"/>
      <c s="125" r="GS156"/>
      <c s="125" r="GT156"/>
      <c s="125" r="GU156"/>
      <c s="125" r="GV156"/>
      <c s="125" r="GW156"/>
      <c s="125" r="GX156"/>
      <c s="125" r="GY156"/>
      <c s="125" r="GZ156"/>
      <c s="125" r="HA156"/>
      <c s="125" r="HB156"/>
    </row>
    <row r="157">
      <c s="125" r="A157"/>
      <c s="125" r="B157"/>
      <c s="125" r="C157"/>
      <c s="125" r="D157"/>
      <c s="125" r="E157"/>
      <c s="125" r="F157"/>
      <c s="125" r="G157"/>
      <c s="125" r="H157"/>
      <c s="125" r="I157"/>
      <c s="125" r="J157"/>
      <c s="125" r="K157"/>
      <c s="125" r="L157"/>
      <c s="125" r="M157"/>
      <c s="125" r="N157"/>
      <c s="125" r="O157"/>
      <c s="125" r="P157"/>
      <c s="125" r="Q157"/>
      <c s="125" r="R157"/>
      <c s="125" r="S157"/>
      <c s="125" r="T157"/>
      <c s="125" r="U157"/>
      <c s="125" r="V157"/>
      <c s="125" r="W157"/>
      <c s="125" r="X157"/>
      <c s="125" r="Y157"/>
      <c s="125" r="Z157"/>
      <c s="125" r="AA157"/>
      <c s="125" r="AB157"/>
      <c s="125" r="AC157"/>
      <c s="125" r="AD157"/>
      <c s="125" r="AE157"/>
      <c s="125" r="AF157"/>
      <c s="125" r="AG157"/>
      <c s="125" r="AH157"/>
      <c s="125" r="AI157"/>
      <c s="125" r="AJ157"/>
      <c s="125" r="AK157"/>
      <c s="125" r="AL157"/>
      <c s="125" r="AM157"/>
      <c s="125" r="AN157"/>
      <c s="125" r="AO157"/>
      <c s="125" r="AP157"/>
      <c s="125" r="AQ157"/>
      <c s="125" r="AR157"/>
      <c s="125" r="AS157"/>
      <c s="125" r="AT157"/>
      <c s="125" r="AU157"/>
      <c s="125" r="AV157"/>
      <c s="125" r="AW157"/>
      <c s="125" r="AX157"/>
      <c s="125" r="AY157"/>
      <c s="125" r="AZ157"/>
      <c s="125" r="BA157"/>
      <c s="125" r="BB157"/>
      <c s="125" r="BC157"/>
      <c s="125" r="BD157"/>
      <c s="125" r="BE157"/>
      <c s="125" r="BF157"/>
      <c s="125" r="BG157"/>
      <c s="125" r="BH157"/>
      <c s="125" r="BI157"/>
      <c s="125" r="BJ157"/>
      <c s="125" r="BK157"/>
      <c s="125" r="BL157"/>
      <c s="125" r="BM157"/>
      <c s="125" r="BN157"/>
      <c s="125" r="BO157"/>
      <c s="125" r="BP157"/>
      <c s="125" r="BQ157"/>
      <c s="125" r="BR157"/>
      <c s="125" r="BS157"/>
      <c s="125" r="BT157"/>
      <c s="125" r="BU157"/>
      <c s="125" r="BV157"/>
      <c s="125" r="BW157"/>
      <c s="125" r="BX157"/>
      <c s="125" r="BY157"/>
      <c s="125" r="BZ157"/>
      <c s="125" r="CA157"/>
      <c s="125" r="CB157"/>
      <c s="642" r="CC157"/>
      <c s="642" r="CD157"/>
      <c s="125" r="CE157"/>
      <c s="125" r="CF157"/>
      <c s="125" r="CG157"/>
      <c s="125" r="CH157"/>
      <c s="125" r="CI157"/>
      <c s="125" r="CJ157"/>
      <c s="125" r="CK157"/>
      <c s="125" r="CL157"/>
      <c s="125" r="CM157"/>
      <c s="125" r="CN157"/>
      <c s="125" r="CO157"/>
      <c s="125" r="CP157"/>
      <c s="125" r="CQ157"/>
      <c s="125" r="CR157"/>
      <c s="125" r="CS157"/>
      <c s="125" r="CT157"/>
      <c s="125" r="CU157"/>
      <c s="125" r="CV157"/>
      <c s="125" r="CW157"/>
      <c s="125" r="CX157"/>
      <c s="125" r="CY157"/>
      <c s="125" r="CZ157"/>
      <c s="642" r="DA157"/>
      <c s="642" r="DB157"/>
      <c s="125" r="DC157"/>
      <c s="125" r="DD157"/>
      <c s="125" r="DE157"/>
      <c s="125" r="DF157"/>
      <c s="125" r="DG157"/>
      <c s="125" r="DH157"/>
      <c s="125" r="DI157"/>
      <c s="125" r="DJ157"/>
      <c s="125" r="DK157"/>
      <c s="125" r="DL157"/>
      <c s="125" r="DM157"/>
      <c s="125" r="DN157"/>
      <c s="125" r="DO157"/>
      <c s="125" r="DP157"/>
      <c s="125" r="DQ157"/>
      <c s="125" r="DR157"/>
      <c s="125" r="DS157"/>
      <c s="125" r="DT157"/>
      <c s="125" r="DU157"/>
      <c s="125" r="DV157"/>
      <c s="125" r="DW157"/>
      <c s="125" r="DX157"/>
      <c s="642" r="DY157"/>
      <c s="642" r="DZ157"/>
      <c s="125" r="EA157"/>
      <c s="125" r="EB157"/>
      <c s="125" r="EC157"/>
      <c s="125" r="ED157"/>
      <c s="125" r="EE157"/>
      <c s="125" r="EF157"/>
      <c s="125" r="EG157"/>
      <c s="125" r="EH157"/>
      <c s="125" r="EI157"/>
      <c s="125" r="EJ157"/>
      <c s="125" r="EK157"/>
      <c s="125" r="EL157"/>
      <c s="125" r="EM157"/>
      <c s="125" r="EN157"/>
      <c s="125" r="EO157"/>
      <c s="125" r="EP157"/>
      <c s="125" r="EQ157"/>
      <c s="125" r="ER157"/>
      <c s="125" r="ES157"/>
      <c s="125" r="ET157"/>
      <c s="125" r="EU157"/>
      <c s="125" r="EV157"/>
      <c s="642" r="EW157"/>
      <c s="642" r="EX157"/>
      <c s="125" r="EY157"/>
      <c s="125" r="EZ157"/>
      <c s="125" r="FA157"/>
      <c s="125" r="FB157"/>
      <c s="125" r="FC157"/>
      <c s="125" r="FD157"/>
      <c s="125" r="FE157"/>
      <c s="125" r="FF157"/>
      <c s="125" r="FG157"/>
      <c s="125" r="FH157"/>
      <c s="125" r="FI157"/>
      <c s="125" r="FJ157"/>
      <c s="125" r="FK157"/>
      <c s="125" r="FL157"/>
      <c s="125" r="FM157"/>
      <c s="125" r="FN157"/>
      <c s="125" r="FO157"/>
      <c s="125" r="FP157"/>
      <c s="125" r="FQ157"/>
      <c s="125" r="FR157"/>
      <c s="125" r="FS157"/>
      <c s="125" r="FT157"/>
      <c s="642" r="FU157"/>
      <c s="642" r="FV157"/>
      <c s="125" r="FW157"/>
      <c s="125" r="FX157"/>
      <c s="125" r="FY157"/>
      <c s="125" r="FZ157"/>
      <c s="125" r="GA157"/>
      <c s="125" r="GB157"/>
      <c s="125" r="GC157"/>
      <c s="125" r="GD157"/>
      <c s="125" r="GE157"/>
      <c s="125" r="GF157"/>
      <c s="125" r="GG157"/>
      <c s="125" r="GH157"/>
      <c s="125" r="GI157"/>
      <c s="125" r="GJ157"/>
      <c s="125" r="GK157"/>
      <c s="125" r="GL157"/>
      <c s="125" r="GM157"/>
      <c s="125" r="GN157"/>
      <c s="125" r="GO157"/>
      <c s="125" r="GP157"/>
      <c s="125" r="GQ157"/>
      <c s="125" r="GR157"/>
      <c s="125" r="GS157"/>
      <c s="125" r="GT157"/>
      <c s="125" r="GU157"/>
      <c s="125" r="GV157"/>
      <c s="125" r="GW157"/>
      <c s="125" r="GX157"/>
      <c s="125" r="GY157"/>
      <c s="125" r="GZ157"/>
      <c s="125" r="HA157"/>
      <c s="125" r="HB157"/>
    </row>
    <row r="158">
      <c s="125" r="A158"/>
      <c s="125" r="B158"/>
      <c s="125" r="C158"/>
      <c s="125" r="D158"/>
      <c s="125" r="E158"/>
      <c s="125" r="F158"/>
      <c s="125" r="G158"/>
      <c s="125" r="H158"/>
      <c s="125" r="I158"/>
      <c s="125" r="J158"/>
      <c s="125" r="K158"/>
      <c s="125" r="L158"/>
      <c s="125" r="M158"/>
      <c s="125" r="N158"/>
      <c s="125" r="O158"/>
      <c s="125" r="P158"/>
      <c s="125" r="Q158"/>
      <c s="125" r="R158"/>
      <c s="125" r="S158"/>
      <c s="125" r="T158"/>
      <c s="125" r="U158"/>
      <c s="125" r="V158"/>
      <c s="125" r="W158"/>
      <c s="125" r="X158"/>
      <c s="125" r="Y158"/>
      <c s="125" r="Z158"/>
      <c s="125" r="AA158"/>
      <c s="125" r="AB158"/>
      <c s="125" r="AC158"/>
      <c s="125" r="AD158"/>
      <c s="125" r="AE158"/>
      <c s="125" r="AF158"/>
      <c s="125" r="AG158"/>
      <c s="125" r="AH158"/>
      <c s="125" r="AI158"/>
      <c s="125" r="AJ158"/>
      <c s="125" r="AK158"/>
      <c s="125" r="AL158"/>
      <c s="125" r="AM158"/>
      <c s="125" r="AN158"/>
      <c s="125" r="AO158"/>
      <c s="125" r="AP158"/>
      <c s="125" r="AQ158"/>
      <c s="125" r="AR158"/>
      <c s="125" r="AS158"/>
      <c s="125" r="AT158"/>
      <c s="125" r="AU158"/>
      <c s="125" r="AV158"/>
      <c s="125" r="AW158"/>
      <c s="125" r="AX158"/>
      <c s="125" r="AY158"/>
      <c s="125" r="AZ158"/>
      <c s="125" r="BA158"/>
      <c s="125" r="BB158"/>
      <c s="125" r="BC158"/>
      <c s="125" r="BD158"/>
      <c s="125" r="BE158"/>
      <c s="125" r="BF158"/>
      <c s="125" r="BG158"/>
      <c s="125" r="BH158"/>
      <c s="125" r="BI158"/>
      <c s="125" r="BJ158"/>
      <c s="125" r="BK158"/>
      <c s="125" r="BL158"/>
      <c s="125" r="BM158"/>
      <c s="125" r="BN158"/>
      <c s="125" r="BO158"/>
      <c s="125" r="BP158"/>
      <c s="125" r="BQ158"/>
      <c s="125" r="BR158"/>
      <c s="125" r="BS158"/>
      <c s="125" r="BT158"/>
      <c s="125" r="BU158"/>
      <c s="125" r="BV158"/>
      <c s="125" r="BW158"/>
      <c s="125" r="BX158"/>
      <c s="125" r="BY158"/>
      <c s="125" r="BZ158"/>
      <c s="125" r="CA158"/>
      <c s="125" r="CB158"/>
      <c s="642" r="CC158"/>
      <c s="642" r="CD158"/>
      <c s="125" r="CE158"/>
      <c s="125" r="CF158"/>
      <c s="125" r="CG158"/>
      <c s="125" r="CH158"/>
      <c s="125" r="CI158"/>
      <c s="125" r="CJ158"/>
      <c s="125" r="CK158"/>
      <c s="125" r="CL158"/>
      <c s="125" r="CM158"/>
      <c s="125" r="CN158"/>
      <c s="125" r="CO158"/>
      <c s="125" r="CP158"/>
      <c s="125" r="CQ158"/>
      <c s="125" r="CR158"/>
      <c s="125" r="CS158"/>
      <c s="125" r="CT158"/>
      <c s="125" r="CU158"/>
      <c s="125" r="CV158"/>
      <c s="125" r="CW158"/>
      <c s="125" r="CX158"/>
      <c s="125" r="CY158"/>
      <c s="125" r="CZ158"/>
      <c s="642" r="DA158"/>
      <c s="642" r="DB158"/>
      <c s="125" r="DC158"/>
      <c s="125" r="DD158"/>
      <c s="125" r="DE158"/>
      <c s="125" r="DF158"/>
      <c s="125" r="DG158"/>
      <c s="125" r="DH158"/>
      <c s="125" r="DI158"/>
      <c s="125" r="DJ158"/>
      <c s="125" r="DK158"/>
      <c s="125" r="DL158"/>
      <c s="125" r="DM158"/>
      <c s="125" r="DN158"/>
      <c s="125" r="DO158"/>
      <c s="125" r="DP158"/>
      <c s="125" r="DQ158"/>
      <c s="125" r="DR158"/>
      <c s="125" r="DS158"/>
      <c s="125" r="DT158"/>
      <c s="125" r="DU158"/>
      <c s="125" r="DV158"/>
      <c s="125" r="DW158"/>
      <c s="125" r="DX158"/>
      <c s="642" r="DY158"/>
      <c s="642" r="DZ158"/>
      <c s="125" r="EA158"/>
      <c s="125" r="EB158"/>
      <c s="125" r="EC158"/>
      <c s="125" r="ED158"/>
      <c s="125" r="EE158"/>
      <c s="125" r="EF158"/>
      <c s="125" r="EG158"/>
      <c s="125" r="EH158"/>
      <c s="125" r="EI158"/>
      <c s="125" r="EJ158"/>
      <c s="125" r="EK158"/>
      <c s="125" r="EL158"/>
      <c s="125" r="EM158"/>
      <c s="125" r="EN158"/>
      <c s="125" r="EO158"/>
      <c s="125" r="EP158"/>
      <c s="125" r="EQ158"/>
      <c s="125" r="ER158"/>
      <c s="125" r="ES158"/>
      <c s="125" r="ET158"/>
      <c s="125" r="EU158"/>
      <c s="125" r="EV158"/>
      <c s="642" r="EW158"/>
      <c s="642" r="EX158"/>
      <c s="125" r="EY158"/>
      <c s="125" r="EZ158"/>
      <c s="125" r="FA158"/>
      <c s="125" r="FB158"/>
      <c s="125" r="FC158"/>
      <c s="125" r="FD158"/>
      <c s="125" r="FE158"/>
      <c s="125" r="FF158"/>
      <c s="125" r="FG158"/>
      <c s="125" r="FH158"/>
      <c s="125" r="FI158"/>
      <c s="125" r="FJ158"/>
      <c s="125" r="FK158"/>
      <c s="125" r="FL158"/>
      <c s="125" r="FM158"/>
      <c s="125" r="FN158"/>
      <c s="125" r="FO158"/>
      <c s="125" r="FP158"/>
      <c s="125" r="FQ158"/>
      <c s="125" r="FR158"/>
      <c s="125" r="FS158"/>
      <c s="125" r="FT158"/>
      <c s="642" r="FU158"/>
      <c s="642" r="FV158"/>
      <c s="125" r="FW158"/>
      <c s="125" r="FX158"/>
      <c s="125" r="FY158"/>
      <c s="125" r="FZ158"/>
      <c s="125" r="GA158"/>
      <c s="125" r="GB158"/>
      <c s="125" r="GC158"/>
      <c s="125" r="GD158"/>
      <c s="125" r="GE158"/>
      <c s="125" r="GF158"/>
      <c s="125" r="GG158"/>
      <c s="125" r="GH158"/>
      <c s="125" r="GI158"/>
      <c s="125" r="GJ158"/>
      <c s="125" r="GK158"/>
      <c s="125" r="GL158"/>
      <c s="125" r="GM158"/>
      <c s="125" r="GN158"/>
      <c s="125" r="GO158"/>
      <c s="125" r="GP158"/>
      <c s="125" r="GQ158"/>
      <c s="125" r="GR158"/>
      <c s="125" r="GS158"/>
      <c s="125" r="GT158"/>
      <c s="125" r="GU158"/>
      <c s="125" r="GV158"/>
      <c s="125" r="GW158"/>
      <c s="125" r="GX158"/>
      <c s="125" r="GY158"/>
      <c s="125" r="GZ158"/>
      <c s="125" r="HA158"/>
      <c s="125" r="HB158"/>
    </row>
    <row r="159">
      <c s="125" r="A159"/>
      <c s="125" r="B159"/>
      <c s="125" r="C159"/>
      <c s="125" r="D159"/>
      <c s="125" r="E159"/>
      <c s="125" r="F159"/>
      <c s="125" r="G159"/>
      <c s="125" r="H159"/>
      <c s="125" r="I159"/>
      <c s="125" r="J159"/>
      <c s="125" r="K159"/>
      <c s="125" r="L159"/>
      <c s="125" r="M159"/>
      <c s="125" r="N159"/>
      <c s="125" r="O159"/>
      <c s="125" r="P159"/>
      <c s="125" r="Q159"/>
      <c s="125" r="R159"/>
      <c s="125" r="S159"/>
      <c s="125" r="T159"/>
      <c s="125" r="U159"/>
      <c s="125" r="V159"/>
      <c s="125" r="W159"/>
      <c s="125" r="X159"/>
      <c s="125" r="Y159"/>
      <c s="125" r="Z159"/>
      <c s="125" r="AA159"/>
      <c s="125" r="AB159"/>
      <c s="125" r="AC159"/>
      <c s="125" r="AD159"/>
      <c s="125" r="AE159"/>
      <c s="125" r="AF159"/>
      <c s="125" r="AG159"/>
      <c s="125" r="AH159"/>
      <c s="125" r="AI159"/>
      <c s="125" r="AJ159"/>
      <c s="125" r="AK159"/>
      <c s="125" r="AL159"/>
      <c s="125" r="AM159"/>
      <c s="125" r="AN159"/>
      <c s="125" r="AO159"/>
      <c s="125" r="AP159"/>
      <c s="125" r="AQ159"/>
      <c s="125" r="AR159"/>
      <c s="125" r="AS159"/>
      <c s="125" r="AT159"/>
      <c s="125" r="AU159"/>
      <c s="125" r="AV159"/>
      <c s="125" r="AW159"/>
      <c s="125" r="AX159"/>
      <c s="125" r="AY159"/>
      <c s="125" r="AZ159"/>
      <c s="125" r="BA159"/>
      <c s="125" r="BB159"/>
      <c s="125" r="BC159"/>
      <c s="125" r="BD159"/>
      <c s="125" r="BE159"/>
      <c s="125" r="BF159"/>
      <c s="125" r="BG159"/>
      <c s="125" r="BH159"/>
      <c s="125" r="BI159"/>
      <c s="125" r="BJ159"/>
      <c s="125" r="BK159"/>
      <c s="125" r="BL159"/>
      <c s="125" r="BM159"/>
      <c s="125" r="BN159"/>
      <c s="125" r="BO159"/>
      <c s="125" r="BP159"/>
      <c s="125" r="BQ159"/>
      <c s="125" r="BR159"/>
      <c s="125" r="BS159"/>
      <c s="125" r="BT159"/>
      <c s="125" r="BU159"/>
      <c s="125" r="BV159"/>
      <c s="125" r="BW159"/>
      <c s="125" r="BX159"/>
      <c s="125" r="BY159"/>
      <c s="125" r="BZ159"/>
      <c s="125" r="CA159"/>
      <c s="125" r="CB159"/>
      <c s="642" r="CC159"/>
      <c s="642" r="CD159"/>
      <c s="125" r="CE159"/>
      <c s="125" r="CF159"/>
      <c s="125" r="CG159"/>
      <c s="125" r="CH159"/>
      <c s="125" r="CI159"/>
      <c s="125" r="CJ159"/>
      <c s="125" r="CK159"/>
      <c s="125" r="CL159"/>
      <c s="125" r="CM159"/>
      <c s="125" r="CN159"/>
      <c s="125" r="CO159"/>
      <c s="125" r="CP159"/>
      <c s="125" r="CQ159"/>
      <c s="125" r="CR159"/>
      <c s="125" r="CS159"/>
      <c s="125" r="CT159"/>
      <c s="125" r="CU159"/>
      <c s="125" r="CV159"/>
      <c s="125" r="CW159"/>
      <c s="125" r="CX159"/>
      <c s="125" r="CY159"/>
      <c s="125" r="CZ159"/>
      <c s="642" r="DA159"/>
      <c s="642" r="DB159"/>
      <c s="125" r="DC159"/>
      <c s="125" r="DD159"/>
      <c s="125" r="DE159"/>
      <c s="125" r="DF159"/>
      <c s="125" r="DG159"/>
      <c s="125" r="DH159"/>
      <c s="125" r="DI159"/>
      <c s="125" r="DJ159"/>
      <c s="125" r="DK159"/>
      <c s="125" r="DL159"/>
      <c s="125" r="DM159"/>
      <c s="125" r="DN159"/>
      <c s="125" r="DO159"/>
      <c s="125" r="DP159"/>
      <c s="125" r="DQ159"/>
      <c s="125" r="DR159"/>
      <c s="125" r="DS159"/>
      <c s="125" r="DT159"/>
      <c s="125" r="DU159"/>
      <c s="125" r="DV159"/>
      <c s="125" r="DW159"/>
      <c s="125" r="DX159"/>
      <c s="642" r="DY159"/>
      <c s="642" r="DZ159"/>
      <c s="125" r="EA159"/>
      <c s="125" r="EB159"/>
      <c s="125" r="EC159"/>
      <c s="125" r="ED159"/>
      <c s="125" r="EE159"/>
      <c s="125" r="EF159"/>
      <c s="125" r="EG159"/>
      <c s="125" r="EH159"/>
      <c s="125" r="EI159"/>
      <c s="125" r="EJ159"/>
      <c s="125" r="EK159"/>
      <c s="125" r="EL159"/>
      <c s="125" r="EM159"/>
      <c s="125" r="EN159"/>
      <c s="125" r="EO159"/>
      <c s="125" r="EP159"/>
      <c s="125" r="EQ159"/>
      <c s="125" r="ER159"/>
      <c s="125" r="ES159"/>
      <c s="125" r="ET159"/>
      <c s="125" r="EU159"/>
      <c s="125" r="EV159"/>
      <c s="642" r="EW159"/>
      <c s="642" r="EX159"/>
      <c s="125" r="EY159"/>
      <c s="125" r="EZ159"/>
      <c s="125" r="FA159"/>
      <c s="125" r="FB159"/>
      <c s="125" r="FC159"/>
      <c s="125" r="FD159"/>
      <c s="125" r="FE159"/>
      <c s="125" r="FF159"/>
      <c s="125" r="FG159"/>
      <c s="125" r="FH159"/>
      <c s="125" r="FI159"/>
      <c s="125" r="FJ159"/>
      <c s="125" r="FK159"/>
      <c s="125" r="FL159"/>
      <c s="125" r="FM159"/>
      <c s="125" r="FN159"/>
      <c s="125" r="FO159"/>
      <c s="125" r="FP159"/>
      <c s="125" r="FQ159"/>
      <c s="125" r="FR159"/>
      <c s="125" r="FS159"/>
      <c s="125" r="FT159"/>
      <c s="642" r="FU159"/>
      <c s="642" r="FV159"/>
      <c s="125" r="FW159"/>
      <c s="125" r="FX159"/>
      <c s="125" r="FY159"/>
      <c s="125" r="FZ159"/>
      <c s="125" r="GA159"/>
      <c s="125" r="GB159"/>
      <c s="125" r="GC159"/>
      <c s="125" r="GD159"/>
      <c s="125" r="GE159"/>
      <c s="125" r="GF159"/>
      <c s="125" r="GG159"/>
      <c s="125" r="GH159"/>
      <c s="125" r="GI159"/>
      <c s="125" r="GJ159"/>
      <c s="125" r="GK159"/>
      <c s="125" r="GL159"/>
      <c s="125" r="GM159"/>
      <c s="125" r="GN159"/>
      <c s="125" r="GO159"/>
      <c s="125" r="GP159"/>
      <c s="125" r="GQ159"/>
      <c s="125" r="GR159"/>
      <c s="125" r="GS159"/>
      <c s="125" r="GT159"/>
      <c s="125" r="GU159"/>
      <c s="125" r="GV159"/>
      <c s="125" r="GW159"/>
      <c s="125" r="GX159"/>
      <c s="125" r="GY159"/>
      <c s="125" r="GZ159"/>
      <c s="125" r="HA159"/>
      <c s="125" r="HB159"/>
    </row>
    <row r="160">
      <c s="125" r="A160"/>
      <c s="125" r="B160"/>
      <c s="125" r="C160"/>
      <c s="125" r="D160"/>
      <c s="125" r="E160"/>
      <c s="125" r="F160"/>
      <c s="125" r="G160"/>
      <c s="125" r="H160"/>
      <c s="125" r="I160"/>
      <c s="125" r="J160"/>
      <c s="125" r="K160"/>
      <c s="125" r="L160"/>
      <c s="125" r="M160"/>
      <c s="125" r="N160"/>
      <c s="125" r="O160"/>
      <c s="125" r="P160"/>
      <c s="125" r="Q160"/>
      <c s="125" r="R160"/>
      <c s="125" r="S160"/>
      <c s="125" r="T160"/>
      <c s="125" r="U160"/>
      <c s="125" r="V160"/>
      <c s="125" r="W160"/>
      <c s="125" r="X160"/>
      <c s="125" r="Y160"/>
      <c s="125" r="Z160"/>
      <c s="125" r="AA160"/>
      <c s="125" r="AB160"/>
      <c s="125" r="AC160"/>
      <c s="125" r="AD160"/>
      <c s="125" r="AE160"/>
      <c s="125" r="AF160"/>
      <c s="125" r="AG160"/>
      <c s="125" r="AH160"/>
      <c s="125" r="AI160"/>
      <c s="125" r="AJ160"/>
      <c s="125" r="AK160"/>
      <c s="125" r="AL160"/>
      <c s="125" r="AM160"/>
      <c s="125" r="AN160"/>
      <c s="125" r="AO160"/>
      <c s="125" r="AP160"/>
      <c s="125" r="AQ160"/>
      <c s="125" r="AR160"/>
      <c s="125" r="AS160"/>
      <c s="125" r="AT160"/>
      <c s="125" r="AU160"/>
      <c s="125" r="AV160"/>
      <c s="125" r="AW160"/>
      <c s="125" r="AX160"/>
      <c s="125" r="AY160"/>
      <c s="125" r="AZ160"/>
      <c s="125" r="BA160"/>
      <c s="125" r="BB160"/>
      <c s="125" r="BC160"/>
      <c s="125" r="BD160"/>
      <c s="125" r="BE160"/>
      <c s="125" r="BF160"/>
      <c s="125" r="BG160"/>
      <c s="125" r="BH160"/>
      <c s="125" r="BI160"/>
      <c s="125" r="BJ160"/>
      <c s="125" r="BK160"/>
      <c s="125" r="BL160"/>
      <c s="125" r="BM160"/>
      <c s="125" r="BN160"/>
      <c s="125" r="BO160"/>
      <c s="125" r="BP160"/>
      <c s="125" r="BQ160"/>
      <c s="125" r="BR160"/>
      <c s="125" r="BS160"/>
      <c s="125" r="BT160"/>
      <c s="125" r="BU160"/>
      <c s="125" r="BV160"/>
      <c s="125" r="BW160"/>
      <c s="125" r="BX160"/>
      <c s="125" r="BY160"/>
      <c s="125" r="BZ160"/>
      <c s="125" r="CA160"/>
      <c s="125" r="CB160"/>
      <c s="642" r="CC160"/>
      <c s="642" r="CD160"/>
      <c s="125" r="CE160"/>
      <c s="125" r="CF160"/>
      <c s="125" r="CG160"/>
      <c s="125" r="CH160"/>
      <c s="125" r="CI160"/>
      <c s="125" r="CJ160"/>
      <c s="125" r="CK160"/>
      <c s="125" r="CL160"/>
      <c s="125" r="CM160"/>
      <c s="125" r="CN160"/>
      <c s="125" r="CO160"/>
      <c s="125" r="CP160"/>
      <c s="125" r="CQ160"/>
      <c s="125" r="CR160"/>
      <c s="125" r="CS160"/>
      <c s="125" r="CT160"/>
      <c s="125" r="CU160"/>
      <c s="125" r="CV160"/>
      <c s="125" r="CW160"/>
      <c s="125" r="CX160"/>
      <c s="125" r="CY160"/>
      <c s="125" r="CZ160"/>
      <c s="642" r="DA160"/>
      <c s="642" r="DB160"/>
      <c s="125" r="DC160"/>
      <c s="125" r="DD160"/>
      <c s="125" r="DE160"/>
      <c s="125" r="DF160"/>
      <c s="125" r="DG160"/>
      <c s="125" r="DH160"/>
      <c s="125" r="DI160"/>
      <c s="125" r="DJ160"/>
      <c s="125" r="DK160"/>
      <c s="125" r="DL160"/>
      <c s="125" r="DM160"/>
      <c s="125" r="DN160"/>
      <c s="125" r="DO160"/>
      <c s="125" r="DP160"/>
      <c s="125" r="DQ160"/>
      <c s="125" r="DR160"/>
      <c s="125" r="DS160"/>
      <c s="125" r="DT160"/>
      <c s="125" r="DU160"/>
      <c s="125" r="DV160"/>
      <c s="125" r="DW160"/>
      <c s="125" r="DX160"/>
      <c s="642" r="DY160"/>
      <c s="642" r="DZ160"/>
      <c s="125" r="EA160"/>
      <c s="125" r="EB160"/>
      <c s="125" r="EC160"/>
      <c s="125" r="ED160"/>
      <c s="125" r="EE160"/>
      <c s="125" r="EF160"/>
      <c s="125" r="EG160"/>
      <c s="125" r="EH160"/>
      <c s="125" r="EI160"/>
      <c s="125" r="EJ160"/>
      <c s="125" r="EK160"/>
      <c s="125" r="EL160"/>
      <c s="125" r="EM160"/>
      <c s="125" r="EN160"/>
      <c s="125" r="EO160"/>
      <c s="125" r="EP160"/>
      <c s="125" r="EQ160"/>
      <c s="125" r="ER160"/>
      <c s="125" r="ES160"/>
      <c s="125" r="ET160"/>
      <c s="125" r="EU160"/>
      <c s="125" r="EV160"/>
      <c s="642" r="EW160"/>
      <c s="642" r="EX160"/>
      <c s="125" r="EY160"/>
      <c s="125" r="EZ160"/>
      <c s="125" r="FA160"/>
      <c s="125" r="FB160"/>
      <c s="125" r="FC160"/>
      <c s="125" r="FD160"/>
      <c s="125" r="FE160"/>
      <c s="125" r="FF160"/>
      <c s="125" r="FG160"/>
      <c s="125" r="FH160"/>
      <c s="125" r="FI160"/>
      <c s="125" r="FJ160"/>
      <c s="125" r="FK160"/>
      <c s="125" r="FL160"/>
      <c s="125" r="FM160"/>
      <c s="125" r="FN160"/>
      <c s="125" r="FO160"/>
      <c s="125" r="FP160"/>
      <c s="125" r="FQ160"/>
      <c s="125" r="FR160"/>
      <c s="125" r="FS160"/>
      <c s="125" r="FT160"/>
      <c s="642" r="FU160"/>
      <c s="642" r="FV160"/>
      <c s="125" r="FW160"/>
      <c s="125" r="FX160"/>
      <c s="125" r="FY160"/>
      <c s="125" r="FZ160"/>
      <c s="125" r="GA160"/>
      <c s="125" r="GB160"/>
      <c s="125" r="GC160"/>
      <c s="125" r="GD160"/>
      <c s="125" r="GE160"/>
      <c s="125" r="GF160"/>
      <c s="125" r="GG160"/>
      <c s="125" r="GH160"/>
      <c s="125" r="GI160"/>
      <c s="125" r="GJ160"/>
      <c s="125" r="GK160"/>
      <c s="125" r="GL160"/>
      <c s="125" r="GM160"/>
      <c s="125" r="GN160"/>
      <c s="125" r="GO160"/>
      <c s="125" r="GP160"/>
      <c s="125" r="GQ160"/>
      <c s="125" r="GR160"/>
      <c s="125" r="GS160"/>
      <c s="125" r="GT160"/>
      <c s="125" r="GU160"/>
      <c s="125" r="GV160"/>
      <c s="125" r="GW160"/>
      <c s="125" r="GX160"/>
      <c s="125" r="GY160"/>
      <c s="125" r="GZ160"/>
      <c s="125" r="HA160"/>
      <c s="125" r="HB160"/>
    </row>
    <row r="161">
      <c s="125" r="A161"/>
      <c s="125" r="B161"/>
      <c s="125" r="C161"/>
      <c s="125" r="D161"/>
      <c s="125" r="E161"/>
      <c s="125" r="F161"/>
      <c s="125" r="G161"/>
      <c s="125" r="H161"/>
      <c s="125" r="I161"/>
      <c s="125" r="J161"/>
      <c s="125" r="K161"/>
      <c s="125" r="L161"/>
      <c s="125" r="M161"/>
      <c s="125" r="N161"/>
      <c s="125" r="O161"/>
      <c s="125" r="P161"/>
      <c s="125" r="Q161"/>
      <c s="125" r="R161"/>
      <c s="125" r="S161"/>
      <c s="125" r="T161"/>
      <c s="125" r="U161"/>
      <c s="125" r="V161"/>
      <c s="125" r="W161"/>
      <c s="125" r="X161"/>
      <c s="125" r="Y161"/>
      <c s="125" r="Z161"/>
      <c s="125" r="AA161"/>
      <c s="125" r="AB161"/>
      <c s="125" r="AC161"/>
      <c s="125" r="AD161"/>
      <c s="125" r="AE161"/>
      <c s="125" r="AF161"/>
      <c s="125" r="AG161"/>
      <c s="125" r="AH161"/>
      <c s="125" r="AI161"/>
      <c s="125" r="AJ161"/>
      <c s="125" r="AK161"/>
      <c s="125" r="AL161"/>
      <c s="125" r="AM161"/>
      <c s="125" r="AN161"/>
      <c s="125" r="AO161"/>
      <c s="125" r="AP161"/>
      <c s="125" r="AQ161"/>
      <c s="125" r="AR161"/>
      <c s="125" r="AS161"/>
      <c s="125" r="AT161"/>
      <c s="125" r="AU161"/>
      <c s="125" r="AV161"/>
      <c s="125" r="AW161"/>
      <c s="125" r="AX161"/>
      <c s="125" r="AY161"/>
      <c s="125" r="AZ161"/>
      <c s="125" r="BA161"/>
      <c s="125" r="BB161"/>
      <c s="125" r="BC161"/>
      <c s="125" r="BD161"/>
      <c s="125" r="BE161"/>
      <c s="125" r="BF161"/>
      <c s="125" r="BG161"/>
      <c s="125" r="BH161"/>
      <c s="125" r="BI161"/>
      <c s="125" r="BJ161"/>
      <c s="125" r="BK161"/>
      <c s="125" r="BL161"/>
      <c s="125" r="BM161"/>
      <c s="125" r="BN161"/>
      <c s="125" r="BO161"/>
      <c s="125" r="BP161"/>
      <c s="125" r="BQ161"/>
      <c s="125" r="BR161"/>
      <c s="125" r="BS161"/>
      <c s="125" r="BT161"/>
      <c s="125" r="BU161"/>
      <c s="125" r="BV161"/>
      <c s="125" r="BW161"/>
      <c s="125" r="BX161"/>
      <c s="125" r="BY161"/>
      <c s="125" r="BZ161"/>
      <c s="125" r="CA161"/>
      <c s="125" r="CB161"/>
      <c s="642" r="CC161"/>
      <c s="642" r="CD161"/>
      <c s="125" r="CE161"/>
      <c s="125" r="CF161"/>
      <c s="125" r="CG161"/>
      <c s="125" r="CH161"/>
      <c s="125" r="CI161"/>
      <c s="125" r="CJ161"/>
      <c s="125" r="CK161"/>
      <c s="125" r="CL161"/>
      <c s="125" r="CM161"/>
      <c s="125" r="CN161"/>
      <c s="125" r="CO161"/>
      <c s="125" r="CP161"/>
      <c s="125" r="CQ161"/>
      <c s="125" r="CR161"/>
      <c s="125" r="CS161"/>
      <c s="125" r="CT161"/>
      <c s="125" r="CU161"/>
      <c s="125" r="CV161"/>
      <c s="125" r="CW161"/>
      <c s="125" r="CX161"/>
      <c s="125" r="CY161"/>
      <c s="125" r="CZ161"/>
      <c s="642" r="DA161"/>
      <c s="642" r="DB161"/>
      <c s="125" r="DC161"/>
      <c s="125" r="DD161"/>
      <c s="125" r="DE161"/>
      <c s="125" r="DF161"/>
      <c s="125" r="DG161"/>
      <c s="125" r="DH161"/>
      <c s="125" r="DI161"/>
      <c s="125" r="DJ161"/>
      <c s="125" r="DK161"/>
      <c s="125" r="DL161"/>
      <c s="125" r="DM161"/>
      <c s="125" r="DN161"/>
      <c s="125" r="DO161"/>
      <c s="125" r="DP161"/>
      <c s="125" r="DQ161"/>
      <c s="125" r="DR161"/>
      <c s="125" r="DS161"/>
      <c s="125" r="DT161"/>
      <c s="125" r="DU161"/>
      <c s="125" r="DV161"/>
      <c s="125" r="DW161"/>
      <c s="125" r="DX161"/>
      <c s="642" r="DY161"/>
      <c s="642" r="DZ161"/>
      <c s="125" r="EA161"/>
      <c s="125" r="EB161"/>
      <c s="125" r="EC161"/>
      <c s="125" r="ED161"/>
      <c s="125" r="EE161"/>
      <c s="125" r="EF161"/>
      <c s="125" r="EG161"/>
      <c s="125" r="EH161"/>
      <c s="125" r="EI161"/>
      <c s="125" r="EJ161"/>
      <c s="125" r="EK161"/>
      <c s="125" r="EL161"/>
      <c s="125" r="EM161"/>
      <c s="125" r="EN161"/>
      <c s="125" r="EO161"/>
      <c s="125" r="EP161"/>
      <c s="125" r="EQ161"/>
      <c s="125" r="ER161"/>
      <c s="125" r="ES161"/>
      <c s="125" r="ET161"/>
      <c s="125" r="EU161"/>
      <c s="125" r="EV161"/>
      <c s="642" r="EW161"/>
      <c s="642" r="EX161"/>
      <c s="125" r="EY161"/>
      <c s="125" r="EZ161"/>
      <c s="125" r="FA161"/>
      <c s="125" r="FB161"/>
      <c s="125" r="FC161"/>
      <c s="125" r="FD161"/>
      <c s="125" r="FE161"/>
      <c s="125" r="FF161"/>
      <c s="125" r="FG161"/>
      <c s="125" r="FH161"/>
      <c s="125" r="FI161"/>
      <c s="125" r="FJ161"/>
      <c s="125" r="FK161"/>
      <c s="125" r="FL161"/>
      <c s="125" r="FM161"/>
      <c s="125" r="FN161"/>
      <c s="125" r="FO161"/>
      <c s="125" r="FP161"/>
      <c s="125" r="FQ161"/>
      <c s="125" r="FR161"/>
      <c s="125" r="FS161"/>
      <c s="125" r="FT161"/>
      <c s="642" r="FU161"/>
      <c s="642" r="FV161"/>
      <c s="125" r="FW161"/>
      <c s="125" r="FX161"/>
      <c s="125" r="FY161"/>
      <c s="125" r="FZ161"/>
      <c s="125" r="GA161"/>
      <c s="125" r="GB161"/>
      <c s="125" r="GC161"/>
      <c s="125" r="GD161"/>
      <c s="125" r="GE161"/>
      <c s="125" r="GF161"/>
      <c s="125" r="GG161"/>
      <c s="125" r="GH161"/>
      <c s="125" r="GI161"/>
      <c s="125" r="GJ161"/>
      <c s="125" r="GK161"/>
      <c s="125" r="GL161"/>
      <c s="125" r="GM161"/>
      <c s="125" r="GN161"/>
      <c s="125" r="GO161"/>
      <c s="125" r="GP161"/>
      <c s="125" r="GQ161"/>
      <c s="125" r="GR161"/>
      <c s="125" r="GS161"/>
      <c s="125" r="GT161"/>
      <c s="125" r="GU161"/>
      <c s="125" r="GV161"/>
      <c s="125" r="GW161"/>
      <c s="125" r="GX161"/>
      <c s="125" r="GY161"/>
      <c s="125" r="GZ161"/>
      <c s="125" r="HA161"/>
      <c s="125" r="HB161"/>
    </row>
    <row r="162">
      <c s="125" r="A162"/>
      <c s="125" r="B162"/>
      <c s="125" r="C162"/>
      <c s="125" r="D162"/>
      <c s="125" r="E162"/>
      <c s="125" r="F162"/>
      <c s="125" r="G162"/>
      <c s="125" r="H162"/>
      <c s="125" r="I162"/>
      <c s="125" r="J162"/>
      <c s="125" r="K162"/>
      <c s="125" r="L162"/>
      <c s="125" r="M162"/>
      <c s="125" r="N162"/>
      <c s="125" r="O162"/>
      <c s="125" r="P162"/>
      <c s="125" r="Q162"/>
      <c s="125" r="R162"/>
      <c s="125" r="S162"/>
      <c s="125" r="T162"/>
      <c s="125" r="U162"/>
      <c s="125" r="V162"/>
      <c s="125" r="W162"/>
      <c s="125" r="X162"/>
      <c s="125" r="Y162"/>
      <c s="125" r="Z162"/>
      <c s="125" r="AA162"/>
      <c s="125" r="AB162"/>
      <c s="125" r="AC162"/>
      <c s="125" r="AD162"/>
      <c s="125" r="AE162"/>
      <c s="125" r="AF162"/>
      <c s="125" r="AG162"/>
      <c s="125" r="AH162"/>
      <c s="125" r="AI162"/>
      <c s="125" r="AJ162"/>
      <c s="125" r="AK162"/>
      <c s="125" r="AL162"/>
      <c s="125" r="AM162"/>
      <c s="125" r="AN162"/>
      <c s="125" r="AO162"/>
      <c s="125" r="AP162"/>
      <c s="125" r="AQ162"/>
      <c s="125" r="AR162"/>
      <c s="125" r="AS162"/>
      <c s="125" r="AT162"/>
      <c s="125" r="AU162"/>
      <c s="125" r="AV162"/>
      <c s="125" r="AW162"/>
      <c s="125" r="AX162"/>
      <c s="125" r="AY162"/>
      <c s="125" r="AZ162"/>
      <c s="125" r="BA162"/>
      <c s="125" r="BB162"/>
      <c s="125" r="BC162"/>
      <c s="125" r="BD162"/>
      <c s="125" r="BE162"/>
      <c s="125" r="BF162"/>
      <c s="125" r="BG162"/>
      <c s="125" r="BH162"/>
      <c s="125" r="BI162"/>
      <c s="125" r="BJ162"/>
      <c s="125" r="BK162"/>
      <c s="125" r="BL162"/>
      <c s="125" r="BM162"/>
      <c s="125" r="BN162"/>
      <c s="125" r="BO162"/>
      <c s="125" r="BP162"/>
      <c s="125" r="BQ162"/>
      <c s="125" r="BR162"/>
      <c s="125" r="BS162"/>
      <c s="125" r="BT162"/>
      <c s="125" r="BU162"/>
      <c s="125" r="BV162"/>
      <c s="125" r="BW162"/>
      <c s="125" r="BX162"/>
      <c s="125" r="BY162"/>
      <c s="125" r="BZ162"/>
      <c s="125" r="CA162"/>
      <c s="125" r="CB162"/>
      <c s="642" r="CC162"/>
      <c s="642" r="CD162"/>
      <c s="125" r="CE162"/>
      <c s="125" r="CF162"/>
      <c s="125" r="CG162"/>
      <c s="125" r="CH162"/>
      <c s="125" r="CI162"/>
      <c s="125" r="CJ162"/>
      <c s="125" r="CK162"/>
      <c s="125" r="CL162"/>
      <c s="125" r="CM162"/>
      <c s="125" r="CN162"/>
      <c s="125" r="CO162"/>
      <c s="125" r="CP162"/>
      <c s="125" r="CQ162"/>
      <c s="125" r="CR162"/>
      <c s="125" r="CS162"/>
      <c s="125" r="CT162"/>
      <c s="125" r="CU162"/>
      <c s="125" r="CV162"/>
      <c s="125" r="CW162"/>
      <c s="125" r="CX162"/>
      <c s="125" r="CY162"/>
      <c s="125" r="CZ162"/>
      <c s="642" r="DA162"/>
      <c s="642" r="DB162"/>
      <c s="125" r="DC162"/>
      <c s="125" r="DD162"/>
      <c s="125" r="DE162"/>
      <c s="125" r="DF162"/>
      <c s="125" r="DG162"/>
      <c s="125" r="DH162"/>
      <c s="125" r="DI162"/>
      <c s="125" r="DJ162"/>
      <c s="125" r="DK162"/>
      <c s="125" r="DL162"/>
      <c s="125" r="DM162"/>
      <c s="125" r="DN162"/>
      <c s="125" r="DO162"/>
      <c s="125" r="DP162"/>
      <c s="125" r="DQ162"/>
      <c s="125" r="DR162"/>
      <c s="125" r="DS162"/>
      <c s="125" r="DT162"/>
      <c s="125" r="DU162"/>
      <c s="125" r="DV162"/>
      <c s="125" r="DW162"/>
      <c s="125" r="DX162"/>
      <c s="642" r="DY162"/>
      <c s="642" r="DZ162"/>
      <c s="125" r="EA162"/>
      <c s="125" r="EB162"/>
      <c s="125" r="EC162"/>
      <c s="125" r="ED162"/>
      <c s="125" r="EE162"/>
      <c s="125" r="EF162"/>
      <c s="125" r="EG162"/>
      <c s="125" r="EH162"/>
      <c s="125" r="EI162"/>
      <c s="125" r="EJ162"/>
      <c s="125" r="EK162"/>
      <c s="125" r="EL162"/>
      <c s="125" r="EM162"/>
      <c s="125" r="EN162"/>
      <c s="125" r="EO162"/>
      <c s="125" r="EP162"/>
      <c s="125" r="EQ162"/>
      <c s="125" r="ER162"/>
      <c s="125" r="ES162"/>
      <c s="125" r="ET162"/>
      <c s="125" r="EU162"/>
      <c s="125" r="EV162"/>
      <c s="642" r="EW162"/>
      <c s="642" r="EX162"/>
      <c s="125" r="EY162"/>
      <c s="125" r="EZ162"/>
      <c s="125" r="FA162"/>
      <c s="125" r="FB162"/>
      <c s="125" r="FC162"/>
      <c s="125" r="FD162"/>
      <c s="125" r="FE162"/>
      <c s="125" r="FF162"/>
      <c s="125" r="FG162"/>
      <c s="125" r="FH162"/>
      <c s="125" r="FI162"/>
      <c s="125" r="FJ162"/>
      <c s="125" r="FK162"/>
      <c s="125" r="FL162"/>
      <c s="125" r="FM162"/>
      <c s="125" r="FN162"/>
      <c s="125" r="FO162"/>
      <c s="125" r="FP162"/>
      <c s="125" r="FQ162"/>
      <c s="125" r="FR162"/>
      <c s="125" r="FS162"/>
      <c s="125" r="FT162"/>
      <c s="642" r="FU162"/>
      <c s="642" r="FV162"/>
      <c s="125" r="FW162"/>
      <c s="125" r="FX162"/>
      <c s="125" r="FY162"/>
      <c s="125" r="FZ162"/>
      <c s="125" r="GA162"/>
      <c s="125" r="GB162"/>
      <c s="125" r="GC162"/>
      <c s="125" r="GD162"/>
      <c s="125" r="GE162"/>
      <c s="125" r="GF162"/>
      <c s="125" r="GG162"/>
      <c s="125" r="GH162"/>
      <c s="125" r="GI162"/>
      <c s="125" r="GJ162"/>
      <c s="125" r="GK162"/>
      <c s="125" r="GL162"/>
      <c s="125" r="GM162"/>
      <c s="125" r="GN162"/>
      <c s="125" r="GO162"/>
      <c s="125" r="GP162"/>
      <c s="125" r="GQ162"/>
      <c s="125" r="GR162"/>
      <c s="125" r="GS162"/>
      <c s="125" r="GT162"/>
      <c s="125" r="GU162"/>
      <c s="125" r="GV162"/>
      <c s="125" r="GW162"/>
      <c s="125" r="GX162"/>
      <c s="125" r="GY162"/>
      <c s="125" r="GZ162"/>
      <c s="125" r="HA162"/>
      <c s="125" r="HB162"/>
    </row>
    <row r="163">
      <c s="125" r="A163"/>
      <c s="125" r="B163"/>
      <c s="125" r="C163"/>
      <c s="125" r="D163"/>
      <c s="125" r="E163"/>
      <c s="125" r="F163"/>
      <c s="125" r="G163"/>
      <c s="125" r="H163"/>
      <c s="125" r="I163"/>
      <c s="125" r="J163"/>
      <c s="125" r="K163"/>
      <c s="125" r="L163"/>
      <c s="125" r="M163"/>
      <c s="125" r="N163"/>
      <c s="125" r="O163"/>
      <c s="125" r="P163"/>
      <c s="125" r="Q163"/>
      <c s="125" r="R163"/>
      <c s="125" r="S163"/>
      <c s="125" r="T163"/>
      <c s="125" r="U163"/>
      <c s="125" r="V163"/>
      <c s="125" r="W163"/>
      <c s="125" r="X163"/>
      <c s="125" r="Y163"/>
      <c s="125" r="Z163"/>
      <c s="125" r="AA163"/>
      <c s="125" r="AB163"/>
      <c s="125" r="AC163"/>
      <c s="125" r="AD163"/>
      <c s="125" r="AE163"/>
      <c s="125" r="AF163"/>
      <c s="125" r="AG163"/>
      <c s="125" r="AH163"/>
      <c s="125" r="AI163"/>
      <c s="125" r="AJ163"/>
      <c s="125" r="AK163"/>
      <c s="125" r="AL163"/>
      <c s="125" r="AM163"/>
      <c s="125" r="AN163"/>
      <c s="125" r="AO163"/>
      <c s="125" r="AP163"/>
      <c s="125" r="AQ163"/>
      <c s="125" r="AR163"/>
      <c s="125" r="AS163"/>
      <c s="125" r="AT163"/>
      <c s="125" r="AU163"/>
      <c s="125" r="AV163"/>
      <c s="125" r="AW163"/>
      <c s="125" r="AX163"/>
      <c s="125" r="AY163"/>
      <c s="125" r="AZ163"/>
      <c s="125" r="BA163"/>
      <c s="125" r="BB163"/>
      <c s="125" r="BC163"/>
      <c s="125" r="BD163"/>
      <c s="125" r="BE163"/>
      <c s="125" r="BF163"/>
      <c s="125" r="BG163"/>
      <c s="125" r="BH163"/>
      <c s="125" r="BI163"/>
      <c s="125" r="BJ163"/>
      <c s="125" r="BK163"/>
      <c s="125" r="BL163"/>
      <c s="125" r="BM163"/>
      <c s="125" r="BN163"/>
      <c s="125" r="BO163"/>
      <c s="125" r="BP163"/>
      <c s="125" r="BQ163"/>
      <c s="125" r="BR163"/>
      <c s="125" r="BS163"/>
      <c s="125" r="BT163"/>
      <c s="125" r="BU163"/>
      <c s="125" r="BV163"/>
      <c s="125" r="BW163"/>
      <c s="125" r="BX163"/>
      <c s="125" r="BY163"/>
      <c s="125" r="BZ163"/>
      <c s="125" r="CA163"/>
      <c s="125" r="CB163"/>
      <c s="642" r="CC163"/>
      <c s="642" r="CD163"/>
      <c s="125" r="CE163"/>
      <c s="125" r="CF163"/>
      <c s="125" r="CG163"/>
      <c s="125" r="CH163"/>
      <c s="125" r="CI163"/>
      <c s="125" r="CJ163"/>
      <c s="125" r="CK163"/>
      <c s="125" r="CL163"/>
      <c s="125" r="CM163"/>
      <c s="125" r="CN163"/>
      <c s="125" r="CO163"/>
      <c s="125" r="CP163"/>
      <c s="125" r="CQ163"/>
      <c s="125" r="CR163"/>
      <c s="125" r="CS163"/>
      <c s="125" r="CT163"/>
      <c s="125" r="CU163"/>
      <c s="125" r="CV163"/>
      <c s="125" r="CW163"/>
      <c s="125" r="CX163"/>
      <c s="125" r="CY163"/>
      <c s="125" r="CZ163"/>
      <c s="642" r="DA163"/>
      <c s="642" r="DB163"/>
      <c s="125" r="DC163"/>
      <c s="125" r="DD163"/>
      <c s="125" r="DE163"/>
      <c s="125" r="DF163"/>
      <c s="125" r="DG163"/>
      <c s="125" r="DH163"/>
      <c s="125" r="DI163"/>
      <c s="125" r="DJ163"/>
      <c s="125" r="DK163"/>
      <c s="125" r="DL163"/>
      <c s="125" r="DM163"/>
      <c s="125" r="DN163"/>
      <c s="125" r="DO163"/>
      <c s="125" r="DP163"/>
      <c s="125" r="DQ163"/>
      <c s="125" r="DR163"/>
      <c s="125" r="DS163"/>
      <c s="125" r="DT163"/>
      <c s="125" r="DU163"/>
      <c s="125" r="DV163"/>
      <c s="125" r="DW163"/>
      <c s="125" r="DX163"/>
      <c s="642" r="DY163"/>
      <c s="642" r="DZ163"/>
      <c s="125" r="EA163"/>
      <c s="125" r="EB163"/>
      <c s="125" r="EC163"/>
      <c s="125" r="ED163"/>
      <c s="125" r="EE163"/>
      <c s="125" r="EF163"/>
      <c s="125" r="EG163"/>
      <c s="125" r="EH163"/>
      <c s="125" r="EI163"/>
      <c s="125" r="EJ163"/>
      <c s="125" r="EK163"/>
      <c s="125" r="EL163"/>
      <c s="125" r="EM163"/>
      <c s="125" r="EN163"/>
      <c s="125" r="EO163"/>
      <c s="125" r="EP163"/>
      <c s="125" r="EQ163"/>
      <c s="125" r="ER163"/>
      <c s="125" r="ES163"/>
      <c s="125" r="ET163"/>
      <c s="125" r="EU163"/>
      <c s="125" r="EV163"/>
      <c s="642" r="EW163"/>
      <c s="642" r="EX163"/>
      <c s="125" r="EY163"/>
      <c s="125" r="EZ163"/>
      <c s="125" r="FA163"/>
      <c s="125" r="FB163"/>
      <c s="125" r="FC163"/>
      <c s="125" r="FD163"/>
      <c s="125" r="FE163"/>
      <c s="125" r="FF163"/>
      <c s="125" r="FG163"/>
      <c s="125" r="FH163"/>
      <c s="125" r="FI163"/>
      <c s="125" r="FJ163"/>
      <c s="125" r="FK163"/>
      <c s="125" r="FL163"/>
      <c s="125" r="FM163"/>
      <c s="125" r="FN163"/>
      <c s="125" r="FO163"/>
      <c s="125" r="FP163"/>
      <c s="125" r="FQ163"/>
      <c s="125" r="FR163"/>
      <c s="125" r="FS163"/>
      <c s="125" r="FT163"/>
      <c s="642" r="FU163"/>
      <c s="642" r="FV163"/>
      <c s="125" r="FW163"/>
      <c s="125" r="FX163"/>
      <c s="125" r="FY163"/>
      <c s="125" r="FZ163"/>
      <c s="125" r="GA163"/>
      <c s="125" r="GB163"/>
      <c s="125" r="GC163"/>
      <c s="125" r="GD163"/>
      <c s="125" r="GE163"/>
      <c s="125" r="GF163"/>
      <c s="125" r="GG163"/>
      <c s="125" r="GH163"/>
      <c s="125" r="GI163"/>
      <c s="125" r="GJ163"/>
      <c s="125" r="GK163"/>
      <c s="125" r="GL163"/>
      <c s="125" r="GM163"/>
      <c s="125" r="GN163"/>
      <c s="125" r="GO163"/>
      <c s="125" r="GP163"/>
      <c s="125" r="GQ163"/>
      <c s="125" r="GR163"/>
      <c s="125" r="GS163"/>
      <c s="125" r="GT163"/>
      <c s="125" r="GU163"/>
      <c s="125" r="GV163"/>
      <c s="125" r="GW163"/>
      <c s="125" r="GX163"/>
      <c s="125" r="GY163"/>
      <c s="125" r="GZ163"/>
      <c s="125" r="HA163"/>
      <c s="125" r="HB163"/>
    </row>
    <row r="164">
      <c s="125" r="A164"/>
      <c s="125" r="B164"/>
      <c s="125" r="C164"/>
      <c s="125" r="D164"/>
      <c s="125" r="E164"/>
      <c s="125" r="F164"/>
      <c s="125" r="G164"/>
      <c s="125" r="H164"/>
      <c s="125" r="I164"/>
      <c s="125" r="J164"/>
      <c s="125" r="K164"/>
      <c s="125" r="L164"/>
      <c s="125" r="M164"/>
      <c s="125" r="N164"/>
      <c s="125" r="O164"/>
      <c s="125" r="P164"/>
      <c s="125" r="Q164"/>
      <c s="125" r="R164"/>
      <c s="125" r="S164"/>
      <c s="125" r="T164"/>
      <c s="125" r="U164"/>
      <c s="125" r="V164"/>
      <c s="125" r="W164"/>
      <c s="125" r="X164"/>
      <c s="125" r="Y164"/>
      <c s="125" r="Z164"/>
      <c s="125" r="AA164"/>
      <c s="125" r="AB164"/>
      <c s="125" r="AC164"/>
      <c s="125" r="AD164"/>
      <c s="125" r="AE164"/>
      <c s="125" r="AF164"/>
      <c s="125" r="AG164"/>
      <c s="125" r="AH164"/>
      <c s="125" r="AI164"/>
      <c s="125" r="AJ164"/>
      <c s="125" r="AK164"/>
      <c s="125" r="AL164"/>
      <c s="125" r="AM164"/>
      <c s="125" r="AN164"/>
      <c s="125" r="AO164"/>
      <c s="125" r="AP164"/>
      <c s="125" r="AQ164"/>
      <c s="125" r="AR164"/>
      <c s="125" r="AS164"/>
      <c s="125" r="AT164"/>
      <c s="125" r="AU164"/>
      <c s="125" r="AV164"/>
      <c s="125" r="AW164"/>
      <c s="125" r="AX164"/>
      <c s="125" r="AY164"/>
      <c s="125" r="AZ164"/>
      <c s="125" r="BA164"/>
      <c s="125" r="BB164"/>
      <c s="125" r="BC164"/>
      <c s="125" r="BD164"/>
      <c s="125" r="BE164"/>
      <c s="125" r="BF164"/>
      <c s="125" r="BG164"/>
      <c s="125" r="BH164"/>
      <c s="125" r="BI164"/>
      <c s="125" r="BJ164"/>
      <c s="125" r="BK164"/>
      <c s="125" r="BL164"/>
      <c s="125" r="BM164"/>
      <c s="125" r="BN164"/>
      <c s="125" r="BO164"/>
      <c s="125" r="BP164"/>
      <c s="125" r="BQ164"/>
      <c s="125" r="BR164"/>
      <c s="125" r="BS164"/>
      <c s="125" r="BT164"/>
      <c s="125" r="BU164"/>
      <c s="125" r="BV164"/>
      <c s="125" r="BW164"/>
      <c s="125" r="BX164"/>
      <c s="125" r="BY164"/>
      <c s="125" r="BZ164"/>
      <c s="125" r="CA164"/>
      <c s="125" r="CB164"/>
      <c s="642" r="CC164"/>
      <c s="642" r="CD164"/>
      <c s="125" r="CE164"/>
      <c s="125" r="CF164"/>
      <c s="125" r="CG164"/>
      <c s="125" r="CH164"/>
      <c s="125" r="CI164"/>
      <c s="125" r="CJ164"/>
      <c s="125" r="CK164"/>
      <c s="125" r="CL164"/>
      <c s="125" r="CM164"/>
      <c s="125" r="CN164"/>
      <c s="125" r="CO164"/>
      <c s="125" r="CP164"/>
      <c s="125" r="CQ164"/>
      <c s="125" r="CR164"/>
      <c s="125" r="CS164"/>
      <c s="125" r="CT164"/>
      <c s="125" r="CU164"/>
      <c s="125" r="CV164"/>
      <c s="125" r="CW164"/>
      <c s="125" r="CX164"/>
      <c s="125" r="CY164"/>
      <c s="125" r="CZ164"/>
      <c s="642" r="DA164"/>
      <c s="642" r="DB164"/>
      <c s="125" r="DC164"/>
      <c s="125" r="DD164"/>
      <c s="125" r="DE164"/>
      <c s="125" r="DF164"/>
      <c s="125" r="DG164"/>
      <c s="125" r="DH164"/>
      <c s="125" r="DI164"/>
      <c s="125" r="DJ164"/>
      <c s="125" r="DK164"/>
      <c s="125" r="DL164"/>
      <c s="125" r="DM164"/>
      <c s="125" r="DN164"/>
      <c s="125" r="DO164"/>
      <c s="125" r="DP164"/>
      <c s="125" r="DQ164"/>
      <c s="125" r="DR164"/>
      <c s="125" r="DS164"/>
      <c s="125" r="DT164"/>
      <c s="125" r="DU164"/>
      <c s="125" r="DV164"/>
      <c s="125" r="DW164"/>
      <c s="125" r="DX164"/>
      <c s="642" r="DY164"/>
      <c s="642" r="DZ164"/>
      <c s="125" r="EA164"/>
      <c s="125" r="EB164"/>
      <c s="125" r="EC164"/>
      <c s="125" r="ED164"/>
      <c s="125" r="EE164"/>
      <c s="125" r="EF164"/>
      <c s="125" r="EG164"/>
      <c s="125" r="EH164"/>
      <c s="125" r="EI164"/>
      <c s="125" r="EJ164"/>
      <c s="125" r="EK164"/>
      <c s="125" r="EL164"/>
      <c s="125" r="EM164"/>
      <c s="125" r="EN164"/>
      <c s="125" r="EO164"/>
      <c s="125" r="EP164"/>
      <c s="125" r="EQ164"/>
      <c s="125" r="ER164"/>
      <c s="125" r="ES164"/>
      <c s="125" r="ET164"/>
      <c s="125" r="EU164"/>
      <c s="125" r="EV164"/>
      <c s="642" r="EW164"/>
      <c s="642" r="EX164"/>
      <c s="125" r="EY164"/>
      <c s="125" r="EZ164"/>
      <c s="125" r="FA164"/>
      <c s="125" r="FB164"/>
      <c s="125" r="FC164"/>
      <c s="125" r="FD164"/>
      <c s="125" r="FE164"/>
      <c s="125" r="FF164"/>
      <c s="125" r="FG164"/>
      <c s="125" r="FH164"/>
      <c s="125" r="FI164"/>
      <c s="125" r="FJ164"/>
      <c s="125" r="FK164"/>
      <c s="125" r="FL164"/>
      <c s="125" r="FM164"/>
      <c s="125" r="FN164"/>
      <c s="125" r="FO164"/>
      <c s="125" r="FP164"/>
      <c s="125" r="FQ164"/>
      <c s="125" r="FR164"/>
      <c s="125" r="FS164"/>
      <c s="125" r="FT164"/>
      <c s="642" r="FU164"/>
      <c s="642" r="FV164"/>
      <c s="125" r="FW164"/>
      <c s="125" r="FX164"/>
      <c s="125" r="FY164"/>
      <c s="125" r="FZ164"/>
      <c s="125" r="GA164"/>
      <c s="125" r="GB164"/>
      <c s="125" r="GC164"/>
      <c s="125" r="GD164"/>
      <c s="125" r="GE164"/>
      <c s="125" r="GF164"/>
      <c s="125" r="GG164"/>
      <c s="125" r="GH164"/>
      <c s="125" r="GI164"/>
      <c s="125" r="GJ164"/>
      <c s="125" r="GK164"/>
      <c s="125" r="GL164"/>
      <c s="125" r="GM164"/>
      <c s="125" r="GN164"/>
      <c s="125" r="GO164"/>
      <c s="125" r="GP164"/>
      <c s="125" r="GQ164"/>
      <c s="125" r="GR164"/>
      <c s="125" r="GS164"/>
      <c s="125" r="GT164"/>
      <c s="125" r="GU164"/>
      <c s="125" r="GV164"/>
      <c s="125" r="GW164"/>
      <c s="125" r="GX164"/>
      <c s="125" r="GY164"/>
      <c s="125" r="GZ164"/>
      <c s="125" r="HA164"/>
      <c s="125" r="HB164"/>
    </row>
    <row r="165">
      <c s="125" r="A165"/>
      <c s="125" r="B165"/>
      <c s="125" r="C165"/>
      <c s="125" r="D165"/>
      <c s="125" r="E165"/>
      <c s="125" r="F165"/>
      <c s="125" r="G165"/>
      <c s="125" r="H165"/>
      <c s="125" r="I165"/>
      <c s="125" r="J165"/>
      <c s="125" r="K165"/>
      <c s="125" r="L165"/>
      <c s="125" r="M165"/>
      <c s="125" r="N165"/>
      <c s="125" r="O165"/>
      <c s="125" r="P165"/>
      <c s="125" r="Q165"/>
      <c s="125" r="R165"/>
      <c s="125" r="S165"/>
      <c s="125" r="T165"/>
      <c s="125" r="U165"/>
      <c s="125" r="V165"/>
      <c s="125" r="W165"/>
      <c s="125" r="X165"/>
      <c s="125" r="Y165"/>
      <c s="125" r="Z165"/>
      <c s="125" r="AA165"/>
      <c s="125" r="AB165"/>
      <c s="125" r="AC165"/>
      <c s="125" r="AD165"/>
      <c s="125" r="AE165"/>
      <c s="125" r="AF165"/>
      <c s="125" r="AG165"/>
      <c s="125" r="AH165"/>
      <c s="125" r="AI165"/>
      <c s="125" r="AJ165"/>
      <c s="125" r="AK165"/>
      <c s="125" r="AL165"/>
      <c s="125" r="AM165"/>
      <c s="125" r="AN165"/>
      <c s="125" r="AO165"/>
      <c s="125" r="AP165"/>
      <c s="125" r="AQ165"/>
      <c s="125" r="AR165"/>
      <c s="125" r="AS165"/>
      <c s="125" r="AT165"/>
      <c s="125" r="AU165"/>
      <c s="125" r="AV165"/>
      <c s="125" r="AW165"/>
      <c s="125" r="AX165"/>
      <c s="125" r="AY165"/>
      <c s="125" r="AZ165"/>
      <c s="125" r="BA165"/>
      <c s="125" r="BB165"/>
      <c s="125" r="BC165"/>
      <c s="125" r="BD165"/>
      <c s="125" r="BE165"/>
      <c s="125" r="BF165"/>
      <c s="125" r="BG165"/>
      <c s="125" r="BH165"/>
      <c s="125" r="BI165"/>
      <c s="125" r="BJ165"/>
      <c s="125" r="BK165"/>
      <c s="125" r="BL165"/>
      <c s="125" r="BM165"/>
      <c s="125" r="BN165"/>
      <c s="125" r="BO165"/>
      <c s="125" r="BP165"/>
      <c s="125" r="BQ165"/>
      <c s="125" r="BR165"/>
      <c s="125" r="BS165"/>
      <c s="125" r="BT165"/>
      <c s="125" r="BU165"/>
      <c s="125" r="BV165"/>
      <c s="125" r="BW165"/>
      <c s="125" r="BX165"/>
      <c s="125" r="BY165"/>
      <c s="125" r="BZ165"/>
      <c s="125" r="CA165"/>
      <c s="125" r="CB165"/>
      <c s="642" r="CC165"/>
      <c s="642" r="CD165"/>
      <c s="125" r="CE165"/>
      <c s="125" r="CF165"/>
      <c s="125" r="CG165"/>
      <c s="125" r="CH165"/>
      <c s="125" r="CI165"/>
      <c s="125" r="CJ165"/>
      <c s="125" r="CK165"/>
      <c s="125" r="CL165"/>
      <c s="125" r="CM165"/>
      <c s="125" r="CN165"/>
      <c s="125" r="CO165"/>
      <c s="125" r="CP165"/>
      <c s="125" r="CQ165"/>
      <c s="125" r="CR165"/>
      <c s="125" r="CS165"/>
      <c s="125" r="CT165"/>
      <c s="125" r="CU165"/>
      <c s="125" r="CV165"/>
      <c s="125" r="CW165"/>
      <c s="125" r="CX165"/>
      <c s="125" r="CY165"/>
      <c s="125" r="CZ165"/>
      <c s="642" r="DA165"/>
      <c s="642" r="DB165"/>
      <c s="125" r="DC165"/>
      <c s="125" r="DD165"/>
      <c s="125" r="DE165"/>
      <c s="125" r="DF165"/>
      <c s="125" r="DG165"/>
      <c s="125" r="DH165"/>
      <c s="125" r="DI165"/>
      <c s="125" r="DJ165"/>
      <c s="125" r="DK165"/>
      <c s="125" r="DL165"/>
      <c s="125" r="DM165"/>
      <c s="125" r="DN165"/>
      <c s="125" r="DO165"/>
      <c s="125" r="DP165"/>
      <c s="125" r="DQ165"/>
      <c s="125" r="DR165"/>
      <c s="125" r="DS165"/>
      <c s="125" r="DT165"/>
      <c s="125" r="DU165"/>
      <c s="125" r="DV165"/>
      <c s="125" r="DW165"/>
      <c s="125" r="DX165"/>
      <c s="642" r="DY165"/>
      <c s="642" r="DZ165"/>
      <c s="125" r="EA165"/>
      <c s="125" r="EB165"/>
      <c s="125" r="EC165"/>
      <c s="125" r="ED165"/>
      <c s="125" r="EE165"/>
      <c s="125" r="EF165"/>
      <c s="125" r="EG165"/>
      <c s="125" r="EH165"/>
      <c s="125" r="EI165"/>
      <c s="125" r="EJ165"/>
      <c s="125" r="EK165"/>
      <c s="125" r="EL165"/>
      <c s="125" r="EM165"/>
      <c s="125" r="EN165"/>
      <c s="125" r="EO165"/>
      <c s="125" r="EP165"/>
      <c s="125" r="EQ165"/>
      <c s="125" r="ER165"/>
      <c s="125" r="ES165"/>
      <c s="125" r="ET165"/>
      <c s="125" r="EU165"/>
      <c s="125" r="EV165"/>
      <c s="642" r="EW165"/>
      <c s="642" r="EX165"/>
      <c s="125" r="EY165"/>
      <c s="125" r="EZ165"/>
      <c s="125" r="FA165"/>
      <c s="125" r="FB165"/>
      <c s="125" r="FC165"/>
      <c s="125" r="FD165"/>
      <c s="125" r="FE165"/>
      <c s="125" r="FF165"/>
      <c s="125" r="FG165"/>
      <c s="125" r="FH165"/>
      <c s="125" r="FI165"/>
      <c s="125" r="FJ165"/>
      <c s="125" r="FK165"/>
      <c s="125" r="FL165"/>
      <c s="125" r="FM165"/>
      <c s="125" r="FN165"/>
      <c s="125" r="FO165"/>
      <c s="125" r="FP165"/>
      <c s="125" r="FQ165"/>
      <c s="125" r="FR165"/>
      <c s="125" r="FS165"/>
      <c s="125" r="FT165"/>
      <c s="642" r="FU165"/>
      <c s="642" r="FV165"/>
      <c s="125" r="FW165"/>
      <c s="125" r="FX165"/>
      <c s="125" r="FY165"/>
      <c s="125" r="FZ165"/>
      <c s="125" r="GA165"/>
      <c s="125" r="GB165"/>
      <c s="125" r="GC165"/>
      <c s="125" r="GD165"/>
      <c s="125" r="GE165"/>
      <c s="125" r="GF165"/>
      <c s="125" r="GG165"/>
      <c s="125" r="GH165"/>
      <c s="125" r="GI165"/>
      <c s="125" r="GJ165"/>
      <c s="125" r="GK165"/>
      <c s="125" r="GL165"/>
      <c s="125" r="GM165"/>
      <c s="125" r="GN165"/>
      <c s="125" r="GO165"/>
      <c s="125" r="GP165"/>
      <c s="125" r="GQ165"/>
      <c s="125" r="GR165"/>
      <c s="125" r="GS165"/>
      <c s="125" r="GT165"/>
      <c s="125" r="GU165"/>
      <c s="125" r="GV165"/>
      <c s="125" r="GW165"/>
      <c s="125" r="GX165"/>
      <c s="125" r="GY165"/>
      <c s="125" r="GZ165"/>
      <c s="125" r="HA165"/>
      <c s="125" r="HB165"/>
    </row>
    <row r="166">
      <c s="125" r="A166"/>
      <c s="125" r="B166"/>
      <c s="125" r="C166"/>
      <c s="125" r="D166"/>
      <c s="125" r="E166"/>
      <c s="125" r="F166"/>
      <c s="125" r="G166"/>
      <c s="125" r="H166"/>
      <c s="125" r="I166"/>
      <c s="125" r="J166"/>
      <c s="125" r="K166"/>
      <c s="125" r="L166"/>
      <c s="125" r="M166"/>
      <c s="125" r="N166"/>
      <c s="125" r="O166"/>
      <c s="125" r="P166"/>
      <c s="125" r="Q166"/>
      <c s="125" r="R166"/>
      <c s="125" r="S166"/>
      <c s="125" r="T166"/>
      <c s="125" r="U166"/>
      <c s="125" r="V166"/>
      <c s="125" r="W166"/>
      <c s="125" r="X166"/>
      <c s="125" r="Y166"/>
      <c s="125" r="Z166"/>
      <c s="125" r="AA166"/>
      <c s="125" r="AB166"/>
      <c s="125" r="AC166"/>
      <c s="125" r="AD166"/>
      <c s="125" r="AE166"/>
      <c s="125" r="AF166"/>
      <c s="125" r="AG166"/>
      <c s="125" r="AH166"/>
      <c s="125" r="AI166"/>
      <c s="125" r="AJ166"/>
      <c s="125" r="AK166"/>
      <c s="125" r="AL166"/>
      <c s="125" r="AM166"/>
      <c s="125" r="AN166"/>
      <c s="125" r="AO166"/>
      <c s="125" r="AP166"/>
      <c s="125" r="AQ166"/>
      <c s="125" r="AR166"/>
      <c s="125" r="AS166"/>
      <c s="125" r="AT166"/>
      <c s="125" r="AU166"/>
      <c s="125" r="AV166"/>
      <c s="125" r="AW166"/>
      <c s="125" r="AX166"/>
      <c s="125" r="AY166"/>
      <c s="125" r="AZ166"/>
      <c s="125" r="BA166"/>
      <c s="125" r="BB166"/>
      <c s="125" r="BC166"/>
      <c s="125" r="BD166"/>
      <c s="125" r="BE166"/>
      <c s="125" r="BF166"/>
      <c s="125" r="BG166"/>
      <c s="125" r="BH166"/>
      <c s="125" r="BI166"/>
      <c s="125" r="BJ166"/>
      <c s="125" r="BK166"/>
      <c s="125" r="BL166"/>
      <c s="125" r="BM166"/>
      <c s="125" r="BN166"/>
      <c s="125" r="BO166"/>
      <c s="125" r="BP166"/>
      <c s="125" r="BQ166"/>
      <c s="125" r="BR166"/>
      <c s="125" r="BS166"/>
      <c s="125" r="BT166"/>
      <c s="125" r="BU166"/>
      <c s="125" r="BV166"/>
      <c s="125" r="BW166"/>
      <c s="125" r="BX166"/>
      <c s="125" r="BY166"/>
      <c s="125" r="BZ166"/>
      <c s="125" r="CA166"/>
      <c s="125" r="CB166"/>
      <c s="642" r="CC166"/>
      <c s="642" r="CD166"/>
      <c s="125" r="CE166"/>
      <c s="125" r="CF166"/>
      <c s="125" r="CG166"/>
      <c s="125" r="CH166"/>
      <c s="125" r="CI166"/>
      <c s="125" r="CJ166"/>
      <c s="125" r="CK166"/>
      <c s="125" r="CL166"/>
      <c s="125" r="CM166"/>
      <c s="125" r="CN166"/>
      <c s="125" r="CO166"/>
      <c s="125" r="CP166"/>
      <c s="125" r="CQ166"/>
      <c s="125" r="CR166"/>
      <c s="125" r="CS166"/>
      <c s="125" r="CT166"/>
      <c s="125" r="CU166"/>
      <c s="125" r="CV166"/>
      <c s="125" r="CW166"/>
      <c s="125" r="CX166"/>
      <c s="125" r="CY166"/>
      <c s="125" r="CZ166"/>
      <c s="642" r="DA166"/>
      <c s="642" r="DB166"/>
      <c s="125" r="DC166"/>
      <c s="125" r="DD166"/>
      <c s="125" r="DE166"/>
      <c s="125" r="DF166"/>
      <c s="125" r="DG166"/>
      <c s="125" r="DH166"/>
      <c s="125" r="DI166"/>
      <c s="125" r="DJ166"/>
      <c s="125" r="DK166"/>
      <c s="125" r="DL166"/>
      <c s="125" r="DM166"/>
      <c s="125" r="DN166"/>
      <c s="125" r="DO166"/>
      <c s="125" r="DP166"/>
      <c s="125" r="DQ166"/>
      <c s="125" r="DR166"/>
      <c s="125" r="DS166"/>
      <c s="125" r="DT166"/>
      <c s="125" r="DU166"/>
      <c s="125" r="DV166"/>
      <c s="125" r="DW166"/>
      <c s="125" r="DX166"/>
      <c s="642" r="DY166"/>
      <c s="642" r="DZ166"/>
      <c s="125" r="EA166"/>
      <c s="125" r="EB166"/>
      <c s="125" r="EC166"/>
      <c s="125" r="ED166"/>
      <c s="125" r="EE166"/>
      <c s="125" r="EF166"/>
      <c s="125" r="EG166"/>
      <c s="125" r="EH166"/>
      <c s="125" r="EI166"/>
      <c s="125" r="EJ166"/>
      <c s="125" r="EK166"/>
      <c s="125" r="EL166"/>
      <c s="125" r="EM166"/>
      <c s="125" r="EN166"/>
      <c s="125" r="EO166"/>
      <c s="125" r="EP166"/>
      <c s="125" r="EQ166"/>
      <c s="125" r="ER166"/>
      <c s="125" r="ES166"/>
      <c s="125" r="ET166"/>
      <c s="125" r="EU166"/>
      <c s="125" r="EV166"/>
      <c s="642" r="EW166"/>
      <c s="642" r="EX166"/>
      <c s="125" r="EY166"/>
      <c s="125" r="EZ166"/>
      <c s="125" r="FA166"/>
      <c s="125" r="FB166"/>
      <c s="125" r="FC166"/>
      <c s="125" r="FD166"/>
      <c s="125" r="FE166"/>
      <c s="125" r="FF166"/>
      <c s="125" r="FG166"/>
      <c s="125" r="FH166"/>
      <c s="125" r="FI166"/>
      <c s="125" r="FJ166"/>
      <c s="125" r="FK166"/>
      <c s="125" r="FL166"/>
      <c s="125" r="FM166"/>
      <c s="125" r="FN166"/>
      <c s="125" r="FO166"/>
      <c s="125" r="FP166"/>
      <c s="125" r="FQ166"/>
      <c s="125" r="FR166"/>
      <c s="125" r="FS166"/>
      <c s="125" r="FT166"/>
      <c s="642" r="FU166"/>
      <c s="642" r="FV166"/>
      <c s="125" r="FW166"/>
      <c s="125" r="FX166"/>
      <c s="125" r="FY166"/>
      <c s="125" r="FZ166"/>
      <c s="125" r="GA166"/>
      <c s="125" r="GB166"/>
      <c s="125" r="GC166"/>
      <c s="125" r="GD166"/>
      <c s="125" r="GE166"/>
      <c s="125" r="GF166"/>
      <c s="125" r="GG166"/>
      <c s="125" r="GH166"/>
      <c s="125" r="GI166"/>
      <c s="125" r="GJ166"/>
      <c s="125" r="GK166"/>
      <c s="125" r="GL166"/>
      <c s="125" r="GM166"/>
      <c s="125" r="GN166"/>
      <c s="125" r="GO166"/>
      <c s="125" r="GP166"/>
      <c s="125" r="GQ166"/>
      <c s="125" r="GR166"/>
      <c s="125" r="GS166"/>
      <c s="125" r="GT166"/>
      <c s="125" r="GU166"/>
      <c s="125" r="GV166"/>
      <c s="125" r="GW166"/>
      <c s="125" r="GX166"/>
      <c s="125" r="GY166"/>
      <c s="125" r="GZ166"/>
      <c s="125" r="HA166"/>
      <c s="125" r="HB166"/>
    </row>
    <row r="167">
      <c s="125" r="A167"/>
      <c s="125" r="B167"/>
      <c s="125" r="C167"/>
      <c s="125" r="D167"/>
      <c s="125" r="E167"/>
      <c s="125" r="F167"/>
      <c s="125" r="G167"/>
      <c s="125" r="H167"/>
      <c s="125" r="I167"/>
      <c s="125" r="J167"/>
      <c s="125" r="K167"/>
      <c s="125" r="L167"/>
      <c s="125" r="M167"/>
      <c s="125" r="N167"/>
      <c s="125" r="O167"/>
      <c s="125" r="P167"/>
      <c s="125" r="Q167"/>
      <c s="125" r="R167"/>
      <c s="125" r="S167"/>
      <c s="125" r="T167"/>
      <c s="125" r="U167"/>
      <c s="125" r="V167"/>
      <c s="125" r="W167"/>
      <c s="125" r="X167"/>
      <c s="125" r="Y167"/>
      <c s="125" r="Z167"/>
      <c s="125" r="AA167"/>
      <c s="125" r="AB167"/>
      <c s="125" r="AC167"/>
      <c s="125" r="AD167"/>
      <c s="125" r="AE167"/>
      <c s="125" r="AF167"/>
      <c s="125" r="AG167"/>
      <c s="125" r="AH167"/>
      <c s="125" r="AI167"/>
      <c s="125" r="AJ167"/>
      <c s="125" r="AK167"/>
      <c s="125" r="AL167"/>
      <c s="125" r="AM167"/>
      <c s="125" r="AN167"/>
      <c s="125" r="AO167"/>
      <c s="125" r="AP167"/>
      <c s="125" r="AQ167"/>
      <c s="125" r="AR167"/>
      <c s="125" r="AS167"/>
      <c s="125" r="AT167"/>
      <c s="125" r="AU167"/>
      <c s="125" r="AV167"/>
      <c s="125" r="AW167"/>
      <c s="125" r="AX167"/>
      <c s="125" r="AY167"/>
      <c s="125" r="AZ167"/>
      <c s="125" r="BA167"/>
      <c s="125" r="BB167"/>
      <c s="125" r="BC167"/>
      <c s="125" r="BD167"/>
      <c s="125" r="BE167"/>
      <c s="125" r="BF167"/>
      <c s="125" r="BG167"/>
      <c s="125" r="BH167"/>
      <c s="125" r="BI167"/>
      <c s="125" r="BJ167"/>
      <c s="125" r="BK167"/>
      <c s="125" r="BL167"/>
      <c s="125" r="BM167"/>
      <c s="125" r="BN167"/>
      <c s="125" r="BO167"/>
      <c s="125" r="BP167"/>
      <c s="125" r="BQ167"/>
      <c s="125" r="BR167"/>
      <c s="125" r="BS167"/>
      <c s="125" r="BT167"/>
      <c s="125" r="BU167"/>
      <c s="125" r="BV167"/>
      <c s="125" r="BW167"/>
      <c s="125" r="BX167"/>
      <c s="125" r="BY167"/>
      <c s="125" r="BZ167"/>
      <c s="125" r="CA167"/>
      <c s="125" r="CB167"/>
      <c s="642" r="CC167"/>
      <c s="642" r="CD167"/>
      <c s="125" r="CE167"/>
      <c s="125" r="CF167"/>
      <c s="125" r="CG167"/>
      <c s="125" r="CH167"/>
      <c s="125" r="CI167"/>
      <c s="125" r="CJ167"/>
      <c s="125" r="CK167"/>
      <c s="125" r="CL167"/>
      <c s="125" r="CM167"/>
      <c s="125" r="CN167"/>
      <c s="125" r="CO167"/>
      <c s="125" r="CP167"/>
      <c s="125" r="CQ167"/>
      <c s="125" r="CR167"/>
      <c s="125" r="CS167"/>
      <c s="125" r="CT167"/>
      <c s="125" r="CU167"/>
      <c s="125" r="CV167"/>
      <c s="125" r="CW167"/>
      <c s="125" r="CX167"/>
      <c s="125" r="CY167"/>
      <c s="125" r="CZ167"/>
      <c s="642" r="DA167"/>
      <c s="642" r="DB167"/>
      <c s="125" r="DC167"/>
      <c s="125" r="DD167"/>
      <c s="125" r="DE167"/>
      <c s="125" r="DF167"/>
      <c s="125" r="DG167"/>
      <c s="125" r="DH167"/>
      <c s="125" r="DI167"/>
      <c s="125" r="DJ167"/>
      <c s="125" r="DK167"/>
      <c s="125" r="DL167"/>
      <c s="125" r="DM167"/>
      <c s="125" r="DN167"/>
      <c s="125" r="DO167"/>
      <c s="125" r="DP167"/>
      <c s="125" r="DQ167"/>
      <c s="125" r="DR167"/>
      <c s="125" r="DS167"/>
      <c s="125" r="DT167"/>
      <c s="125" r="DU167"/>
      <c s="125" r="DV167"/>
      <c s="125" r="DW167"/>
      <c s="125" r="DX167"/>
      <c s="642" r="DY167"/>
      <c s="642" r="DZ167"/>
      <c s="125" r="EA167"/>
      <c s="125" r="EB167"/>
      <c s="125" r="EC167"/>
      <c s="125" r="ED167"/>
      <c s="125" r="EE167"/>
      <c s="125" r="EF167"/>
      <c s="125" r="EG167"/>
      <c s="125" r="EH167"/>
      <c s="125" r="EI167"/>
      <c s="125" r="EJ167"/>
      <c s="125" r="EK167"/>
      <c s="125" r="EL167"/>
      <c s="125" r="EM167"/>
      <c s="125" r="EN167"/>
      <c s="125" r="EO167"/>
      <c s="125" r="EP167"/>
      <c s="125" r="EQ167"/>
      <c s="125" r="ER167"/>
      <c s="125" r="ES167"/>
      <c s="125" r="ET167"/>
      <c s="125" r="EU167"/>
      <c s="125" r="EV167"/>
      <c s="642" r="EW167"/>
      <c s="642" r="EX167"/>
      <c s="125" r="EY167"/>
      <c s="125" r="EZ167"/>
      <c s="125" r="FA167"/>
      <c s="125" r="FB167"/>
      <c s="125" r="FC167"/>
      <c s="125" r="FD167"/>
      <c s="125" r="FE167"/>
      <c s="125" r="FF167"/>
      <c s="125" r="FG167"/>
      <c s="125" r="FH167"/>
      <c s="125" r="FI167"/>
      <c s="125" r="FJ167"/>
      <c s="125" r="FK167"/>
      <c s="125" r="FL167"/>
      <c s="125" r="FM167"/>
      <c s="125" r="FN167"/>
      <c s="125" r="FO167"/>
      <c s="125" r="FP167"/>
      <c s="125" r="FQ167"/>
      <c s="125" r="FR167"/>
      <c s="125" r="FS167"/>
      <c s="125" r="FT167"/>
      <c s="642" r="FU167"/>
      <c s="642" r="FV167"/>
      <c s="125" r="FW167"/>
      <c s="125" r="FX167"/>
      <c s="125" r="FY167"/>
      <c s="125" r="FZ167"/>
      <c s="125" r="GA167"/>
      <c s="125" r="GB167"/>
      <c s="125" r="GC167"/>
      <c s="125" r="GD167"/>
      <c s="125" r="GE167"/>
      <c s="125" r="GF167"/>
      <c s="125" r="GG167"/>
      <c s="125" r="GH167"/>
      <c s="125" r="GI167"/>
      <c s="125" r="GJ167"/>
      <c s="125" r="GK167"/>
      <c s="125" r="GL167"/>
      <c s="125" r="GM167"/>
      <c s="125" r="GN167"/>
      <c s="125" r="GO167"/>
      <c s="125" r="GP167"/>
      <c s="125" r="GQ167"/>
      <c s="125" r="GR167"/>
      <c s="125" r="GS167"/>
      <c s="125" r="GT167"/>
      <c s="125" r="GU167"/>
      <c s="125" r="GV167"/>
      <c s="125" r="GW167"/>
      <c s="125" r="GX167"/>
      <c s="125" r="GY167"/>
      <c s="125" r="GZ167"/>
      <c s="125" r="HA167"/>
      <c s="125" r="HB167"/>
    </row>
    <row r="168">
      <c s="125" r="A168"/>
      <c s="125" r="B168"/>
      <c s="125" r="C168"/>
      <c s="125" r="D168"/>
      <c s="125" r="E168"/>
      <c s="125" r="F168"/>
      <c s="125" r="G168"/>
      <c s="125" r="H168"/>
      <c s="125" r="I168"/>
      <c s="125" r="J168"/>
      <c s="125" r="K168"/>
      <c s="125" r="L168"/>
      <c s="125" r="M168"/>
      <c s="125" r="N168"/>
      <c s="125" r="O168"/>
      <c s="125" r="P168"/>
      <c s="125" r="Q168"/>
      <c s="125" r="R168"/>
      <c s="125" r="S168"/>
      <c s="125" r="T168"/>
      <c s="125" r="U168"/>
      <c s="125" r="V168"/>
      <c s="125" r="W168"/>
      <c s="125" r="X168"/>
      <c s="125" r="Y168"/>
      <c s="125" r="Z168"/>
      <c s="125" r="AA168"/>
      <c s="125" r="AB168"/>
      <c s="125" r="AC168"/>
      <c s="125" r="AD168"/>
      <c s="125" r="AE168"/>
      <c s="125" r="AF168"/>
      <c s="125" r="AG168"/>
      <c s="125" r="AH168"/>
      <c s="125" r="AI168"/>
      <c s="125" r="AJ168"/>
      <c s="125" r="AK168"/>
      <c s="125" r="AL168"/>
      <c s="125" r="AM168"/>
      <c s="125" r="AN168"/>
      <c s="125" r="AO168"/>
      <c s="125" r="AP168"/>
      <c s="125" r="AQ168"/>
      <c s="125" r="AR168"/>
      <c s="125" r="AS168"/>
      <c s="125" r="AT168"/>
      <c s="125" r="AU168"/>
      <c s="125" r="AV168"/>
      <c s="125" r="AW168"/>
      <c s="125" r="AX168"/>
      <c s="125" r="AY168"/>
      <c s="125" r="AZ168"/>
      <c s="125" r="BA168"/>
      <c s="125" r="BB168"/>
      <c s="125" r="BC168"/>
      <c s="125" r="BD168"/>
      <c s="125" r="BE168"/>
      <c s="125" r="BF168"/>
      <c s="125" r="BG168"/>
      <c s="125" r="BH168"/>
      <c s="125" r="BI168"/>
      <c s="125" r="BJ168"/>
      <c s="125" r="BK168"/>
      <c s="125" r="BL168"/>
      <c s="125" r="BM168"/>
      <c s="125" r="BN168"/>
      <c s="125" r="BO168"/>
      <c s="125" r="BP168"/>
      <c s="125" r="BQ168"/>
      <c s="125" r="BR168"/>
      <c s="125" r="BS168"/>
      <c s="125" r="BT168"/>
      <c s="125" r="BU168"/>
      <c s="125" r="BV168"/>
      <c s="125" r="BW168"/>
      <c s="125" r="BX168"/>
      <c s="125" r="BY168"/>
      <c s="125" r="BZ168"/>
      <c s="125" r="CA168"/>
      <c s="125" r="CB168"/>
      <c s="642" r="CC168"/>
      <c s="642" r="CD168"/>
      <c s="125" r="CE168"/>
      <c s="125" r="CF168"/>
      <c s="125" r="CG168"/>
      <c s="125" r="CH168"/>
      <c s="125" r="CI168"/>
      <c s="125" r="CJ168"/>
      <c s="125" r="CK168"/>
      <c s="125" r="CL168"/>
      <c s="125" r="CM168"/>
      <c s="125" r="CN168"/>
      <c s="125" r="CO168"/>
      <c s="125" r="CP168"/>
      <c s="125" r="CQ168"/>
      <c s="125" r="CR168"/>
      <c s="125" r="CS168"/>
      <c s="125" r="CT168"/>
      <c s="125" r="CU168"/>
      <c s="125" r="CV168"/>
      <c s="125" r="CW168"/>
      <c s="125" r="CX168"/>
      <c s="125" r="CY168"/>
      <c s="125" r="CZ168"/>
      <c s="642" r="DA168"/>
      <c s="642" r="DB168"/>
      <c s="125" r="DC168"/>
      <c s="125" r="DD168"/>
      <c s="125" r="DE168"/>
      <c s="125" r="DF168"/>
      <c s="125" r="DG168"/>
      <c s="125" r="DH168"/>
      <c s="125" r="DI168"/>
      <c s="125" r="DJ168"/>
      <c s="125" r="DK168"/>
      <c s="125" r="DL168"/>
      <c s="125" r="DM168"/>
      <c s="125" r="DN168"/>
      <c s="125" r="DO168"/>
      <c s="125" r="DP168"/>
      <c s="125" r="DQ168"/>
      <c s="125" r="DR168"/>
      <c s="125" r="DS168"/>
      <c s="125" r="DT168"/>
      <c s="125" r="DU168"/>
      <c s="125" r="DV168"/>
      <c s="125" r="DW168"/>
      <c s="125" r="DX168"/>
      <c s="642" r="DY168"/>
      <c s="642" r="DZ168"/>
      <c s="125" r="EA168"/>
      <c s="125" r="EB168"/>
      <c s="125" r="EC168"/>
      <c s="125" r="ED168"/>
      <c s="125" r="EE168"/>
      <c s="125" r="EF168"/>
      <c s="125" r="EG168"/>
      <c s="125" r="EH168"/>
      <c s="125" r="EI168"/>
      <c s="125" r="EJ168"/>
      <c s="125" r="EK168"/>
      <c s="125" r="EL168"/>
      <c s="125" r="EM168"/>
      <c s="125" r="EN168"/>
      <c s="125" r="EO168"/>
      <c s="125" r="EP168"/>
      <c s="125" r="EQ168"/>
      <c s="125" r="ER168"/>
      <c s="125" r="ES168"/>
      <c s="125" r="ET168"/>
      <c s="125" r="EU168"/>
      <c s="125" r="EV168"/>
      <c s="642" r="EW168"/>
      <c s="642" r="EX168"/>
      <c s="125" r="EY168"/>
      <c s="125" r="EZ168"/>
      <c s="125" r="FA168"/>
      <c s="125" r="FB168"/>
      <c s="125" r="FC168"/>
      <c s="125" r="FD168"/>
      <c s="125" r="FE168"/>
      <c s="125" r="FF168"/>
      <c s="125" r="FG168"/>
      <c s="125" r="FH168"/>
      <c s="125" r="FI168"/>
      <c s="125" r="FJ168"/>
      <c s="125" r="FK168"/>
      <c s="125" r="FL168"/>
      <c s="125" r="FM168"/>
      <c s="125" r="FN168"/>
      <c s="125" r="FO168"/>
      <c s="125" r="FP168"/>
      <c s="125" r="FQ168"/>
      <c s="125" r="FR168"/>
      <c s="125" r="FS168"/>
      <c s="125" r="FT168"/>
      <c s="642" r="FU168"/>
      <c s="642" r="FV168"/>
      <c s="125" r="FW168"/>
      <c s="125" r="FX168"/>
      <c s="125" r="FY168"/>
      <c s="125" r="FZ168"/>
      <c s="125" r="GA168"/>
      <c s="125" r="GB168"/>
      <c s="125" r="GC168"/>
      <c s="125" r="GD168"/>
      <c s="125" r="GE168"/>
      <c s="125" r="GF168"/>
      <c s="125" r="GG168"/>
      <c s="125" r="GH168"/>
      <c s="125" r="GI168"/>
      <c s="125" r="GJ168"/>
      <c s="125" r="GK168"/>
      <c s="125" r="GL168"/>
      <c s="125" r="GM168"/>
      <c s="125" r="GN168"/>
      <c s="125" r="GO168"/>
      <c s="125" r="GP168"/>
      <c s="125" r="GQ168"/>
      <c s="125" r="GR168"/>
      <c s="125" r="GS168"/>
      <c s="125" r="GT168"/>
      <c s="125" r="GU168"/>
      <c s="125" r="GV168"/>
      <c s="125" r="GW168"/>
      <c s="125" r="GX168"/>
      <c s="125" r="GY168"/>
      <c s="125" r="GZ168"/>
      <c s="125" r="HA168"/>
      <c s="125" r="HB168"/>
    </row>
    <row r="169">
      <c s="125" r="A169"/>
      <c s="125" r="B169"/>
      <c s="125" r="C169"/>
      <c s="125" r="D169"/>
      <c s="125" r="E169"/>
      <c s="125" r="F169"/>
      <c s="125" r="G169"/>
      <c s="125" r="H169"/>
      <c s="125" r="I169"/>
      <c s="125" r="J169"/>
      <c s="125" r="K169"/>
      <c s="125" r="L169"/>
      <c s="125" r="M169"/>
      <c s="125" r="N169"/>
      <c s="125" r="O169"/>
      <c s="125" r="P169"/>
      <c s="125" r="Q169"/>
      <c s="125" r="R169"/>
      <c s="125" r="S169"/>
      <c s="125" r="T169"/>
      <c s="125" r="U169"/>
      <c s="125" r="V169"/>
      <c s="125" r="W169"/>
      <c s="125" r="X169"/>
      <c s="125" r="Y169"/>
      <c s="125" r="Z169"/>
      <c s="125" r="AA169"/>
      <c s="125" r="AB169"/>
      <c s="125" r="AC169"/>
      <c s="125" r="AD169"/>
      <c s="125" r="AE169"/>
      <c s="125" r="AF169"/>
      <c s="125" r="AG169"/>
      <c s="125" r="AH169"/>
      <c s="125" r="AI169"/>
      <c s="125" r="AJ169"/>
      <c s="125" r="AK169"/>
      <c s="125" r="AL169"/>
      <c s="125" r="AM169"/>
      <c s="125" r="AN169"/>
      <c s="125" r="AO169"/>
      <c s="125" r="AP169"/>
      <c s="125" r="AQ169"/>
      <c s="125" r="AR169"/>
      <c s="125" r="AS169"/>
      <c s="125" r="AT169"/>
      <c s="125" r="AU169"/>
      <c s="125" r="AV169"/>
      <c s="125" r="AW169"/>
      <c s="125" r="AX169"/>
      <c s="125" r="AY169"/>
      <c s="125" r="AZ169"/>
      <c s="125" r="BA169"/>
      <c s="125" r="BB169"/>
      <c s="125" r="BC169"/>
      <c s="125" r="BD169"/>
      <c s="125" r="BE169"/>
      <c s="125" r="BF169"/>
      <c s="125" r="BG169"/>
      <c s="125" r="BH169"/>
      <c s="125" r="BI169"/>
      <c s="125" r="BJ169"/>
      <c s="125" r="BK169"/>
      <c s="125" r="BL169"/>
      <c s="125" r="BM169"/>
      <c s="125" r="BN169"/>
      <c s="125" r="BO169"/>
      <c s="125" r="BP169"/>
      <c s="125" r="BQ169"/>
      <c s="125" r="BR169"/>
      <c s="125" r="BS169"/>
      <c s="125" r="BT169"/>
      <c s="125" r="BU169"/>
      <c s="125" r="BV169"/>
      <c s="125" r="BW169"/>
      <c s="125" r="BX169"/>
      <c s="125" r="BY169"/>
      <c s="125" r="BZ169"/>
      <c s="125" r="CA169"/>
      <c s="125" r="CB169"/>
      <c s="642" r="CC169"/>
      <c s="642" r="CD169"/>
      <c s="125" r="CE169"/>
      <c s="125" r="CF169"/>
      <c s="125" r="CG169"/>
      <c s="125" r="CH169"/>
      <c s="125" r="CI169"/>
      <c s="125" r="CJ169"/>
      <c s="125" r="CK169"/>
      <c s="125" r="CL169"/>
      <c s="125" r="CM169"/>
      <c s="125" r="CN169"/>
      <c s="125" r="CO169"/>
      <c s="125" r="CP169"/>
      <c s="125" r="CQ169"/>
      <c s="125" r="CR169"/>
      <c s="125" r="CS169"/>
      <c s="125" r="CT169"/>
      <c s="125" r="CU169"/>
      <c s="125" r="CV169"/>
      <c s="125" r="CW169"/>
      <c s="125" r="CX169"/>
      <c s="125" r="CY169"/>
      <c s="125" r="CZ169"/>
      <c s="642" r="DA169"/>
      <c s="642" r="DB169"/>
      <c s="125" r="DC169"/>
      <c s="125" r="DD169"/>
      <c s="125" r="DE169"/>
      <c s="125" r="DF169"/>
      <c s="125" r="DG169"/>
      <c s="125" r="DH169"/>
      <c s="125" r="DI169"/>
      <c s="125" r="DJ169"/>
      <c s="125" r="DK169"/>
      <c s="125" r="DL169"/>
      <c s="125" r="DM169"/>
      <c s="125" r="DN169"/>
      <c s="125" r="DO169"/>
      <c s="125" r="DP169"/>
      <c s="125" r="DQ169"/>
      <c s="125" r="DR169"/>
      <c s="125" r="DS169"/>
      <c s="125" r="DT169"/>
      <c s="125" r="DU169"/>
      <c s="125" r="DV169"/>
      <c s="125" r="DW169"/>
      <c s="125" r="DX169"/>
      <c s="642" r="DY169"/>
      <c s="642" r="DZ169"/>
      <c s="125" r="EA169"/>
      <c s="125" r="EB169"/>
      <c s="125" r="EC169"/>
      <c s="125" r="ED169"/>
      <c s="125" r="EE169"/>
      <c s="125" r="EF169"/>
      <c s="125" r="EG169"/>
      <c s="125" r="EH169"/>
      <c s="125" r="EI169"/>
      <c s="125" r="EJ169"/>
      <c s="125" r="EK169"/>
      <c s="125" r="EL169"/>
      <c s="125" r="EM169"/>
      <c s="125" r="EN169"/>
      <c s="125" r="EO169"/>
      <c s="125" r="EP169"/>
      <c s="125" r="EQ169"/>
      <c s="125" r="ER169"/>
      <c s="125" r="ES169"/>
      <c s="125" r="ET169"/>
      <c s="125" r="EU169"/>
      <c s="125" r="EV169"/>
      <c s="642" r="EW169"/>
      <c s="642" r="EX169"/>
      <c s="125" r="EY169"/>
      <c s="125" r="EZ169"/>
      <c s="125" r="FA169"/>
      <c s="125" r="FB169"/>
      <c s="125" r="FC169"/>
      <c s="125" r="FD169"/>
      <c s="125" r="FE169"/>
      <c s="125" r="FF169"/>
      <c s="125" r="FG169"/>
      <c s="125" r="FH169"/>
      <c s="125" r="FI169"/>
      <c s="125" r="FJ169"/>
      <c s="125" r="FK169"/>
      <c s="125" r="FL169"/>
      <c s="125" r="FM169"/>
      <c s="125" r="FN169"/>
      <c s="125" r="FO169"/>
      <c s="125" r="FP169"/>
      <c s="125" r="FQ169"/>
      <c s="125" r="FR169"/>
      <c s="125" r="FS169"/>
      <c s="125" r="FT169"/>
      <c s="642" r="FU169"/>
      <c s="642" r="FV169"/>
      <c s="125" r="FW169"/>
      <c s="125" r="FX169"/>
      <c s="125" r="FY169"/>
      <c s="125" r="FZ169"/>
      <c s="125" r="GA169"/>
      <c s="125" r="GB169"/>
      <c s="125" r="GC169"/>
      <c s="125" r="GD169"/>
      <c s="125" r="GE169"/>
      <c s="125" r="GF169"/>
      <c s="125" r="GG169"/>
      <c s="125" r="GH169"/>
      <c s="125" r="GI169"/>
      <c s="125" r="GJ169"/>
      <c s="125" r="GK169"/>
      <c s="125" r="GL169"/>
      <c s="125" r="GM169"/>
      <c s="125" r="GN169"/>
      <c s="125" r="GO169"/>
      <c s="125" r="GP169"/>
      <c s="125" r="GQ169"/>
      <c s="125" r="GR169"/>
      <c s="125" r="GS169"/>
      <c s="125" r="GT169"/>
      <c s="125" r="GU169"/>
      <c s="125" r="GV169"/>
      <c s="125" r="GW169"/>
      <c s="125" r="GX169"/>
      <c s="125" r="GY169"/>
      <c s="125" r="GZ169"/>
      <c s="125" r="HA169"/>
      <c s="125" r="HB169"/>
    </row>
  </sheetData>
  <mergeCells count="14">
    <mergeCell ref="D7:H8"/>
    <mergeCell ref="D10:H11"/>
    <mergeCell ref="D13:H15"/>
    <mergeCell ref="D17:H19"/>
    <mergeCell ref="L70:O72"/>
    <mergeCell ref="AJ70:AM72"/>
    <mergeCell ref="BH70:BK72"/>
    <mergeCell ref="CF70:CI72"/>
    <mergeCell ref="DD70:DG72"/>
    <mergeCell ref="EB70:EE72"/>
    <mergeCell ref="EZ70:FC72"/>
    <mergeCell ref="D75:H77"/>
    <mergeCell ref="D81:H81"/>
    <mergeCell ref="D82:H83"/>
  </mergeCells>
  <conditionalFormatting sqref="H119 H120">
    <cfRule priority="1" type="cellIs" operator="notBetween" stopIfTrue="1" dxfId="2">
      <formula>0.1</formula>
      <formula>120</formula>
    </cfRule>
  </conditionalFormatting>
  <dataValidations>
    <dataValidation showErrorMessage="1" sqref="E26 E29 G29:H29 E32 G32:H32 T35 AR35 BP35 CN35 DL35 EJ35 FH35 E37 G37:H37 E40 G40:H40 E46 G46:H46 Q46:R146 T46:T146 AO46:AP146 AR46:AR146 BM46:BN146 BP46:BP146 CK46:CL146 CN46:CN146 DI46:DJ146 DL46:DL146 EG46:EH146 EJ46:EJ146 FE46:FF146 FH46:FH146 E57 G57:H57 E60 G60:H60 E63 G63:H63 N66 AL66 BJ66 CH66 DF66 ED66 FB66 R148 AP148 BN148 CL148 DJ148 EH148 FF148" allowBlank="1" prompt=": " type="whole" operator="notEqual" showInputMessage="1">
      <formula1>-431.2126</formula1>
    </dataValidation>
  </dataValidations>
  <legacy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0" defaultRowHeight="12.75"/>
  <cols>
    <col min="1" customWidth="1" max="26" style="125" width="9.14"/>
  </cols>
  <sheetData>
    <row r="1">
      <c s="125" r="A1"/>
      <c s="361" r="B1"/>
      <c s="361" r="C1"/>
      <c s="361" r="D1"/>
      <c s="361" r="E1"/>
      <c s="361" r="F1"/>
      <c s="361" r="G1"/>
      <c s="361" r="H1"/>
      <c s="361" r="I1"/>
      <c s="361" r="J1"/>
      <c s="361" r="K1"/>
      <c s="361" r="L1"/>
      <c s="361" r="M1"/>
      <c s="361" r="N1"/>
      <c s="361" r="O1"/>
      <c s="361" r="P1"/>
      <c s="361" r="Q1"/>
      <c s="361" r="R1"/>
      <c s="361" r="S1"/>
      <c s="361" r="T1"/>
      <c s="361" r="U1"/>
      <c s="361" r="V1"/>
      <c s="361" r="W1"/>
      <c s="361" r="X1"/>
      <c s="361" r="Y1"/>
      <c s="125" r="Z1"/>
    </row>
    <row r="2">
      <c s="822" r="A2"/>
      <c s="454" r="B2"/>
      <c s="360" r="C2"/>
      <c s="360" r="D2"/>
      <c s="360" r="E2"/>
      <c s="360" r="F2"/>
      <c s="360" r="G2"/>
      <c s="360" r="H2"/>
      <c s="360" r="I2"/>
      <c s="360" r="J2"/>
      <c s="360" r="K2"/>
      <c s="360" r="L2"/>
      <c s="360" r="M2"/>
      <c s="360" r="N2"/>
      <c s="360" r="O2"/>
      <c s="360" r="P2"/>
      <c s="360" r="Q2"/>
      <c s="360" r="R2"/>
      <c s="360" r="S2"/>
      <c s="360" r="T2"/>
      <c s="360" r="U2"/>
      <c s="360" r="V2"/>
      <c s="360" r="W2"/>
      <c s="360" r="X2"/>
      <c s="243" r="Y2"/>
      <c s="51" r="Z2"/>
    </row>
    <row r="3">
      <c s="822" r="A3"/>
      <c s="718" r="B3"/>
      <c s="467" r="C3"/>
      <c s="467" r="D3"/>
      <c s="467" r="E3"/>
      <c s="467" r="F3"/>
      <c s="467" r="G3"/>
      <c s="467" r="H3"/>
      <c s="467" r="I3"/>
      <c s="467" r="J3"/>
      <c s="467" r="K3"/>
      <c s="467" r="L3"/>
      <c s="467" r="M3"/>
      <c s="467" r="N3"/>
      <c s="467" r="O3"/>
      <c s="467" r="P3"/>
      <c s="467" r="Q3"/>
      <c s="467" r="R3"/>
      <c s="467" r="S3"/>
      <c s="467" r="T3"/>
      <c s="467" r="U3"/>
      <c s="467" r="V3"/>
      <c s="467" r="W3"/>
      <c s="467" r="X3"/>
      <c s="494" r="Y3"/>
      <c s="51" r="Z3"/>
    </row>
    <row customHeight="1" r="4" ht="13.5">
      <c s="822" r="A4"/>
      <c s="611" r="B4"/>
      <c t="s" s="881" r="C4">
        <v>621</v>
      </c>
      <c t="s" s="209" r="D4">
        <v>622</v>
      </c>
      <c t="s" s="209" r="E4">
        <v>623</v>
      </c>
      <c t="s" s="209" r="F4">
        <v>624</v>
      </c>
      <c t="s" s="209" r="G4">
        <v>625</v>
      </c>
      <c t="s" s="209" r="H4">
        <v>626</v>
      </c>
      <c t="s" s="209" r="I4">
        <v>627</v>
      </c>
      <c t="s" s="209" r="J4">
        <v>628</v>
      </c>
      <c t="s" s="209" r="K4">
        <v>629</v>
      </c>
      <c t="s" s="209" r="L4">
        <v>630</v>
      </c>
      <c t="s" s="209" r="M4">
        <v>631</v>
      </c>
      <c t="s" s="209" r="N4">
        <v>632</v>
      </c>
      <c t="s" s="209" r="O4">
        <v>633</v>
      </c>
      <c t="s" s="209" r="P4">
        <v>634</v>
      </c>
      <c t="s" s="74" r="Q4">
        <v>635</v>
      </c>
      <c t="s" s="209" r="R4">
        <v>636</v>
      </c>
      <c t="s" s="209" r="S4">
        <v>637</v>
      </c>
      <c t="s" s="209" r="T4">
        <v>638</v>
      </c>
      <c t="s" s="209" r="U4">
        <v>639</v>
      </c>
      <c t="s" s="209" r="V4">
        <v>640</v>
      </c>
      <c t="s" s="209" r="W4">
        <v>641</v>
      </c>
      <c t="s" s="209" r="X4">
        <v>642</v>
      </c>
      <c t="s" s="14" r="Y4">
        <v>643</v>
      </c>
      <c s="51" r="Z4"/>
    </row>
    <row r="5">
      <c s="822" r="A5"/>
      <c s="611" r="B5"/>
      <c t="s" s="724" r="C5">
        <v>644</v>
      </c>
      <c t="str" s="615" r="D5">
        <f>IF((SUM(D25:D36)&gt;0),AVERAGE(D25:D36),"")</f>
        <v>#VALUE!:cantParseText:---</v>
      </c>
      <c t="str" s="615" r="E5">
        <f>IF((SUM(E25:E36)&gt;0),AVERAGE(E25:E36),"")</f>
        <v>#VALUE!:cantParseText:---</v>
      </c>
      <c t="str" s="615" r="F5">
        <f>IF((SUM(F25:F36)&gt;0),AVERAGE(F25:F36),"")</f>
        <v>#VALUE!:cantParseText:---</v>
      </c>
      <c t="str" s="615" r="G5">
        <f>IF((SUM(G25:G36)&gt;0),AVERAGE(G25:G36),"")</f>
        <v>#VALUE!:cantParseText:---</v>
      </c>
      <c t="str" s="615" r="H5">
        <f>IF((SUM(H25:H36)&gt;0),AVERAGE(H25:H36),"")</f>
        <v>#VALUE!:cantParseText:---</v>
      </c>
      <c t="str" s="615" r="I5">
        <f>IF((SUM(I25:I36)&gt;0),AVERAGE(I25:I36),"")</f>
        <v>#VALUE!:cantParseText:---</v>
      </c>
      <c t="str" s="615" r="J5">
        <f>IF((SUM(J25:J36)&gt;0),AVERAGE(J25:J36),"")</f>
        <v>#VALUE!:cantParseText:---</v>
      </c>
      <c t="str" s="615" r="K5">
        <f>IF((SUM(K25:K36)&gt;0),AVERAGE(K25:K36),"")</f>
        <v>#VALUE!:cantParseText:---</v>
      </c>
      <c t="str" s="615" r="L5">
        <f>IF((SUM(L25:L36)&gt;0),AVERAGE(L25:L36),"")</f>
        <v>#VALUE!:cantParseText:---</v>
      </c>
      <c t="str" s="615" r="M5">
        <f>IF((SUM(M25:M36)&gt;0),AVERAGE(M25:M36),"")</f>
        <v>#VALUE!:cantParseText:---</v>
      </c>
      <c t="str" s="904" r="N5">
        <f>IF((N6="---"),"---",(ROUND((N6/(10^TRUNC(LOG(N6)))),(2-IF((N6&gt;1),1,0)))*(10^TRUNC(LOG(N6)))))</f>
        <v>---</v>
      </c>
      <c t="str" s="615" r="O5">
        <f>IF((SUM(O25:O36)&gt;0),AVERAGE(O25:O36),"")</f>
        <v>#VALUE!:cantParseText:---</v>
      </c>
      <c t="str" s="287" r="P5">
        <f>IF((SUM(P25:P36)&gt;0),AVERAGE(P25:P36),"")</f>
        <v>#VALUE!:cantParseText:---</v>
      </c>
      <c t="str" s="491" r="Q5">
        <f>IF((SUM(Q25:Q36)&gt;0),AVERAGE(Q25:Q36),"")</f>
        <v>#VALUE!:cantParseText:---</v>
      </c>
      <c t="str" s="615" r="R5">
        <f>IF((SUM(R25:R36)&gt;0),AVERAGE(R25:R36),"")</f>
        <v>#VALUE!:cantParseText:---</v>
      </c>
      <c t="str" s="615" r="S5">
        <f>IF((SUM(S25:S36)&gt;0),AVERAGE(S25:S36),"")</f>
        <v>#VALUE!:cantParseText:---</v>
      </c>
      <c t="str" s="287" r="T5">
        <f>IF((SUM(T25:T36)&gt;0),AVERAGE(T25:T36),"")</f>
        <v>#VALUE!:cantParseText:---</v>
      </c>
      <c t="str" s="287" r="U5">
        <f>IF((SUM(U25:U36)&gt;0),AVERAGE(U25:U36),"")</f>
        <v>#VALUE!:cantParseText:---</v>
      </c>
      <c t="str" s="287" r="V5">
        <f>IF((SUM(V25:V36)&gt;0),AVERAGE(V25:V36),"")</f>
        <v>#VALUE!:cantParseText:---</v>
      </c>
      <c t="str" s="287" r="W5">
        <f>IF((SUM(W25:W36)&gt;0),AVERAGE(W25:W36),"")</f>
        <v>#VALUE!:cantParseText:---</v>
      </c>
      <c t="str" s="287" r="X5">
        <f>IF((SUM(X25:X36)&gt;0),AVERAGE(X25:X36),"")</f>
        <v>#VALUE!:cantParseText:---</v>
      </c>
      <c t="str" s="615" r="Y5">
        <f>IF((SUM(Y25:Y36)&gt;0),AVERAGE(Y25:Y36),"")</f>
        <v>#VALUE!:cantParseText:---</v>
      </c>
      <c s="51" r="Z5"/>
    </row>
    <row r="6">
      <c s="822" r="A6"/>
      <c s="611" r="B6"/>
      <c t="s" s="724" r="C6">
        <v>645</v>
      </c>
      <c t="str" s="89" r="D6">
        <f>IF((MIN(D25:D36)=MAX(D25:D36)),"---",MIN(D25:D36))</f>
        <v>---</v>
      </c>
      <c t="str" s="89" r="E6">
        <f>IF((MIN(E25:E36)=MAX(E25:E36)),"---",MIN(E25:E36))</f>
        <v>---</v>
      </c>
      <c t="str" s="89" r="F6">
        <f>IF((MIN(F25:F36)=MAX(F25:F36)),"---",MIN(F25:F36))</f>
        <v>---</v>
      </c>
      <c t="str" s="89" r="G6">
        <f>IF((MIN(G25:G36)=MAX(G25:G36)),"---",MIN(G25:G36))</f>
        <v>---</v>
      </c>
      <c t="str" s="89" r="H6">
        <f>IF((MIN(H25:H36)=MAX(H25:H36)),"---",MIN(H25:H36))</f>
        <v>---</v>
      </c>
      <c t="str" s="89" r="I6">
        <f>IF((MIN(I25:I36)=MAX(I25:I36)),"---",MIN(I25:I36))</f>
        <v>---</v>
      </c>
      <c t="str" s="89" r="J6">
        <f>IF((MIN(J25:J36)=MAX(J25:J36)),"---",MIN(J25:J36))</f>
        <v>---</v>
      </c>
      <c t="str" s="89" r="K6">
        <f>IF((MIN(K25:K36)=MAX(K25:K36)),"---",MIN(K25:K36))</f>
        <v>---</v>
      </c>
      <c t="str" s="89" r="L6">
        <f>IF((MIN(L25:L36)=MAX(L25:L36)),"---",MIN(L25:L36))</f>
        <v>---</v>
      </c>
      <c t="str" s="89" r="M6">
        <f>IF((MIN(M25:M36)=MAX(M25:M36)),"---",MIN(M25:M36))</f>
        <v>---</v>
      </c>
      <c t="str" s="195" r="N6">
        <f>IF(ISNUMBER(Profile!F67),Profile!F67,IF((COUNT(N25:N36)&gt;0),AVERAGE(N25:N36),"---"))</f>
        <v>---</v>
      </c>
      <c t="str" s="89" r="O6">
        <f>IF((MIN(O25:O36)=MAX(O25:O36)),"---",MIN(O25:O36))</f>
        <v>---</v>
      </c>
      <c t="str" s="499" r="P6">
        <f>IF((MIN(P25:P36)=MAX(P25:P36)),"---",MIN(P25:P36))</f>
        <v>---</v>
      </c>
      <c t="str" s="524" r="Q6">
        <f>IF((MIN(Q25:Q36)=MAX(Q25:Q36)),"---",MIN(Q25:Q36))</f>
        <v>---</v>
      </c>
      <c t="str" s="89" r="R6">
        <f>IF((MIN(R25:R36)=MAX(R25:R36)),"---",MIN(R25:R36))</f>
        <v>---</v>
      </c>
      <c t="str" s="89" r="S6">
        <f>IF((MIN(S25:S36)=MAX(S25:S36)),"---",MIN(S25:S36))</f>
        <v>---</v>
      </c>
      <c t="str" s="499" r="T6">
        <f>IF((MIN(T25:T36)=MAX(T25:T36)),"---",MIN(T25:T36))</f>
        <v>---</v>
      </c>
      <c t="str" s="499" r="U6">
        <f>IF((MIN(U25:U36)=MAX(U25:U36)),"---",MIN(U25:U36))</f>
        <v>---</v>
      </c>
      <c t="str" s="499" r="V6">
        <f>IF((MIN(V25:V36)=MAX(V25:V36)),"---",MIN(V25:V36))</f>
        <v>---</v>
      </c>
      <c t="str" s="499" r="W6">
        <f>IF((MIN(W25:W36)=MAX(W25:W36)),"---",MIN(W25:W36))</f>
        <v>---</v>
      </c>
      <c t="str" s="499" r="X6">
        <f>IF((MIN(X25:X36)=MAX(X25:X36)),"---",MIN(X25:X36))</f>
        <v>---</v>
      </c>
      <c t="str" s="89" r="Y6">
        <f>IF((MIN(Y25:Y36)=MAX(Y25:Y36)),"---",MIN(Y25:Y36))</f>
        <v>---</v>
      </c>
      <c s="51" r="Z6"/>
    </row>
    <row customHeight="1" r="7" ht="13.5">
      <c s="822" r="A7"/>
      <c s="611" r="B7"/>
      <c t="s" s="724" r="C7">
        <v>646</v>
      </c>
      <c t="str" s="804" r="D7">
        <f>IF((MIN(D25:D36)=MAX(D25:D36)),"---",MAX(D25:D36))</f>
        <v>---</v>
      </c>
      <c t="str" s="804" r="E7">
        <f>IF((MIN(E25:E36)=MAX(E25:E36)),"---",MAX(E25:E36))</f>
        <v>---</v>
      </c>
      <c t="str" s="804" r="F7">
        <f>IF((MIN(F25:F36)=MAX(F25:F36)),"---",MAX(F25:F36))</f>
        <v>---</v>
      </c>
      <c t="str" s="804" r="G7">
        <f>IF((MIN(G25:G36)=MAX(G25:G36)),"---",MAX(G25:G36))</f>
        <v>---</v>
      </c>
      <c t="str" s="804" r="H7">
        <f>IF((MIN(H25:H36)=MAX(H25:H36)),"---",MAX(H25:H36))</f>
        <v>---</v>
      </c>
      <c t="str" s="804" r="I7">
        <f>IF((MIN(I25:I36)=MAX(I25:I36)),"---",MAX(I25:I36))</f>
        <v>---</v>
      </c>
      <c t="str" s="804" r="J7">
        <f>IF((MIN(J25:J36)=MAX(J25:J36)),"---",MAX(J25:J36))</f>
        <v>---</v>
      </c>
      <c t="str" s="804" r="K7">
        <f>IF((MIN(K25:K36)=MAX(K25:K36)),"---",MAX(K25:K36))</f>
        <v>---</v>
      </c>
      <c t="str" s="804" r="L7">
        <f>IF((MIN(L25:L36)=MAX(L25:L36)),"---",MAX(L25:L36))</f>
        <v>---</v>
      </c>
      <c t="str" s="804" r="M7">
        <f>IF((MIN(M25:M36)=MAX(M25:M36)),"---",MAX(M25:M36))</f>
        <v>---</v>
      </c>
      <c s="444" r="N7"/>
      <c t="str" s="804" r="O7">
        <f>IF((MIN(O25:O36)=MAX(O25:O36)),"---",MAX(O25:O36))</f>
        <v>---</v>
      </c>
      <c t="str" s="747" r="P7">
        <f>IF((MIN(P25:P36)=MAX(P25:P36)),"---",MAX(P25:P36))</f>
        <v>---</v>
      </c>
      <c t="str" s="749" r="Q7">
        <f>IF((MIN(Q25:Q36)=MAX(Q25:Q36)),"---",MAX(Q25:Q36))</f>
        <v>---</v>
      </c>
      <c t="str" s="804" r="R7">
        <f>IF((MIN(R25:R36)=MAX(R25:R36)),"---",MAX(R25:R36))</f>
        <v>---</v>
      </c>
      <c t="str" s="804" r="S7">
        <f>IF((MIN(S25:S36)=MAX(S25:S36)),"---",MAX(S25:S36))</f>
        <v>---</v>
      </c>
      <c t="str" s="747" r="T7">
        <f>IF((MIN(T25:T36)=MAX(T25:T36)),"---",MAX(T25:T36))</f>
        <v>---</v>
      </c>
      <c t="str" s="747" r="U7">
        <f>IF((MIN(U25:U36)=MAX(U25:U36)),"---",MAX(U25:U36))</f>
        <v>---</v>
      </c>
      <c t="str" s="747" r="V7">
        <f>IF((MIN(V25:V36)=MAX(V25:V36)),"---",MAX(V25:V36))</f>
        <v>---</v>
      </c>
      <c t="str" s="747" r="W7">
        <f>IF((MIN(W25:W36)=MAX(W25:W36)),"---",MAX(W25:W36))</f>
        <v>---</v>
      </c>
      <c t="str" s="747" r="X7">
        <f>IF((MIN(X25:X36)=MAX(X25:X36)),"---",MAX(X25:X36))</f>
        <v>---</v>
      </c>
      <c t="str" s="804" r="Y7">
        <f>IF((MIN(Y25:Y36)=MAX(Y25:Y36)),"---",MAX(Y25:Y36))</f>
        <v>---</v>
      </c>
      <c s="51" r="Z7"/>
    </row>
    <row r="8">
      <c s="822" r="A8"/>
      <c s="611" r="B8"/>
      <c t="s" s="724" r="C8">
        <v>647</v>
      </c>
      <c t="str" s="615" r="D8">
        <f>IF((SUM(D37:D48)&gt;0),AVERAGE(D37:D48),"")</f>
        <v>#VALUE!:cantParseText:---</v>
      </c>
      <c t="str" s="615" r="E8">
        <f>IF((SUM(E37:E48)&gt;0),AVERAGE(E37:E48),"")</f>
        <v>#VALUE!:cantParseText:---</v>
      </c>
      <c t="str" s="615" r="F8">
        <f>IF((SUM(F37:F48)&gt;0),AVERAGE(F37:F48),"")</f>
        <v>#VALUE!:cantParseText:---</v>
      </c>
      <c t="str" s="615" r="G8">
        <f>IF((SUM(G37:G48)&gt;0),AVERAGE(G37:G48),"")</f>
        <v>#VALUE!:cantParseText:---</v>
      </c>
      <c t="str" s="615" r="H8">
        <f>IF((SUM(H37:H48)&gt;0),AVERAGE(H37:H48),"")</f>
        <v>#VALUE!:cantParseText:---</v>
      </c>
      <c t="str" s="615" r="I8">
        <f>IF((SUM(I37:I48)&gt;0),AVERAGE(I37:I48),"")</f>
        <v>#VALUE!:cantParseText:---</v>
      </c>
      <c s="527" r="J8"/>
      <c s="544" r="K8"/>
      <c s="544" r="L8"/>
      <c s="544" r="M8"/>
      <c s="52" r="N8"/>
      <c s="54" r="O8"/>
      <c s="54" r="P8"/>
      <c s="54" r="Q8"/>
      <c s="54" r="R8"/>
      <c s="544" r="S8"/>
      <c s="544" r="T8"/>
      <c s="544" r="U8"/>
      <c s="544" r="V8"/>
      <c s="544" r="W8"/>
      <c s="544" r="X8"/>
      <c s="346" r="Y8"/>
      <c s="51" r="Z8"/>
    </row>
    <row r="9">
      <c s="822" r="A9"/>
      <c s="611" r="B9"/>
      <c t="s" s="724" r="C9">
        <v>648</v>
      </c>
      <c t="str" s="89" r="D9">
        <f>IF((SUM(D37:D48)&gt;0),MIN(D37:D48),"")</f>
        <v>#VALUE!:cantParseText:---</v>
      </c>
      <c t="str" s="89" r="E9">
        <f>IF((SUM(E37:E48)&gt;0),MIN(E37:E48),"")</f>
        <v>#VALUE!:cantParseText:---</v>
      </c>
      <c t="str" s="89" r="F9">
        <f>IF((SUM(F37:F48)&gt;0),MIN(F37:F48),"")</f>
        <v>#VALUE!:cantParseText:---</v>
      </c>
      <c t="str" s="89" r="G9">
        <f>IF((SUM(G37:G48)&gt;0),MIN(G37:G48),"")</f>
        <v>#VALUE!:cantParseText:---</v>
      </c>
      <c t="str" s="89" r="H9">
        <f>IF((SUM(H37:H48)&gt;0),MIN(H37:H48),"")</f>
        <v>#VALUE!:cantParseText:---</v>
      </c>
      <c t="str" s="89" r="I9">
        <f>IF((SUM(I37:I48)&gt;0),MIN(I37:I48),"")</f>
        <v>#VALUE!:cantParseText:---</v>
      </c>
      <c s="719" r="J9"/>
      <c s="286" r="K9"/>
      <c s="286" r="L9"/>
      <c s="286" r="M9"/>
      <c s="706" r="N9"/>
      <c s="706" r="O9"/>
      <c s="706" r="P9"/>
      <c s="706" r="Q9"/>
      <c s="706" r="R9"/>
      <c s="286" r="S9"/>
      <c s="286" r="T9"/>
      <c s="286" r="U9"/>
      <c s="286" r="V9"/>
      <c s="286" r="W9"/>
      <c s="286" r="X9"/>
      <c s="224" r="Y9"/>
      <c s="51" r="Z9"/>
    </row>
    <row r="10">
      <c s="822" r="A10"/>
      <c s="546" r="B10"/>
      <c t="s" s="698" r="C10">
        <v>649</v>
      </c>
      <c t="str" s="89" r="D10">
        <f>IF((SUM(D37:D48)&gt;0),MAX(D37:D48),"")</f>
        <v>#VALUE!:cantParseText:---</v>
      </c>
      <c t="str" s="89" r="E10">
        <f>IF((SUM(E37:E48)&gt;0),MAX(E37:E48),"")</f>
        <v>#VALUE!:cantParseText:---</v>
      </c>
      <c t="str" s="89" r="F10">
        <f>IF((SUM(F37:F48)&gt;0),MAX(F37:F48),"")</f>
        <v>#VALUE!:cantParseText:---</v>
      </c>
      <c t="str" s="89" r="G10">
        <f>IF((SUM(G37:G48)&gt;0),MAX(G37:G48),"")</f>
        <v>#VALUE!:cantParseText:---</v>
      </c>
      <c t="str" s="89" r="H10">
        <f>IF((SUM(H37:H48)&gt;0),MAX(H37:H48),"")</f>
        <v>#VALUE!:cantParseText:---</v>
      </c>
      <c t="str" s="89" r="I10">
        <f>IF((SUM(I37:I48)&gt;0),MAX(I37:I48),"")</f>
        <v>#VALUE!:cantParseText:---</v>
      </c>
      <c s="350" r="J10"/>
      <c s="893" r="K10"/>
      <c s="893" r="L10"/>
      <c s="893" r="M10"/>
      <c s="893" r="N10"/>
      <c s="83" r="O10"/>
      <c s="83" r="P10"/>
      <c s="83" r="Q10"/>
      <c s="83" r="R10"/>
      <c s="893" r="S10"/>
      <c s="893" r="T10"/>
      <c s="893" r="U10"/>
      <c s="893" r="V10"/>
      <c s="893" r="W10"/>
      <c s="893" r="X10"/>
      <c s="509" r="Y10"/>
      <c s="51" r="Z10"/>
    </row>
    <row r="11">
      <c s="822" r="A11"/>
      <c s="577" r="B11"/>
      <c s="697" r="C11"/>
      <c s="697" r="D11"/>
      <c s="697" r="E11"/>
      <c s="697" r="F11"/>
      <c s="697" r="G11"/>
      <c s="697" r="H11"/>
      <c s="697" r="I11"/>
      <c s="697" r="J11"/>
      <c s="697" r="K11"/>
      <c s="697" r="L11"/>
      <c s="697" r="M11"/>
      <c s="697" r="N11"/>
      <c s="697" r="O11"/>
      <c s="697" r="P11"/>
      <c s="697" r="Q11"/>
      <c s="697" r="R11"/>
      <c s="697" r="S11"/>
      <c s="697" r="T11"/>
      <c s="697" r="U11"/>
      <c s="697" r="V11"/>
      <c s="697" r="W11"/>
      <c s="697" r="X11"/>
      <c s="754" r="Y11"/>
      <c s="51" r="Z11"/>
    </row>
    <row r="12">
      <c s="822" r="A12"/>
      <c s="718" r="B12"/>
      <c t="str" s="888" r="C12">
        <f>Dimension!AA149</f>
        <v>Riffle</v>
      </c>
      <c s="89" r="D12">
        <f>Dimension!$L$26</f>
        <v>0</v>
      </c>
      <c s="89" r="E12">
        <f>Dimension!L27</f>
        <v>0</v>
      </c>
      <c s="89" r="F12">
        <f>Dimension!L29</f>
        <v>0</v>
      </c>
      <c s="89" r="G12">
        <f>Dimension!L28</f>
        <v>0</v>
      </c>
      <c s="89" r="H12">
        <f>Dimension!L30</f>
        <v>0</v>
      </c>
      <c s="89" r="I12">
        <f>Dimension!L31</f>
        <v>0</v>
      </c>
      <c s="89" r="J12">
        <f>Dimension!L32</f>
        <v>0</v>
      </c>
      <c t="str" s="89" r="K12">
        <f>Dimension!$P$26</f>
        <v>---</v>
      </c>
      <c t="str" s="89" r="L12">
        <f>Dimension!P27</f>
        <v>---</v>
      </c>
      <c t="str" s="89" r="M12">
        <f>Dimension!$P28</f>
        <v>---</v>
      </c>
      <c t="str" s="620" r="N12">
        <f>Dimension!T$35</f>
        <v>---</v>
      </c>
      <c t="str" s="89" r="O12">
        <f>Dimension!P38</f>
        <v>---</v>
      </c>
      <c t="str" s="499" r="P12">
        <f>IF((Dimension!N67&gt;0),Dimension!N67,Dimension!O67)</f>
        <v>---</v>
      </c>
      <c t="str" s="499" r="Q12">
        <f>IF((Dimension!N66&gt;0),Dimension!N66,Dimension!O66)</f>
        <v>---</v>
      </c>
      <c t="str" s="89" r="R12">
        <f>Dimension!L35</f>
        <v>---</v>
      </c>
      <c t="str" s="89" r="S12">
        <f>Dimension!L36</f>
        <v>---</v>
      </c>
      <c t="str" s="89" r="T12">
        <f>Dimension!$T$36</f>
        <v>---</v>
      </c>
      <c t="str" s="89" r="U12">
        <f>Dimension!T$37</f>
        <v>---</v>
      </c>
      <c t="str" s="89" r="V12">
        <f>Dimension!U$148</f>
        <v>---</v>
      </c>
      <c t="str" s="89" r="W12">
        <f>Dimension!$L37</f>
        <v>---</v>
      </c>
      <c t="str" s="89" r="X12">
        <f>Dimension!P37</f>
        <v>---</v>
      </c>
      <c t="str" s="89" r="Y12">
        <f>Dimension!T$28</f>
        <v>---</v>
      </c>
      <c s="51" r="Z12"/>
    </row>
    <row r="13">
      <c s="822" r="A13"/>
      <c s="611" r="B13"/>
      <c t="str" s="475" r="C13">
        <f>Dimension!AY149</f>
        <v>Riffle</v>
      </c>
      <c s="89" r="D13">
        <f>Dimension!$AJ$26</f>
        <v>0</v>
      </c>
      <c s="89" r="E13">
        <f>Dimension!$AJ$27</f>
        <v>0</v>
      </c>
      <c s="89" r="F13">
        <f>Dimension!$AJ$29</f>
        <v>0</v>
      </c>
      <c s="89" r="G13">
        <f>Dimension!$AJ$28</f>
        <v>0</v>
      </c>
      <c s="89" r="H13">
        <f>Dimension!$AJ$30</f>
        <v>0</v>
      </c>
      <c s="89" r="I13">
        <f>Dimension!$AJ$31</f>
        <v>0</v>
      </c>
      <c s="89" r="J13">
        <f>Dimension!$AJ$32</f>
        <v>0</v>
      </c>
      <c t="str" s="89" r="K13">
        <f>Dimension!$AN$26</f>
        <v>---</v>
      </c>
      <c t="str" s="89" r="L13">
        <f>Dimension!$AN$27</f>
        <v>---</v>
      </c>
      <c t="str" s="89" r="M13">
        <f>Dimension!$AN$28</f>
        <v>---</v>
      </c>
      <c t="str" s="620" r="N13">
        <f>Dimension!$AR$35</f>
        <v>---</v>
      </c>
      <c t="str" s="89" r="O13">
        <f>Dimension!$AN$38</f>
        <v>---</v>
      </c>
      <c t="str" s="499" r="P13">
        <f>IF((Dimension!AL67&gt;0),Dimension!AL67,Dimension!AM67)</f>
        <v>---</v>
      </c>
      <c t="str" s="499" r="Q13">
        <f>IF((Dimension!AL66&gt;0),Dimension!AL66,Dimension!AM66)</f>
        <v>---</v>
      </c>
      <c t="str" s="89" r="R13">
        <f>Dimension!$AJ$35</f>
        <v>---</v>
      </c>
      <c t="str" s="89" r="S13">
        <f>Dimension!$AJ$36</f>
        <v>---</v>
      </c>
      <c t="str" s="89" r="T13">
        <f>Dimension!$AR$36</f>
        <v>---</v>
      </c>
      <c t="str" s="89" r="U13">
        <f>Dimension!$AR$37</f>
        <v>---</v>
      </c>
      <c t="str" s="89" r="V13">
        <f>Dimension!$AS$148</f>
        <v>---</v>
      </c>
      <c t="str" s="708" r="W13">
        <f>Dimension!$AJ$37</f>
        <v>---</v>
      </c>
      <c t="str" s="89" r="X13">
        <f>Dimension!$AN$37</f>
        <v>---</v>
      </c>
      <c t="str" s="89" r="Y13">
        <f>Dimension!$AR$28</f>
        <v>---</v>
      </c>
      <c s="51" r="Z13"/>
    </row>
    <row r="14">
      <c s="822" r="A14"/>
      <c s="611" r="B14"/>
      <c t="str" s="475" r="C14">
        <f>Dimension!BW149</f>
        <v>Riffle</v>
      </c>
      <c s="89" r="D14">
        <f>Dimension!$BH$26</f>
        <v>0</v>
      </c>
      <c s="89" r="E14">
        <f>Dimension!$BH$27</f>
        <v>0</v>
      </c>
      <c s="89" r="F14">
        <f>Dimension!$BH$29</f>
        <v>0</v>
      </c>
      <c s="89" r="G14">
        <f>Dimension!$BH$28</f>
        <v>0</v>
      </c>
      <c s="89" r="H14">
        <f>Dimension!$BH$30</f>
        <v>0</v>
      </c>
      <c s="89" r="I14">
        <f>Dimension!$BH$31</f>
        <v>0</v>
      </c>
      <c s="89" r="J14">
        <f>Dimension!$BH$32</f>
        <v>0</v>
      </c>
      <c t="str" s="89" r="K14">
        <f>Dimension!$BL$26</f>
        <v>---</v>
      </c>
      <c t="str" s="89" r="L14">
        <f>Dimension!$BL$27</f>
        <v>---</v>
      </c>
      <c t="str" s="89" r="M14">
        <f>Dimension!$BL$28</f>
        <v>---</v>
      </c>
      <c t="str" s="620" r="N14">
        <f>Dimension!$BP$35</f>
        <v>---</v>
      </c>
      <c t="str" s="89" r="O14">
        <f>Dimension!$BL$38</f>
        <v>---</v>
      </c>
      <c t="str" s="499" r="P14">
        <f>IF((Dimension!BJ67&gt;0),Dimension!BJ67,Dimension!BK67)</f>
        <v>---</v>
      </c>
      <c t="str" s="499" r="Q14">
        <f>IF((Dimension!BJ66&gt;0),Dimension!BJ66,Dimension!BK66)</f>
        <v>---</v>
      </c>
      <c t="str" s="89" r="R14">
        <f>Dimension!$BH$35</f>
        <v>---</v>
      </c>
      <c t="str" s="89" r="S14">
        <f>Dimension!$BH$36</f>
        <v>---</v>
      </c>
      <c t="str" s="89" r="T14">
        <f>Dimension!$BP$36</f>
        <v>---</v>
      </c>
      <c t="str" s="89" r="U14">
        <f>Dimension!$BP$37</f>
        <v>---</v>
      </c>
      <c t="str" s="89" r="V14">
        <f>Dimension!$BQ$148</f>
        <v>---</v>
      </c>
      <c t="str" s="708" r="W14">
        <f>Dimension!$BH$37</f>
        <v>---</v>
      </c>
      <c t="str" s="89" r="X14">
        <f>Dimension!$BL$37</f>
        <v>---</v>
      </c>
      <c t="str" s="89" r="Y14">
        <f>Dimension!$BP$28</f>
        <v>---</v>
      </c>
      <c s="51" r="Z14"/>
    </row>
    <row r="15">
      <c s="822" r="A15"/>
      <c s="611" r="B15"/>
      <c t="str" s="475" r="C15">
        <f>Dimension!CU149</f>
        <v>Riffle</v>
      </c>
      <c s="89" r="D15">
        <f>Dimension!$CF$26</f>
        <v>0</v>
      </c>
      <c s="89" r="E15">
        <f>Dimension!$CF$27</f>
        <v>0</v>
      </c>
      <c s="89" r="F15">
        <f>Dimension!$CF$29</f>
        <v>0</v>
      </c>
      <c s="89" r="G15">
        <f>Dimension!$CF$28</f>
        <v>0</v>
      </c>
      <c s="89" r="H15">
        <f>Dimension!$CF$30</f>
        <v>0</v>
      </c>
      <c s="89" r="I15">
        <f>Dimension!$CF$31</f>
        <v>0</v>
      </c>
      <c s="89" r="J15">
        <f>Dimension!$CF$32</f>
        <v>0</v>
      </c>
      <c t="str" s="89" r="K15">
        <f>Dimension!$CJ$26</f>
        <v>---</v>
      </c>
      <c t="str" s="89" r="L15">
        <f>Dimension!$CJ$27</f>
        <v>---</v>
      </c>
      <c t="str" s="89" r="M15">
        <f>Dimension!$CJ$28</f>
        <v>---</v>
      </c>
      <c t="str" s="620" r="N15">
        <f>Dimension!$CN$35</f>
        <v>---</v>
      </c>
      <c t="str" s="89" r="O15">
        <f>Dimension!$CJ$38</f>
        <v>---</v>
      </c>
      <c t="str" s="499" r="P15">
        <f>IF((Dimension!CH67&gt;0),Dimension!CH67,Dimension!CI67)</f>
        <v>---</v>
      </c>
      <c t="str" s="499" r="Q15">
        <f>IF((Dimension!CH66&gt;0),Dimension!CH66,Dimension!CI66)</f>
        <v>---</v>
      </c>
      <c t="str" s="89" r="R15">
        <f>Dimension!$CF$35</f>
        <v>---</v>
      </c>
      <c t="str" s="89" r="S15">
        <f>Dimension!$CF$36</f>
        <v>---</v>
      </c>
      <c t="str" s="89" r="T15">
        <f>Dimension!$CN$36</f>
        <v>---</v>
      </c>
      <c t="str" s="89" r="U15">
        <f>Dimension!$CN$37</f>
        <v>---</v>
      </c>
      <c t="str" s="89" r="V15">
        <f>Dimension!$CO$148</f>
        <v>---</v>
      </c>
      <c t="str" s="708" r="W15">
        <f>Dimension!$CF$37</f>
        <v>---</v>
      </c>
      <c t="str" s="89" r="X15">
        <f>Dimension!$CJ$37</f>
        <v>---</v>
      </c>
      <c t="str" s="89" r="Y15">
        <f>Dimension!$CN$28</f>
        <v>---</v>
      </c>
      <c s="51" r="Z15"/>
    </row>
    <row r="16">
      <c s="822" r="A16"/>
      <c s="611" r="B16"/>
      <c t="str" s="475" r="C16">
        <f>Dimension!DS149</f>
        <v>Riffle</v>
      </c>
      <c s="89" r="D16">
        <f>Dimension!$DD$26</f>
        <v>0</v>
      </c>
      <c s="89" r="E16">
        <f>Dimension!$DD$27</f>
        <v>0</v>
      </c>
      <c s="89" r="F16">
        <f>Dimension!$DD$29</f>
        <v>0</v>
      </c>
      <c s="89" r="G16">
        <f>Dimension!$DD$28</f>
        <v>0</v>
      </c>
      <c s="89" r="H16">
        <f>Dimension!$DD$30</f>
        <v>0</v>
      </c>
      <c s="89" r="I16">
        <f>Dimension!$DD$31</f>
        <v>0</v>
      </c>
      <c s="89" r="J16">
        <f>Dimension!$DD$32</f>
        <v>0</v>
      </c>
      <c t="str" s="89" r="K16">
        <f>Dimension!$DH$26</f>
        <v>---</v>
      </c>
      <c t="str" s="89" r="L16">
        <f>Dimension!$DH$27</f>
        <v>---</v>
      </c>
      <c t="str" s="89" r="M16">
        <f>Dimension!$DH$28</f>
        <v>---</v>
      </c>
      <c t="str" s="620" r="N16">
        <f>Dimension!$DL$35</f>
        <v>---</v>
      </c>
      <c t="str" s="89" r="O16">
        <f>Dimension!$DH$38</f>
        <v>---</v>
      </c>
      <c t="str" s="499" r="P16">
        <f>IF((Dimension!DF67&gt;0),Dimension!DF67,Dimension!DG67)</f>
        <v>---</v>
      </c>
      <c t="str" s="499" r="Q16">
        <f>IF((Dimension!DF66&gt;0),Dimension!DF66,Dimension!DG66)</f>
        <v>---</v>
      </c>
      <c t="str" s="89" r="R16">
        <f>Dimension!$DD$35</f>
        <v>---</v>
      </c>
      <c t="str" s="89" r="S16">
        <f>Dimension!$DD$36</f>
        <v>---</v>
      </c>
      <c t="str" s="89" r="T16">
        <f>Dimension!$DL$36</f>
        <v>---</v>
      </c>
      <c t="str" s="89" r="U16">
        <f>Dimension!$DL$37</f>
        <v>---</v>
      </c>
      <c t="str" s="89" r="V16">
        <f>Dimension!$DM$148</f>
        <v>---</v>
      </c>
      <c t="str" s="708" r="W16">
        <f>Dimension!$DD$37</f>
        <v>---</v>
      </c>
      <c t="str" s="89" r="X16">
        <f>Dimension!$DH$37</f>
        <v>---</v>
      </c>
      <c t="str" s="89" r="Y16">
        <f>Dimension!$DL$28</f>
        <v>---</v>
      </c>
      <c s="51" r="Z16"/>
    </row>
    <row r="17">
      <c s="822" r="A17"/>
      <c s="611" r="B17"/>
      <c t="str" s="475" r="C17">
        <f>Dimension!EQ149</f>
        <v>Riffle</v>
      </c>
      <c s="89" r="D17">
        <f>Dimension!$EB$26</f>
        <v>0</v>
      </c>
      <c s="89" r="E17">
        <f>Dimension!$EB$27</f>
        <v>0</v>
      </c>
      <c s="89" r="F17">
        <f>Dimension!$EB$29</f>
        <v>0</v>
      </c>
      <c s="89" r="G17">
        <f>Dimension!$EB$28</f>
        <v>0</v>
      </c>
      <c s="89" r="H17">
        <f>Dimension!$EB$30</f>
        <v>0</v>
      </c>
      <c s="89" r="I17">
        <f>Dimension!$EB$31</f>
        <v>0</v>
      </c>
      <c s="89" r="J17">
        <f>Dimension!$EB$32</f>
        <v>0</v>
      </c>
      <c t="str" s="89" r="K17">
        <f>Dimension!$EF$26</f>
        <v>---</v>
      </c>
      <c t="str" s="89" r="L17">
        <f>Dimension!$EF$27</f>
        <v>---</v>
      </c>
      <c t="str" s="89" r="M17">
        <f>Dimension!$EF$28</f>
        <v>---</v>
      </c>
      <c t="str" s="620" r="N17">
        <f>Dimension!$EJ$35</f>
        <v>---</v>
      </c>
      <c t="str" s="89" r="O17">
        <f>Dimension!$EF$38</f>
        <v>---</v>
      </c>
      <c t="str" s="499" r="P17">
        <f>IF((Dimension!ED67&gt;0),Dimension!ED67,Dimension!EE67)</f>
        <v>---</v>
      </c>
      <c t="str" s="499" r="Q17">
        <f>IF((Dimension!ED66&gt;0),Dimension!ED66,Dimension!EE66)</f>
        <v>---</v>
      </c>
      <c t="str" s="89" r="R17">
        <f>Dimension!$EB$35</f>
        <v>---</v>
      </c>
      <c t="str" s="89" r="S17">
        <f>Dimension!$EB$36</f>
        <v>---</v>
      </c>
      <c t="str" s="89" r="T17">
        <f>Dimension!$EJ$36</f>
        <v>---</v>
      </c>
      <c t="str" s="89" r="U17">
        <f>Dimension!$EJ$37</f>
        <v>---</v>
      </c>
      <c t="str" s="89" r="V17">
        <f>Dimension!$EK$148</f>
        <v>---</v>
      </c>
      <c t="str" s="708" r="W17">
        <f>Dimension!$EB$37</f>
        <v>---</v>
      </c>
      <c t="str" s="89" r="X17">
        <f>Dimension!$EF$37</f>
        <v>---</v>
      </c>
      <c t="str" s="89" r="Y17">
        <f>Dimension!$EJ$28</f>
        <v>---</v>
      </c>
      <c s="51" r="Z17"/>
    </row>
    <row r="18">
      <c s="822" r="A18"/>
      <c s="611" r="B18"/>
      <c t="str" s="475" r="C18">
        <f>Dimension!FO149</f>
        <v>Riffle</v>
      </c>
      <c s="89" r="D18">
        <f>Dimension!$EZ$26</f>
        <v>0</v>
      </c>
      <c s="89" r="E18">
        <f>Dimension!$EZ$27</f>
        <v>0</v>
      </c>
      <c s="89" r="F18">
        <f>Dimension!$EZ$29</f>
        <v>0</v>
      </c>
      <c s="89" r="G18">
        <f>Dimension!$EZ$28</f>
        <v>0</v>
      </c>
      <c s="89" r="H18">
        <f>Dimension!$EZ$30</f>
        <v>0</v>
      </c>
      <c s="89" r="I18">
        <f>Dimension!$EZ$31</f>
        <v>0</v>
      </c>
      <c s="89" r="J18">
        <f>Dimension!$EZ$32</f>
        <v>0</v>
      </c>
      <c t="str" s="89" r="K18">
        <f>Dimension!$FD$26</f>
        <v>---</v>
      </c>
      <c t="str" s="89" r="L18">
        <f>Dimension!$FD$27</f>
        <v>---</v>
      </c>
      <c t="str" s="89" r="M18">
        <f>Dimension!$FD$28</f>
        <v>---</v>
      </c>
      <c t="str" s="620" r="N18">
        <f>Dimension!$FH$35</f>
        <v>---</v>
      </c>
      <c t="str" s="89" r="O18">
        <f>Dimension!$FD$38</f>
        <v>---</v>
      </c>
      <c t="str" s="499" r="P18">
        <f>IF((Dimension!FB67&gt;0),Dimension!FB67,Dimension!FC67)</f>
        <v>---</v>
      </c>
      <c t="str" s="499" r="Q18">
        <f>IF((Dimension!FB66&gt;0),Dimension!FB66,Dimension!FC66)</f>
        <v>---</v>
      </c>
      <c t="str" s="89" r="R18">
        <f>Dimension!$EZ$35</f>
        <v>---</v>
      </c>
      <c t="str" s="89" r="S18">
        <f>Dimension!$EZ$36</f>
        <v>---</v>
      </c>
      <c t="str" s="89" r="T18">
        <f>Dimension!$FH$36</f>
        <v>---</v>
      </c>
      <c t="str" s="89" r="U18">
        <f>Dimension!$FH$37</f>
        <v>---</v>
      </c>
      <c t="str" s="89" r="V18">
        <f>Dimension!$FI$148</f>
        <v>---</v>
      </c>
      <c t="str" s="708" r="W18">
        <f>Dimension!$EZ$37</f>
        <v>---</v>
      </c>
      <c t="str" s="89" r="X18">
        <f>Dimension!$FD$37</f>
        <v>---</v>
      </c>
      <c t="str" s="89" r="Y18">
        <f>Dimension!$FH$28</f>
        <v>---</v>
      </c>
      <c s="51" r="Z18"/>
    </row>
    <row r="19">
      <c s="822" r="A19"/>
      <c s="611" r="B19"/>
      <c s="475" r="C19"/>
      <c s="89" r="D19"/>
      <c s="89" r="E19"/>
      <c s="89" r="F19"/>
      <c s="89" r="G19"/>
      <c s="89" r="H19"/>
      <c s="89" r="I19"/>
      <c s="89" r="J19"/>
      <c s="89" r="K19"/>
      <c s="89" r="L19"/>
      <c s="89" r="M19"/>
      <c s="620" r="N19"/>
      <c s="89" r="O19"/>
      <c s="499" r="P19"/>
      <c s="499" r="Q19"/>
      <c s="89" r="R19"/>
      <c s="89" r="S19"/>
      <c s="89" r="T19"/>
      <c s="89" r="U19"/>
      <c s="89" r="V19"/>
      <c s="89" r="W19"/>
      <c s="89" r="X19"/>
      <c s="89" r="Y19"/>
      <c t="s" s="51" r="Z19">
        <v>2</v>
      </c>
    </row>
    <row r="20">
      <c s="822" r="A20"/>
      <c s="611" r="B20"/>
      <c s="475" r="C20"/>
      <c s="89" r="D20"/>
      <c s="89" r="E20"/>
      <c s="89" r="F20"/>
      <c s="89" r="G20"/>
      <c s="89" r="H20"/>
      <c s="89" r="I20"/>
      <c s="89" r="J20"/>
      <c s="89" r="K20"/>
      <c s="89" r="L20"/>
      <c s="89" r="M20"/>
      <c s="620" r="N20"/>
      <c s="89" r="O20"/>
      <c s="499" r="P20"/>
      <c s="499" r="Q20"/>
      <c s="89" r="R20"/>
      <c s="89" r="S20"/>
      <c s="89" r="T20"/>
      <c s="89" r="U20"/>
      <c s="89" r="V20"/>
      <c s="89" r="W20"/>
      <c s="89" r="X20"/>
      <c s="89" r="Y20"/>
      <c s="51" r="Z20"/>
    </row>
    <row r="21">
      <c s="822" r="A21"/>
      <c s="611" r="B21"/>
      <c s="475" r="C21"/>
      <c s="89" r="D21"/>
      <c s="89" r="E21"/>
      <c s="89" r="F21"/>
      <c s="89" r="G21"/>
      <c s="89" r="H21"/>
      <c s="89" r="I21"/>
      <c s="89" r="J21"/>
      <c s="89" r="K21"/>
      <c s="89" r="L21"/>
      <c s="89" r="M21"/>
      <c s="620" r="N21"/>
      <c s="89" r="O21"/>
      <c s="499" r="P21"/>
      <c s="499" r="Q21"/>
      <c s="89" r="R21"/>
      <c s="89" r="S21"/>
      <c s="89" r="T21"/>
      <c s="89" r="U21"/>
      <c s="89" r="V21"/>
      <c s="89" r="W21"/>
      <c s="89" r="X21"/>
      <c s="89" r="Y21"/>
      <c s="51" r="Z21"/>
    </row>
    <row r="22">
      <c s="822" r="A22"/>
      <c s="611" r="B22"/>
      <c s="475" r="C22"/>
      <c s="89" r="D22"/>
      <c s="89" r="E22"/>
      <c s="89" r="F22"/>
      <c s="89" r="G22"/>
      <c s="89" r="H22"/>
      <c s="89" r="I22"/>
      <c s="89" r="J22"/>
      <c s="89" r="K22"/>
      <c s="89" r="L22"/>
      <c s="89" r="M22"/>
      <c s="620" r="N22"/>
      <c s="89" r="O22"/>
      <c s="499" r="P22"/>
      <c s="499" r="Q22"/>
      <c s="89" r="R22"/>
      <c s="89" r="S22"/>
      <c s="89" r="T22"/>
      <c s="89" r="U22"/>
      <c s="89" r="V22"/>
      <c s="89" r="W22"/>
      <c s="89" r="X22"/>
      <c s="89" r="Y22"/>
      <c s="51" r="Z22"/>
    </row>
    <row r="23">
      <c s="822" r="A23"/>
      <c s="546" r="B23"/>
      <c s="284" r="C23"/>
      <c s="89" r="D23"/>
      <c s="89" r="E23"/>
      <c s="89" r="F23"/>
      <c s="89" r="G23"/>
      <c s="89" r="H23"/>
      <c s="89" r="I23"/>
      <c s="89" r="J23"/>
      <c s="89" r="K23"/>
      <c s="89" r="L23"/>
      <c s="89" r="M23"/>
      <c s="620" r="N23"/>
      <c s="89" r="O23"/>
      <c s="499" r="P23"/>
      <c s="499" r="Q23"/>
      <c s="89" r="R23"/>
      <c s="89" r="S23"/>
      <c s="89" r="T23"/>
      <c s="89" r="U23"/>
      <c s="89" r="V23"/>
      <c s="89" r="W23"/>
      <c s="89" r="X23"/>
      <c s="89" r="Y23"/>
      <c s="51" r="Z23"/>
    </row>
    <row r="24">
      <c s="822" r="A24"/>
      <c s="219" r="B24"/>
      <c s="665" r="C24"/>
      <c s="665" r="D24"/>
      <c s="665" r="E24"/>
      <c s="665" r="F24"/>
      <c s="665" r="G24"/>
      <c s="665" r="H24"/>
      <c s="665" r="I24"/>
      <c s="871" r="J24"/>
      <c s="665" r="K24"/>
      <c s="665" r="L24"/>
      <c s="697" r="M24"/>
      <c s="697" r="N24"/>
      <c s="697" r="O24"/>
      <c s="697" r="P24"/>
      <c s="697" r="Q24"/>
      <c s="697" r="R24"/>
      <c s="697" r="S24"/>
      <c s="697" r="T24"/>
      <c s="697" r="U24"/>
      <c s="697" r="V24"/>
      <c s="697" r="W24"/>
      <c s="697" r="X24"/>
      <c s="754" r="Y24"/>
      <c s="51" r="Z24"/>
    </row>
    <row r="25">
      <c s="822" r="A25"/>
      <c s="718" r="B25">
        <v>1</v>
      </c>
      <c t="str" s="888" r="C25">
        <f>IF(OR(($C12="Riffle"),($C12="run")),C12,"---")</f>
        <v>Riffle</v>
      </c>
      <c t="str" s="89" r="D25">
        <f>IF(OR(($C12="Riffle"),($C12="run")),IF((D12&lt;&gt;0),D12,"---"),"---")</f>
        <v>---</v>
      </c>
      <c t="str" s="89" r="E25">
        <f>IF(OR(($C12="Riffle"),($C12="run")),IF((E12&lt;&gt;0),E12,"---"),"---")</f>
        <v>---</v>
      </c>
      <c t="str" s="89" r="F25">
        <f>IF(OR(($C12="Riffle"),($C12="run")),IF((F12&lt;&gt;0),F12,"---"),"---")</f>
        <v>---</v>
      </c>
      <c t="str" s="89" r="G25">
        <f>IF(OR(($C12="Riffle"),($C12="run")),IF((G12&lt;&gt;0),G12,"---"),"---")</f>
        <v>---</v>
      </c>
      <c t="str" s="89" r="H25">
        <f>IF(OR(($C12="Riffle"),($C12="run")),IF((H12&lt;&gt;0),H12,"---"),"---")</f>
        <v>---</v>
      </c>
      <c t="str" s="89" r="I25">
        <f>IF(OR(($C12="Riffle"),($C12="run")),IF((I12&lt;&gt;0),I12,"---"),"---")</f>
        <v>---</v>
      </c>
      <c t="str" s="89" r="J25">
        <f>IF(OR(($C12="Riffle"),($C12="run")),IF((J12&lt;&gt;0),J12,"---"),"---")</f>
        <v>---</v>
      </c>
      <c t="str" s="89" r="K25">
        <f>IF(OR(($C12="Riffle"),($C12="run")),IF((K12&lt;&gt;0),K12,"---"),"---")</f>
        <v>---</v>
      </c>
      <c t="str" s="89" r="L25">
        <f>IF(OR(($C12="Riffle"),($C12="run")),IF((L12&lt;&gt;0),L12,"---"),"---")</f>
        <v>---</v>
      </c>
      <c t="str" s="89" r="M25">
        <f>IF(OR(($C12="Riffle"),($C12="run")),IF((M12&lt;&gt;0),M12,"---"),"---")</f>
        <v>---</v>
      </c>
      <c t="str" s="708" r="N25">
        <f>IF(OR(($C12="Riffle"),($C12="run")),IF((N12&lt;&gt;0),N12,"---"),"---")</f>
        <v>---</v>
      </c>
      <c t="str" s="89" r="O25">
        <f>IF(OR(($C12="Riffle"),($C12="run")),IF((O12&lt;&gt;0),O12,"---"),"---")</f>
        <v>---</v>
      </c>
      <c t="str" s="499" r="P25">
        <f>IF(OR(($C12="Riffle"),($C12="run")),IF((P12&lt;&gt;0),P12,"---"),"---")</f>
        <v>---</v>
      </c>
      <c t="str" s="499" r="Q25">
        <f>IF(OR(($C12="Riffle"),($C12="run")),IF((Q12&lt;&gt;0),Q12,"---"),"---")</f>
        <v>---</v>
      </c>
      <c t="str" s="89" r="R25">
        <f>IF(OR(($C12="Riffle"),($C12="run")),IF((R12&lt;&gt;0),R12,"---"),"---")</f>
        <v>---</v>
      </c>
      <c t="str" s="89" r="S25">
        <f>IF(OR(($C12="Riffle"),($C12="run")),IF((S12&lt;&gt;0),S12,"---"),"---")</f>
        <v>---</v>
      </c>
      <c t="str" s="89" r="T25">
        <f>IF(OR(($C12="Riffle"),($C12="run")),IF((T12&lt;&gt;0),T12,"---"),"---")</f>
        <v>---</v>
      </c>
      <c t="str" s="89" r="U25">
        <f>IF(OR(($C12="Riffle"),($C12="run")),IF((U12&lt;&gt;0),U12,"---"),"---")</f>
        <v>---</v>
      </c>
      <c t="str" s="89" r="V25">
        <f>IF(OR(($C12="Riffle"),($C12="run")),IF((V12&lt;&gt;0),V12,"---"),"---")</f>
        <v>---</v>
      </c>
      <c t="str" s="89" r="W25">
        <f>IF(OR(($C12="Riffle"),($C12="run")),IF((W12&lt;&gt;0),W12,"---"),"---")</f>
        <v>---</v>
      </c>
      <c t="str" s="89" r="X25">
        <f>IF(OR(($C12="Riffle"),($C12="run")),IF((X12&lt;&gt;0),X12,"---"),"---")</f>
        <v>---</v>
      </c>
      <c t="str" s="89" r="Y25">
        <f>IF(OR(($C12="Riffle"),($C12="run")),IF((Y12&lt;&gt;0),Y12,"---"),"---")</f>
        <v>---</v>
      </c>
      <c s="51" r="Z25"/>
    </row>
    <row r="26">
      <c s="822" r="A26"/>
      <c s="611" r="B26">
        <v>2</v>
      </c>
      <c t="str" s="475" r="C26">
        <f>IF(OR(($C13="Riffle"),($C13="run")),C13,"---")</f>
        <v>Riffle</v>
      </c>
      <c t="str" s="89" r="D26">
        <f>IF(OR(($C13="Riffle"),($C13="run")),IF((D13&lt;&gt;0),D13,"---"),"---")</f>
        <v>---</v>
      </c>
      <c t="str" s="89" r="E26">
        <f>IF(OR(($C13="Riffle"),($C13="run")),IF((E13&lt;&gt;0),E13,"---"),"---")</f>
        <v>---</v>
      </c>
      <c t="str" s="89" r="F26">
        <f>IF(OR(($C13="Riffle"),($C13="run")),IF((F13&lt;&gt;0),F13,"---"),"---")</f>
        <v>---</v>
      </c>
      <c t="str" s="89" r="G26">
        <f>IF(OR(($C13="Riffle"),($C13="run")),IF((G13&lt;&gt;0),G13,"---"),"---")</f>
        <v>---</v>
      </c>
      <c t="str" s="89" r="H26">
        <f>IF(OR(($C13="Riffle"),($C13="run")),IF((H13&lt;&gt;0),H13,"---"),"---")</f>
        <v>---</v>
      </c>
      <c t="str" s="89" r="I26">
        <f>IF(OR(($C13="Riffle"),($C13="run")),IF((I13&lt;&gt;0),I13,"---"),"---")</f>
        <v>---</v>
      </c>
      <c t="str" s="89" r="J26">
        <f>IF(OR(($C13="Riffle"),($C13="run")),IF((J13&lt;&gt;0),J13,"---"),"---")</f>
        <v>---</v>
      </c>
      <c t="str" s="89" r="K26">
        <f>IF(OR(($C13="Riffle"),($C13="run")),IF((K13&lt;&gt;0),K13,"---"),"---")</f>
        <v>---</v>
      </c>
      <c t="str" s="89" r="L26">
        <f>IF(OR(($C13="Riffle"),($C13="run")),IF((L13&lt;&gt;0),L13,"---"),"---")</f>
        <v>---</v>
      </c>
      <c t="str" s="89" r="M26">
        <f>IF(OR(($C13="Riffle"),($C13="run")),IF((M13&lt;&gt;0),M13,"---"),"---")</f>
        <v>---</v>
      </c>
      <c t="str" s="708" r="N26">
        <f>IF(OR(($C13="Riffle"),($C13="run")),IF((N13&lt;&gt;0),N13,"---"),"---")</f>
        <v>---</v>
      </c>
      <c t="str" s="89" r="O26">
        <f>IF(OR(($C13="Riffle"),($C13="run")),IF((O13&lt;&gt;0),O13,"---"),"---")</f>
        <v>---</v>
      </c>
      <c t="str" s="499" r="P26">
        <f>IF(OR(($C13="Riffle"),($C13="run")),IF((P13&lt;&gt;0),P13,"---"),"---")</f>
        <v>---</v>
      </c>
      <c t="str" s="499" r="Q26">
        <f>IF(OR(($C13="Riffle"),($C13="run")),IF((Q13&lt;&gt;0),Q13,"---"),"---")</f>
        <v>---</v>
      </c>
      <c t="str" s="89" r="R26">
        <f>IF(OR(($C13="Riffle"),($C13="run")),IF((R13&lt;&gt;0),R13,"---"),"---")</f>
        <v>---</v>
      </c>
      <c t="str" s="89" r="S26">
        <f>IF(OR(($C13="Riffle"),($C13="run")),IF((S13&lt;&gt;0),S13,"---"),"---")</f>
        <v>---</v>
      </c>
      <c t="str" s="89" r="T26">
        <f>IF(OR(($C13="Riffle"),($C13="run")),IF((T13&lt;&gt;0),T13,"---"),"---")</f>
        <v>---</v>
      </c>
      <c t="str" s="89" r="U26">
        <f>IF(OR(($C13="Riffle"),($C13="run")),IF((U13&lt;&gt;0),U13,"---"),"---")</f>
        <v>---</v>
      </c>
      <c t="str" s="89" r="V26">
        <f>IF(OR(($C13="Riffle"),($C13="run")),IF((V13&lt;&gt;0),V13,"---"),"---")</f>
        <v>---</v>
      </c>
      <c t="str" s="89" r="W26">
        <f>IF(OR(($C13="Riffle"),($C13="run")),IF((W13&lt;&gt;0),W13,"---"),"---")</f>
        <v>---</v>
      </c>
      <c t="str" s="89" r="X26">
        <f>IF(OR(($C13="Riffle"),($C13="run")),IF((X13&lt;&gt;0),X13,"---"),"---")</f>
        <v>---</v>
      </c>
      <c t="str" s="89" r="Y26">
        <f>IF(OR(($C13="Riffle"),($C13="run")),IF((Y13&lt;&gt;0),Y13,"---"),"---")</f>
        <v>---</v>
      </c>
      <c s="51" r="Z26"/>
    </row>
    <row r="27">
      <c s="822" r="A27"/>
      <c s="611" r="B27">
        <v>3</v>
      </c>
      <c t="str" s="475" r="C27">
        <f>IF(OR(($C14="Riffle"),($C14="run")),C14,"---")</f>
        <v>Riffle</v>
      </c>
      <c t="str" s="89" r="D27">
        <f>IF(OR(($C14="Riffle"),($C14="run")),IF((D14&lt;&gt;0),D14,"---"),"---")</f>
        <v>---</v>
      </c>
      <c t="str" s="89" r="E27">
        <f>IF(OR(($C14="Riffle"),($C14="run")),IF((E14&lt;&gt;0),E14,"---"),"---")</f>
        <v>---</v>
      </c>
      <c t="str" s="89" r="F27">
        <f>IF(OR(($C14="Riffle"),($C14="run")),IF((F14&lt;&gt;0),F14,"---"),"---")</f>
        <v>---</v>
      </c>
      <c t="str" s="89" r="G27">
        <f>IF(OR(($C14="Riffle"),($C14="run")),IF((G14&lt;&gt;0),G14,"---"),"---")</f>
        <v>---</v>
      </c>
      <c t="str" s="89" r="H27">
        <f>IF(OR(($C14="Riffle"),($C14="run")),IF((H14&lt;&gt;0),H14,"---"),"---")</f>
        <v>---</v>
      </c>
      <c t="str" s="89" r="I27">
        <f>IF(OR(($C14="Riffle"),($C14="run")),IF((I14&lt;&gt;0),I14,"---"),"---")</f>
        <v>---</v>
      </c>
      <c t="str" s="89" r="J27">
        <f>IF(OR(($C14="Riffle"),($C14="run")),IF((J14&lt;&gt;0),J14,"---"),"---")</f>
        <v>---</v>
      </c>
      <c t="str" s="89" r="K27">
        <f>IF(OR(($C14="Riffle"),($C14="run")),IF((K14&lt;&gt;0),K14,"---"),"---")</f>
        <v>---</v>
      </c>
      <c t="str" s="89" r="L27">
        <f>IF(OR(($C14="Riffle"),($C14="run")),IF((L14&lt;&gt;0),L14,"---"),"---")</f>
        <v>---</v>
      </c>
      <c t="str" s="89" r="M27">
        <f>IF(OR(($C14="Riffle"),($C14="run")),IF((M14&lt;&gt;0),M14,"---"),"---")</f>
        <v>---</v>
      </c>
      <c t="str" s="708" r="N27">
        <f>IF(OR(($C14="Riffle"),($C14="run")),IF((N14&lt;&gt;0),N14,"---"),"---")</f>
        <v>---</v>
      </c>
      <c t="str" s="89" r="O27">
        <f>IF(OR(($C14="Riffle"),($C14="run")),IF((O14&lt;&gt;0),O14,"---"),"---")</f>
        <v>---</v>
      </c>
      <c t="str" s="499" r="P27">
        <f>IF(OR(($C14="Riffle"),($C14="run")),IF((P14&lt;&gt;0),P14,"---"),"---")</f>
        <v>---</v>
      </c>
      <c t="str" s="499" r="Q27">
        <f>IF(OR(($C14="Riffle"),($C14="run")),IF((Q14&lt;&gt;0),Q14,"---"),"---")</f>
        <v>---</v>
      </c>
      <c t="str" s="89" r="R27">
        <f>IF(OR(($C14="Riffle"),($C14="run")),IF((R14&lt;&gt;0),R14,"---"),"---")</f>
        <v>---</v>
      </c>
      <c t="str" s="89" r="S27">
        <f>IF(OR(($C14="Riffle"),($C14="run")),IF((S14&lt;&gt;0),S14,"---"),"---")</f>
        <v>---</v>
      </c>
      <c t="str" s="89" r="T27">
        <f>IF(OR(($C14="Riffle"),($C14="run")),IF((T14&lt;&gt;0),T14,"---"),"---")</f>
        <v>---</v>
      </c>
      <c t="str" s="89" r="U27">
        <f>IF(OR(($C14="Riffle"),($C14="run")),IF((U14&lt;&gt;0),U14,"---"),"---")</f>
        <v>---</v>
      </c>
      <c t="str" s="89" r="V27">
        <f>IF(OR(($C14="Riffle"),($C14="run")),IF((V14&lt;&gt;0),V14,"---"),"---")</f>
        <v>---</v>
      </c>
      <c t="str" s="89" r="W27">
        <f>IF(OR(($C14="Riffle"),($C14="run")),IF((W14&lt;&gt;0),W14,"---"),"---")</f>
        <v>---</v>
      </c>
      <c t="str" s="89" r="X27">
        <f>IF(OR(($C14="Riffle"),($C14="run")),IF((X14&lt;&gt;0),X14,"---"),"---")</f>
        <v>---</v>
      </c>
      <c t="str" s="89" r="Y27">
        <f>IF(OR(($C14="Riffle"),($C14="run")),IF((Y14&lt;&gt;0),Y14,"---"),"---")</f>
        <v>---</v>
      </c>
      <c s="51" r="Z27"/>
    </row>
    <row r="28">
      <c s="822" r="A28"/>
      <c s="611" r="B28">
        <v>4</v>
      </c>
      <c t="str" s="475" r="C28">
        <f>IF(OR(($C15="Riffle"),($C15="run")),C15,"---")</f>
        <v>Riffle</v>
      </c>
      <c t="str" s="89" r="D28">
        <f>IF(OR(($C15="Riffle"),($C15="run")),IF((D15&lt;&gt;0),D15,"---"),"---")</f>
        <v>---</v>
      </c>
      <c t="str" s="89" r="E28">
        <f>IF(OR(($C15="Riffle"),($C15="run")),IF((E15&lt;&gt;0),E15,"---"),"---")</f>
        <v>---</v>
      </c>
      <c t="str" s="89" r="F28">
        <f>IF(OR(($C15="Riffle"),($C15="run")),IF((F15&lt;&gt;0),F15,"---"),"---")</f>
        <v>---</v>
      </c>
      <c t="str" s="89" r="G28">
        <f>IF(OR(($C15="Riffle"),($C15="run")),IF((G15&lt;&gt;0),G15,"---"),"---")</f>
        <v>---</v>
      </c>
      <c t="str" s="89" r="H28">
        <f>IF(OR(($C15="Riffle"),($C15="run")),IF((H15&lt;&gt;0),H15,"---"),"---")</f>
        <v>---</v>
      </c>
      <c t="str" s="89" r="I28">
        <f>IF(OR(($C15="Riffle"),($C15="run")),IF((I15&lt;&gt;0),I15,"---"),"---")</f>
        <v>---</v>
      </c>
      <c t="str" s="89" r="J28">
        <f>IF(OR(($C15="Riffle"),($C15="run")),IF((J15&lt;&gt;0),J15,"---"),"---")</f>
        <v>---</v>
      </c>
      <c t="str" s="89" r="K28">
        <f>IF(OR(($C15="Riffle"),($C15="run")),IF((K15&lt;&gt;0),K15,"---"),"---")</f>
        <v>---</v>
      </c>
      <c t="str" s="89" r="L28">
        <f>IF(OR(($C15="Riffle"),($C15="run")),IF((L15&lt;&gt;0),L15,"---"),"---")</f>
        <v>---</v>
      </c>
      <c t="str" s="89" r="M28">
        <f>IF(OR(($C15="Riffle"),($C15="run")),IF((M15&lt;&gt;0),M15,"---"),"---")</f>
        <v>---</v>
      </c>
      <c t="str" s="708" r="N28">
        <f>IF(OR(($C15="Riffle"),($C15="run")),IF((N15&lt;&gt;0),N15,"---"),"---")</f>
        <v>---</v>
      </c>
      <c t="str" s="89" r="O28">
        <f>IF(OR(($C15="Riffle"),($C15="run")),IF((O15&lt;&gt;0),O15,"---"),"---")</f>
        <v>---</v>
      </c>
      <c t="str" s="499" r="P28">
        <f>IF(OR(($C15="Riffle"),($C15="run")),IF((P15&lt;&gt;0),P15,"---"),"---")</f>
        <v>---</v>
      </c>
      <c t="str" s="499" r="Q28">
        <f>IF(OR(($C15="Riffle"),($C15="run")),IF((Q15&lt;&gt;0),Q15,"---"),"---")</f>
        <v>---</v>
      </c>
      <c t="str" s="89" r="R28">
        <f>IF(OR(($C15="Riffle"),($C15="run")),IF((R15&lt;&gt;0),R15,"---"),"---")</f>
        <v>---</v>
      </c>
      <c t="str" s="89" r="S28">
        <f>IF(OR(($C15="Riffle"),($C15="run")),IF((S15&lt;&gt;0),S15,"---"),"---")</f>
        <v>---</v>
      </c>
      <c t="str" s="89" r="T28">
        <f>IF(OR(($C15="Riffle"),($C15="run")),IF((T15&lt;&gt;0),T15,"---"),"---")</f>
        <v>---</v>
      </c>
      <c t="str" s="89" r="U28">
        <f>IF(OR(($C15="Riffle"),($C15="run")),IF((U15&lt;&gt;0),U15,"---"),"---")</f>
        <v>---</v>
      </c>
      <c t="str" s="89" r="V28">
        <f>IF(OR(($C15="Riffle"),($C15="run")),IF((V15&lt;&gt;0),V15,"---"),"---")</f>
        <v>---</v>
      </c>
      <c t="str" s="89" r="W28">
        <f>IF(OR(($C15="Riffle"),($C15="run")),IF((W15&lt;&gt;0),W15,"---"),"---")</f>
        <v>---</v>
      </c>
      <c t="str" s="89" r="X28">
        <f>IF(OR(($C15="Riffle"),($C15="run")),IF((X15&lt;&gt;0),X15,"---"),"---")</f>
        <v>---</v>
      </c>
      <c t="str" s="89" r="Y28">
        <f>IF(OR(($C15="Riffle"),($C15="run")),IF((Y15&lt;&gt;0),Y15,"---"),"---")</f>
        <v>---</v>
      </c>
      <c s="51" r="Z28"/>
    </row>
    <row r="29">
      <c s="822" r="A29"/>
      <c s="611" r="B29">
        <v>5</v>
      </c>
      <c t="str" s="475" r="C29">
        <f>IF(OR(($C16="Riffle"),($C16="run")),C16,"---")</f>
        <v>Riffle</v>
      </c>
      <c t="str" s="89" r="D29">
        <f>IF(OR(($C16="Riffle"),($C16="run")),IF((D16&lt;&gt;0),D16,"---"),"---")</f>
        <v>---</v>
      </c>
      <c t="str" s="89" r="E29">
        <f>IF(OR(($C16="Riffle"),($C16="run")),IF((E16&lt;&gt;0),E16,"---"),"---")</f>
        <v>---</v>
      </c>
      <c t="str" s="89" r="F29">
        <f>IF(OR(($C16="Riffle"),($C16="run")),IF((F16&lt;&gt;0),F16,"---"),"---")</f>
        <v>---</v>
      </c>
      <c t="str" s="89" r="G29">
        <f>IF(OR(($C16="Riffle"),($C16="run")),IF((G16&lt;&gt;0),G16,"---"),"---")</f>
        <v>---</v>
      </c>
      <c t="str" s="89" r="H29">
        <f>IF(OR(($C16="Riffle"),($C16="run")),IF((H16&lt;&gt;0),H16,"---"),"---")</f>
        <v>---</v>
      </c>
      <c t="str" s="89" r="I29">
        <f>IF(OR(($C16="Riffle"),($C16="run")),IF((I16&lt;&gt;0),I16,"---"),"---")</f>
        <v>---</v>
      </c>
      <c t="str" s="89" r="J29">
        <f>IF(OR(($C16="Riffle"),($C16="run")),IF((J16&lt;&gt;0),J16,"---"),"---")</f>
        <v>---</v>
      </c>
      <c t="str" s="89" r="K29">
        <f>IF(OR(($C16="Riffle"),($C16="run")),IF((K16&lt;&gt;0),K16,"---"),"---")</f>
        <v>---</v>
      </c>
      <c t="str" s="89" r="L29">
        <f>IF(OR(($C16="Riffle"),($C16="run")),IF((L16&lt;&gt;0),L16,"---"),"---")</f>
        <v>---</v>
      </c>
      <c t="str" s="89" r="M29">
        <f>IF(OR(($C16="Riffle"),($C16="run")),IF((M16&lt;&gt;0),M16,"---"),"---")</f>
        <v>---</v>
      </c>
      <c t="str" s="708" r="N29">
        <f>IF(OR(($C16="Riffle"),($C16="run")),IF((N16&lt;&gt;0),N16,"---"),"---")</f>
        <v>---</v>
      </c>
      <c t="str" s="89" r="O29">
        <f>IF(OR(($C16="Riffle"),($C16="run")),IF((O16&lt;&gt;0),O16,"---"),"---")</f>
        <v>---</v>
      </c>
      <c t="str" s="499" r="P29">
        <f>IF(OR(($C16="Riffle"),($C16="run")),IF((P16&lt;&gt;0),P16,"---"),"---")</f>
        <v>---</v>
      </c>
      <c t="str" s="499" r="Q29">
        <f>IF(OR(($C16="Riffle"),($C16="run")),IF((Q16&lt;&gt;0),Q16,"---"),"---")</f>
        <v>---</v>
      </c>
      <c t="str" s="89" r="R29">
        <f>IF(OR(($C16="Riffle"),($C16="run")),IF((R16&lt;&gt;0),R16,"---"),"---")</f>
        <v>---</v>
      </c>
      <c t="str" s="89" r="S29">
        <f>IF(OR(($C16="Riffle"),($C16="run")),IF((S16&lt;&gt;0),S16,"---"),"---")</f>
        <v>---</v>
      </c>
      <c t="str" s="89" r="T29">
        <f>IF(OR(($C16="Riffle"),($C16="run")),IF((T16&lt;&gt;0),T16,"---"),"---")</f>
        <v>---</v>
      </c>
      <c t="str" s="89" r="U29">
        <f>IF(OR(($C16="Riffle"),($C16="run")),IF((U16&lt;&gt;0),U16,"---"),"---")</f>
        <v>---</v>
      </c>
      <c t="str" s="89" r="V29">
        <f>IF(OR(($C16="Riffle"),($C16="run")),IF((V16&lt;&gt;0),V16,"---"),"---")</f>
        <v>---</v>
      </c>
      <c t="str" s="89" r="W29">
        <f>IF(OR(($C16="Riffle"),($C16="run")),IF((W16&lt;&gt;0),W16,"---"),"---")</f>
        <v>---</v>
      </c>
      <c t="str" s="89" r="X29">
        <f>IF(OR(($C16="Riffle"),($C16="run")),IF((X16&lt;&gt;0),X16,"---"),"---")</f>
        <v>---</v>
      </c>
      <c t="str" s="89" r="Y29">
        <f>IF(OR(($C16="Riffle"),($C16="run")),IF((Y16&lt;&gt;0),Y16,"---"),"---")</f>
        <v>---</v>
      </c>
      <c s="51" r="Z29"/>
    </row>
    <row r="30">
      <c s="822" r="A30"/>
      <c s="611" r="B30">
        <v>6</v>
      </c>
      <c t="str" s="475" r="C30">
        <f>IF(OR(($C17="Riffle"),($C17="run")),C17,"---")</f>
        <v>Riffle</v>
      </c>
      <c t="str" s="89" r="D30">
        <f>IF(OR(($C17="Riffle"),($C17="run")),IF((D17&lt;&gt;0),D17,"---"),"---")</f>
        <v>---</v>
      </c>
      <c t="str" s="89" r="E30">
        <f>IF(OR(($C17="Riffle"),($C17="run")),IF((E17&lt;&gt;0),E17,"---"),"---")</f>
        <v>---</v>
      </c>
      <c t="str" s="89" r="F30">
        <f>IF(OR(($C17="Riffle"),($C17="run")),IF((F17&lt;&gt;0),F17,"---"),"---")</f>
        <v>---</v>
      </c>
      <c t="str" s="89" r="G30">
        <f>IF(OR(($C17="Riffle"),($C17="run")),IF((G17&lt;&gt;0),G17,"---"),"---")</f>
        <v>---</v>
      </c>
      <c t="str" s="89" r="H30">
        <f>IF(OR(($C17="Riffle"),($C17="run")),IF((H17&lt;&gt;0),H17,"---"),"---")</f>
        <v>---</v>
      </c>
      <c t="str" s="89" r="I30">
        <f>IF(OR(($C17="Riffle"),($C17="run")),IF((I17&lt;&gt;0),I17,"---"),"---")</f>
        <v>---</v>
      </c>
      <c t="str" s="89" r="J30">
        <f>IF(OR(($C17="Riffle"),($C17="run")),IF((J17&lt;&gt;0),J17,"---"),"---")</f>
        <v>---</v>
      </c>
      <c t="str" s="89" r="K30">
        <f>IF(OR(($C17="Riffle"),($C17="run")),IF((K17&lt;&gt;0),K17,"---"),"---")</f>
        <v>---</v>
      </c>
      <c t="str" s="89" r="L30">
        <f>IF(OR(($C17="Riffle"),($C17="run")),IF((L17&lt;&gt;0),L17,"---"),"---")</f>
        <v>---</v>
      </c>
      <c t="str" s="89" r="M30">
        <f>IF(OR(($C17="Riffle"),($C17="run")),IF((M17&lt;&gt;0),M17,"---"),"---")</f>
        <v>---</v>
      </c>
      <c t="str" s="708" r="N30">
        <f>IF(OR(($C17="Riffle"),($C17="run")),IF((N17&lt;&gt;0),N17,"---"),"---")</f>
        <v>---</v>
      </c>
      <c t="str" s="89" r="O30">
        <f>IF(OR(($C17="Riffle"),($C17="run")),IF((O17&lt;&gt;0),O17,"---"),"---")</f>
        <v>---</v>
      </c>
      <c t="str" s="499" r="P30">
        <f>IF(OR(($C17="Riffle"),($C17="run")),IF((P17&lt;&gt;0),P17,"---"),"---")</f>
        <v>---</v>
      </c>
      <c t="str" s="499" r="Q30">
        <f>IF(OR(($C17="Riffle"),($C17="run")),IF((Q17&lt;&gt;0),Q17,"---"),"---")</f>
        <v>---</v>
      </c>
      <c t="str" s="89" r="R30">
        <f>IF(OR(($C17="Riffle"),($C17="run")),IF((R17&lt;&gt;0),R17,"---"),"---")</f>
        <v>---</v>
      </c>
      <c t="str" s="89" r="S30">
        <f>IF(OR(($C17="Riffle"),($C17="run")),IF((S17&lt;&gt;0),S17,"---"),"---")</f>
        <v>---</v>
      </c>
      <c t="str" s="89" r="T30">
        <f>IF(OR(($C17="Riffle"),($C17="run")),IF((T17&lt;&gt;0),T17,"---"),"---")</f>
        <v>---</v>
      </c>
      <c t="str" s="89" r="U30">
        <f>IF(OR(($C17="Riffle"),($C17="run")),IF((U17&lt;&gt;0),U17,"---"),"---")</f>
        <v>---</v>
      </c>
      <c t="str" s="89" r="V30">
        <f>IF(OR(($C17="Riffle"),($C17="run")),IF((V17&lt;&gt;0),V17,"---"),"---")</f>
        <v>---</v>
      </c>
      <c t="str" s="89" r="W30">
        <f>IF(OR(($C17="Riffle"),($C17="run")),IF((W17&lt;&gt;0),W17,"---"),"---")</f>
        <v>---</v>
      </c>
      <c t="str" s="89" r="X30">
        <f>IF(OR(($C17="Riffle"),($C17="run")),IF((X17&lt;&gt;0),X17,"---"),"---")</f>
        <v>---</v>
      </c>
      <c t="str" s="89" r="Y30">
        <f>IF(OR(($C17="Riffle"),($C17="run")),IF((Y17&lt;&gt;0),Y17,"---"),"---")</f>
        <v>---</v>
      </c>
      <c s="51" r="Z30"/>
    </row>
    <row r="31">
      <c s="822" r="A31"/>
      <c s="611" r="B31">
        <v>7</v>
      </c>
      <c t="str" s="475" r="C31">
        <f>IF(OR(($C18="Riffle"),($C18="run")),C18,"---")</f>
        <v>Riffle</v>
      </c>
      <c t="str" s="89" r="D31">
        <f>IF(OR(($C18="Riffle"),($C18="run")),IF((D18&lt;&gt;0),D18,"---"),"---")</f>
        <v>---</v>
      </c>
      <c t="str" s="89" r="E31">
        <f>IF(OR(($C18="Riffle"),($C18="run")),IF((E18&lt;&gt;0),E18,"---"),"---")</f>
        <v>---</v>
      </c>
      <c t="str" s="89" r="F31">
        <f>IF(OR(($C18="Riffle"),($C18="run")),IF((F18&lt;&gt;0),F18,"---"),"---")</f>
        <v>---</v>
      </c>
      <c t="str" s="89" r="G31">
        <f>IF(OR(($C18="Riffle"),($C18="run")),IF((G18&lt;&gt;0),G18,"---"),"---")</f>
        <v>---</v>
      </c>
      <c t="str" s="89" r="H31">
        <f>IF(OR(($C18="Riffle"),($C18="run")),IF((H18&lt;&gt;0),H18,"---"),"---")</f>
        <v>---</v>
      </c>
      <c t="str" s="89" r="I31">
        <f>IF(OR(($C18="Riffle"),($C18="run")),IF((I18&lt;&gt;0),I18,"---"),"---")</f>
        <v>---</v>
      </c>
      <c t="str" s="89" r="J31">
        <f>IF(OR(($C18="Riffle"),($C18="run")),IF((J18&lt;&gt;0),J18,"---"),"---")</f>
        <v>---</v>
      </c>
      <c t="str" s="89" r="K31">
        <f>IF(OR(($C18="Riffle"),($C18="run")),IF((K18&lt;&gt;0),K18,"---"),"---")</f>
        <v>---</v>
      </c>
      <c t="str" s="89" r="L31">
        <f>IF(OR(($C18="Riffle"),($C18="run")),IF((L18&lt;&gt;0),L18,"---"),"---")</f>
        <v>---</v>
      </c>
      <c t="str" s="89" r="M31">
        <f>IF(OR(($C18="Riffle"),($C18="run")),IF((M18&lt;&gt;0),M18,"---"),"---")</f>
        <v>---</v>
      </c>
      <c t="str" s="708" r="N31">
        <f>IF(OR(($C18="Riffle"),($C18="run")),IF((N18&lt;&gt;0),N18,"---"),"---")</f>
        <v>---</v>
      </c>
      <c t="str" s="89" r="O31">
        <f>IF(OR(($C18="Riffle"),($C18="run")),IF((O18&lt;&gt;0),O18,"---"),"---")</f>
        <v>---</v>
      </c>
      <c t="str" s="499" r="P31">
        <f>IF(OR(($C18="Riffle"),($C18="run")),IF((P18&lt;&gt;0),P18,"---"),"---")</f>
        <v>---</v>
      </c>
      <c t="str" s="499" r="Q31">
        <f>IF(OR(($C18="Riffle"),($C18="run")),IF((Q18&lt;&gt;0),Q18,"---"),"---")</f>
        <v>---</v>
      </c>
      <c t="str" s="89" r="R31">
        <f>IF(OR(($C18="Riffle"),($C18="run")),IF((R18&lt;&gt;0),R18,"---"),"---")</f>
        <v>---</v>
      </c>
      <c t="str" s="89" r="S31">
        <f>IF(OR(($C18="Riffle"),($C18="run")),IF((S18&lt;&gt;0),S18,"---"),"---")</f>
        <v>---</v>
      </c>
      <c t="str" s="89" r="T31">
        <f>IF(OR(($C18="Riffle"),($C18="run")),IF((T18&lt;&gt;0),T18,"---"),"---")</f>
        <v>---</v>
      </c>
      <c t="str" s="89" r="U31">
        <f>IF(OR(($C18="Riffle"),($C18="run")),IF((U18&lt;&gt;0),U18,"---"),"---")</f>
        <v>---</v>
      </c>
      <c t="str" s="89" r="V31">
        <f>IF(OR(($C18="Riffle"),($C18="run")),IF((V18&lt;&gt;0),V18,"---"),"---")</f>
        <v>---</v>
      </c>
      <c t="str" s="89" r="W31">
        <f>IF(OR(($C18="Riffle"),($C18="run")),IF((W18&lt;&gt;0),W18,"---"),"---")</f>
        <v>---</v>
      </c>
      <c t="str" s="89" r="X31">
        <f>IF(OR(($C18="Riffle"),($C18="run")),IF((X18&lt;&gt;0),X18,"---"),"---")</f>
        <v>---</v>
      </c>
      <c t="str" s="89" r="Y31">
        <f>IF(OR(($C18="Riffle"),($C18="run")),IF((Y18&lt;&gt;0),Y18,"---"),"---")</f>
        <v>---</v>
      </c>
      <c s="51" r="Z31"/>
    </row>
    <row r="32">
      <c s="822" r="A32"/>
      <c s="611" r="B32"/>
      <c s="475" r="C32"/>
      <c s="89" r="D32"/>
      <c s="89" r="E32"/>
      <c s="89" r="F32"/>
      <c s="89" r="G32"/>
      <c s="89" r="H32"/>
      <c s="89" r="I32"/>
      <c s="89" r="J32"/>
      <c s="89" r="K32"/>
      <c s="89" r="L32"/>
      <c s="89" r="M32"/>
      <c s="620" r="N32"/>
      <c s="89" r="O32"/>
      <c s="499" r="P32"/>
      <c s="499" r="Q32"/>
      <c s="499" r="R32"/>
      <c s="89" r="S32"/>
      <c s="89" r="T32"/>
      <c s="89" r="U32"/>
      <c s="89" r="V32"/>
      <c s="89" r="W32"/>
      <c s="89" r="X32"/>
      <c s="89" r="Y32"/>
      <c s="51" r="Z32"/>
    </row>
    <row r="33">
      <c s="822" r="A33"/>
      <c s="611" r="B33"/>
      <c s="475" r="C33"/>
      <c s="89" r="D33"/>
      <c s="89" r="E33"/>
      <c s="89" r="F33"/>
      <c s="89" r="G33"/>
      <c s="89" r="H33"/>
      <c s="89" r="I33"/>
      <c s="89" r="J33"/>
      <c s="89" r="K33"/>
      <c s="89" r="L33"/>
      <c s="89" r="M33"/>
      <c s="620" r="N33"/>
      <c s="89" r="O33"/>
      <c s="499" r="P33"/>
      <c s="499" r="Q33"/>
      <c s="499" r="R33"/>
      <c s="89" r="S33"/>
      <c s="89" r="T33"/>
      <c s="89" r="U33"/>
      <c s="89" r="V33"/>
      <c s="89" r="W33"/>
      <c s="89" r="X33"/>
      <c s="89" r="Y33"/>
      <c s="51" r="Z33"/>
    </row>
    <row r="34">
      <c s="822" r="A34"/>
      <c s="611" r="B34"/>
      <c s="475" r="C34"/>
      <c s="89" r="D34"/>
      <c s="89" r="E34"/>
      <c s="89" r="F34"/>
      <c s="89" r="G34"/>
      <c s="89" r="H34"/>
      <c s="89" r="I34"/>
      <c s="89" r="J34"/>
      <c s="89" r="K34"/>
      <c s="89" r="L34"/>
      <c s="89" r="M34"/>
      <c s="620" r="N34"/>
      <c s="89" r="O34"/>
      <c s="499" r="P34"/>
      <c s="499" r="Q34"/>
      <c s="499" r="R34"/>
      <c s="89" r="S34"/>
      <c s="89" r="T34"/>
      <c s="89" r="U34"/>
      <c s="89" r="V34"/>
      <c s="89" r="W34"/>
      <c s="89" r="X34"/>
      <c s="89" r="Y34"/>
      <c s="51" r="Z34"/>
    </row>
    <row r="35">
      <c s="822" r="A35"/>
      <c s="611" r="B35"/>
      <c s="475" r="C35"/>
      <c s="89" r="D35"/>
      <c s="89" r="E35"/>
      <c s="89" r="F35"/>
      <c s="89" r="G35"/>
      <c s="89" r="H35"/>
      <c s="89" r="I35"/>
      <c s="89" r="J35"/>
      <c s="89" r="K35"/>
      <c s="89" r="L35"/>
      <c s="89" r="M35"/>
      <c s="620" r="N35"/>
      <c s="89" r="O35"/>
      <c s="499" r="P35"/>
      <c s="499" r="Q35"/>
      <c s="499" r="R35"/>
      <c s="89" r="S35"/>
      <c s="89" r="T35"/>
      <c s="89" r="U35"/>
      <c s="89" r="V35"/>
      <c s="89" r="W35"/>
      <c s="89" r="X35"/>
      <c s="89" r="Y35"/>
      <c s="51" r="Z35"/>
    </row>
    <row customHeight="1" r="36" ht="13.5">
      <c s="822" r="A36"/>
      <c s="875" r="B36"/>
      <c s="14" r="C36"/>
      <c s="804" r="D36"/>
      <c s="804" r="E36"/>
      <c s="804" r="F36"/>
      <c s="804" r="G36"/>
      <c s="804" r="H36"/>
      <c s="804" r="I36"/>
      <c s="804" r="J36"/>
      <c s="804" r="K36"/>
      <c s="804" r="L36"/>
      <c s="804" r="M36"/>
      <c s="400" r="N36"/>
      <c s="804" r="O36"/>
      <c s="747" r="P36"/>
      <c s="747" r="Q36"/>
      <c s="747" r="R36"/>
      <c s="804" r="S36"/>
      <c s="804" r="T36"/>
      <c s="804" r="U36"/>
      <c s="804" r="V36"/>
      <c s="804" r="W36"/>
      <c s="804" r="X36"/>
      <c s="804" r="Y36"/>
      <c s="51" r="Z36"/>
    </row>
    <row r="37">
      <c s="822" r="A37"/>
      <c s="17" r="B37">
        <v>11</v>
      </c>
      <c t="str" s="262" r="C37">
        <f>IF(($C12="Pool"),C12,"---")</f>
        <v>---</v>
      </c>
      <c t="str" s="615" r="D37">
        <f>IF(($C12="Pool"),IF((D12&lt;&gt;0),D12,"---"),"---")</f>
        <v>---</v>
      </c>
      <c t="str" s="615" r="E37">
        <f>IF(($C12="Pool"),IF((E12&lt;&gt;0),E12,"---"),"---")</f>
        <v>---</v>
      </c>
      <c t="str" s="615" r="F37">
        <f>IF(($C12="Pool"),IF((F12&lt;&gt;0),F12,"---"),"---")</f>
        <v>---</v>
      </c>
      <c t="str" s="615" r="G37">
        <f>IF(($C12="Pool"),IF((G12&lt;&gt;0),G12,"---"),"---")</f>
        <v>---</v>
      </c>
      <c t="str" s="615" r="H37">
        <f>IF(($C12="Pool"),IF((H12&lt;&gt;0),H12,"---"),"---")</f>
        <v>---</v>
      </c>
      <c t="str" s="615" r="I37">
        <f>IF(($C12="Pool"),IF((I12&lt;&gt;0),I12,"---"),"---")</f>
        <v>---</v>
      </c>
      <c t="str" s="615" r="J37">
        <f>IF(($C12="Pool"),IF((J12&lt;&gt;0),J12,"---"),"---")</f>
        <v>---</v>
      </c>
      <c t="str" s="615" r="K37">
        <f>IF(($C12="Pool"),IF((K12&lt;&gt;0),K12,"---"),"---")</f>
        <v>---</v>
      </c>
      <c t="str" s="615" r="L37">
        <f>IF(($C12="Pool"),IF((L12&lt;&gt;0),L12,"---"),"---")</f>
        <v>---</v>
      </c>
      <c t="str" s="615" r="M37">
        <f>IF(($C12="Pool"),IF((M12&lt;&gt;0),M12,"---"),"---")</f>
        <v>---</v>
      </c>
      <c t="str" s="471" r="N37">
        <f>IF(($C12="Pool"),IF((N12&lt;&gt;0),N12,"---"),"---")</f>
        <v>---</v>
      </c>
      <c t="str" s="615" r="O37">
        <f>IF(($C12="Pool"),IF((O12&lt;&gt;0),O12,"---"),"---")</f>
        <v>---</v>
      </c>
      <c t="str" s="615" r="P37">
        <f>IF(($C12="Pool"),IF((P12&lt;&gt;0),P12,"---"),"---")</f>
        <v>---</v>
      </c>
      <c s="615" r="Q37"/>
      <c t="str" s="615" r="R37">
        <f>IF(($C12="Pool"),IF((R12&lt;&gt;0),R12,"---"),"---")</f>
        <v>---</v>
      </c>
      <c s="615" r="S37"/>
      <c t="str" s="615" r="T37">
        <f>IF(($C12="Pool"),IF((T12&lt;&gt;0),T12,"---"),"---")</f>
        <v>---</v>
      </c>
      <c t="str" s="615" r="U37">
        <f>IF(($C12="Pool"),IF((U12&lt;&gt;0),U12,"---"),"---")</f>
        <v>---</v>
      </c>
      <c t="str" s="615" r="V37">
        <f>IF(($C12="Pool"),IF((V12&lt;&gt;0),V12,"---"),"---")</f>
        <v>---</v>
      </c>
      <c t="str" s="615" r="W37">
        <f>IF(($C12="Pool"),IF((W12&lt;&gt;0),W12,"---"),"---")</f>
        <v>---</v>
      </c>
      <c t="str" s="615" r="X37">
        <f>IF(($C12="Pool"),IF((X12&lt;&gt;0),X12,"---"),"---")</f>
        <v>---</v>
      </c>
      <c t="str" s="615" r="Y37">
        <f>IF(($C12="Pool"),IF((Y12&lt;&gt;0),Y12,"---"),"---")</f>
        <v>---</v>
      </c>
      <c s="51" r="Z37"/>
    </row>
    <row r="38">
      <c s="822" r="A38"/>
      <c s="611" r="B38">
        <v>10</v>
      </c>
      <c t="str" s="475" r="C38">
        <f>IF(($C13="Pool"),C13,"---")</f>
        <v>---</v>
      </c>
      <c t="str" s="89" r="D38">
        <f>IF(($C13="Pool"),IF((D13&lt;&gt;0),D13,"---"),"---")</f>
        <v>---</v>
      </c>
      <c t="str" s="89" r="E38">
        <f>IF(($C13="Pool"),IF((E13&lt;&gt;0),E13,"---"),"---")</f>
        <v>---</v>
      </c>
      <c t="str" s="89" r="F38">
        <f>IF(($C13="Pool"),IF((F13&lt;&gt;0),F13,"---"),"---")</f>
        <v>---</v>
      </c>
      <c t="str" s="89" r="G38">
        <f>IF(($C13="Pool"),IF((G13&lt;&gt;0),G13,"---"),"---")</f>
        <v>---</v>
      </c>
      <c t="str" s="89" r="H38">
        <f>IF(($C13="Pool"),IF((H13&lt;&gt;0),H13,"---"),"---")</f>
        <v>---</v>
      </c>
      <c t="str" s="89" r="I38">
        <f>IF(($C13="Pool"),IF((I13&lt;&gt;0),I13,"---"),"---")</f>
        <v>---</v>
      </c>
      <c t="str" s="89" r="J38">
        <f>IF(($C13="Pool"),IF((J13&lt;&gt;0),J13,"---"),"---")</f>
        <v>---</v>
      </c>
      <c t="str" s="89" r="K38">
        <f>IF(($C13="Pool"),IF((K13&lt;&gt;0),K13,"---"),"---")</f>
        <v>---</v>
      </c>
      <c t="str" s="89" r="L38">
        <f>IF(($C13="Pool"),IF((L13&lt;&gt;0),L13,"---"),"---")</f>
        <v>---</v>
      </c>
      <c t="str" s="89" r="M38">
        <f>IF(($C13="Pool"),IF((M13&lt;&gt;0),M13,"---"),"---")</f>
        <v>---</v>
      </c>
      <c t="str" s="620" r="N38">
        <f>IF(($C13="Pool"),IF((N13&lt;&gt;0),N13,"---"),"---")</f>
        <v>---</v>
      </c>
      <c t="str" s="89" r="O38">
        <f>IF(($C13="Pool"),IF((O13&lt;&gt;0),O13,"---"),"---")</f>
        <v>---</v>
      </c>
      <c t="str" s="89" r="P38">
        <f>IF(($C13="Pool"),IF((P13&lt;&gt;0),P13,"---"),"---")</f>
        <v>---</v>
      </c>
      <c s="89" r="Q38"/>
      <c t="str" s="89" r="R38">
        <f>IF(($C13="Pool"),IF((R13&lt;&gt;0),R13,"---"),"---")</f>
        <v>---</v>
      </c>
      <c s="89" r="S38"/>
      <c t="str" s="89" r="T38">
        <f>IF(($C13="Pool"),IF((T13&lt;&gt;0),T13,"---"),"---")</f>
        <v>---</v>
      </c>
      <c t="str" s="89" r="U38">
        <f>IF(($C13="Pool"),IF((U13&lt;&gt;0),U13,"---"),"---")</f>
        <v>---</v>
      </c>
      <c t="str" s="89" r="V38">
        <f>IF(($C13="Pool"),IF((V13&lt;&gt;0),V13,"---"),"---")</f>
        <v>---</v>
      </c>
      <c t="str" s="89" r="W38">
        <f>IF(($C13="Pool"),IF((W13&lt;&gt;0),W13,"---"),"---")</f>
        <v>---</v>
      </c>
      <c t="str" s="89" r="X38">
        <f>IF(($C13="Pool"),IF((X13&lt;&gt;0),X13,"---"),"---")</f>
        <v>---</v>
      </c>
      <c t="str" s="89" r="Y38">
        <f>IF(($C13="Pool"),IF((Y13&lt;&gt;0),Y13,"---"),"---")</f>
        <v>---</v>
      </c>
      <c s="51" r="Z38"/>
    </row>
    <row r="39">
      <c s="822" r="A39"/>
      <c s="611" r="B39">
        <v>9</v>
      </c>
      <c t="str" s="475" r="C39">
        <f>IF(($C14="Pool"),C14,"---")</f>
        <v>---</v>
      </c>
      <c t="str" s="89" r="D39">
        <f>IF(($C14="Pool"),IF((D14&lt;&gt;0),D14,"---"),"---")</f>
        <v>---</v>
      </c>
      <c t="str" s="89" r="E39">
        <f>IF(($C14="Pool"),IF((E14&lt;&gt;0),E14,"---"),"---")</f>
        <v>---</v>
      </c>
      <c t="str" s="89" r="F39">
        <f>IF(($C14="Pool"),IF((F14&lt;&gt;0),F14,"---"),"---")</f>
        <v>---</v>
      </c>
      <c t="str" s="89" r="G39">
        <f>IF(($C14="Pool"),IF((G14&lt;&gt;0),G14,"---"),"---")</f>
        <v>---</v>
      </c>
      <c t="str" s="89" r="H39">
        <f>IF(($C14="Pool"),IF((H14&lt;&gt;0),H14,"---"),"---")</f>
        <v>---</v>
      </c>
      <c t="str" s="89" r="I39">
        <f>IF(($C14="Pool"),IF((I14&lt;&gt;0),I14,"---"),"---")</f>
        <v>---</v>
      </c>
      <c t="str" s="89" r="J39">
        <f>IF(($C14="Pool"),IF((J14&lt;&gt;0),J14,"---"),"---")</f>
        <v>---</v>
      </c>
      <c t="str" s="89" r="K39">
        <f>IF(($C14="Pool"),IF((K14&lt;&gt;0),K14,"---"),"---")</f>
        <v>---</v>
      </c>
      <c t="str" s="89" r="L39">
        <f>IF(($C14="Pool"),IF((L14&lt;&gt;0),L14,"---"),"---")</f>
        <v>---</v>
      </c>
      <c t="str" s="89" r="M39">
        <f>IF(($C14="Pool"),IF((M14&lt;&gt;0),M14,"---"),"---")</f>
        <v>---</v>
      </c>
      <c t="str" s="620" r="N39">
        <f>IF(($C14="Pool"),IF((N14&lt;&gt;0),N14,"---"),"---")</f>
        <v>---</v>
      </c>
      <c t="str" s="89" r="O39">
        <f>IF(($C14="Pool"),IF((O14&lt;&gt;0),O14,"---"),"---")</f>
        <v>---</v>
      </c>
      <c t="str" s="89" r="P39">
        <f>IF(($C14="Pool"),IF((P14&lt;&gt;0),P14,"---"),"---")</f>
        <v>---</v>
      </c>
      <c s="89" r="Q39"/>
      <c t="str" s="89" r="R39">
        <f>IF(($C14="Pool"),IF((R14&lt;&gt;0),R14,"---"),"---")</f>
        <v>---</v>
      </c>
      <c s="89" r="S39"/>
      <c t="str" s="89" r="T39">
        <f>IF(($C14="Pool"),IF((T14&lt;&gt;0),T14,"---"),"---")</f>
        <v>---</v>
      </c>
      <c t="str" s="89" r="U39">
        <f>IF(($C14="Pool"),IF((U14&lt;&gt;0),U14,"---"),"---")</f>
        <v>---</v>
      </c>
      <c t="str" s="89" r="V39">
        <f>IF(($C14="Pool"),IF((V14&lt;&gt;0),V14,"---"),"---")</f>
        <v>---</v>
      </c>
      <c t="str" s="89" r="W39">
        <f>IF(($C14="Pool"),IF((W14&lt;&gt;0),W14,"---"),"---")</f>
        <v>---</v>
      </c>
      <c t="str" s="89" r="X39">
        <f>IF(($C14="Pool"),IF((X14&lt;&gt;0),X14,"---"),"---")</f>
        <v>---</v>
      </c>
      <c t="str" s="89" r="Y39">
        <f>IF(($C14="Pool"),IF((Y14&lt;&gt;0),Y14,"---"),"---")</f>
        <v>---</v>
      </c>
      <c s="51" r="Z39"/>
    </row>
    <row r="40">
      <c s="822" r="A40"/>
      <c s="611" r="B40">
        <v>8</v>
      </c>
      <c t="str" s="475" r="C40">
        <f>IF(($C15="Pool"),C15,"---")</f>
        <v>---</v>
      </c>
      <c t="str" s="89" r="D40">
        <f>IF(($C15="Pool"),IF((D15&lt;&gt;0),D15,"---"),"---")</f>
        <v>---</v>
      </c>
      <c t="str" s="89" r="E40">
        <f>IF(($C15="Pool"),IF((E15&lt;&gt;0),E15,"---"),"---")</f>
        <v>---</v>
      </c>
      <c t="str" s="89" r="F40">
        <f>IF(($C15="Pool"),IF((F15&lt;&gt;0),F15,"---"),"---")</f>
        <v>---</v>
      </c>
      <c t="str" s="89" r="G40">
        <f>IF(($C15="Pool"),IF((G15&lt;&gt;0),G15,"---"),"---")</f>
        <v>---</v>
      </c>
      <c t="str" s="89" r="H40">
        <f>IF(($C15="Pool"),IF((H15&lt;&gt;0),H15,"---"),"---")</f>
        <v>---</v>
      </c>
      <c t="str" s="89" r="I40">
        <f>IF(($C15="Pool"),IF((I15&lt;&gt;0),I15,"---"),"---")</f>
        <v>---</v>
      </c>
      <c t="str" s="89" r="J40">
        <f>IF(($C15="Pool"),IF((J15&lt;&gt;0),J15,"---"),"---")</f>
        <v>---</v>
      </c>
      <c t="str" s="89" r="K40">
        <f>IF(($C15="Pool"),IF((K15&lt;&gt;0),K15,"---"),"---")</f>
        <v>---</v>
      </c>
      <c t="str" s="89" r="L40">
        <f>IF(($C15="Pool"),IF((L15&lt;&gt;0),L15,"---"),"---")</f>
        <v>---</v>
      </c>
      <c t="str" s="89" r="M40">
        <f>IF(($C15="Pool"),IF((M15&lt;&gt;0),M15,"---"),"---")</f>
        <v>---</v>
      </c>
      <c t="str" s="620" r="N40">
        <f>IF(($C15="Pool"),IF((N15&lt;&gt;0),N15,"---"),"---")</f>
        <v>---</v>
      </c>
      <c t="str" s="89" r="O40">
        <f>IF(($C15="Pool"),IF((O15&lt;&gt;0),O15,"---"),"---")</f>
        <v>---</v>
      </c>
      <c t="str" s="89" r="P40">
        <f>IF(($C15="Pool"),IF((P15&lt;&gt;0),P15,"---"),"---")</f>
        <v>---</v>
      </c>
      <c s="89" r="Q40"/>
      <c t="str" s="89" r="R40">
        <f>IF(($C15="Pool"),IF((R15&lt;&gt;0),R15,"---"),"---")</f>
        <v>---</v>
      </c>
      <c s="89" r="S40"/>
      <c t="str" s="89" r="T40">
        <f>IF(($C15="Pool"),IF((T15&lt;&gt;0),T15,"---"),"---")</f>
        <v>---</v>
      </c>
      <c t="str" s="89" r="U40">
        <f>IF(($C15="Pool"),IF((U15&lt;&gt;0),U15,"---"),"---")</f>
        <v>---</v>
      </c>
      <c t="str" s="89" r="V40">
        <f>IF(($C15="Pool"),IF((V15&lt;&gt;0),V15,"---"),"---")</f>
        <v>---</v>
      </c>
      <c t="str" s="89" r="W40">
        <f>IF(($C15="Pool"),IF((W15&lt;&gt;0),W15,"---"),"---")</f>
        <v>---</v>
      </c>
      <c t="str" s="89" r="X40">
        <f>IF(($C15="Pool"),IF((X15&lt;&gt;0),X15,"---"),"---")</f>
        <v>---</v>
      </c>
      <c t="str" s="89" r="Y40">
        <f>IF(($C15="Pool"),IF((Y15&lt;&gt;0),Y15,"---"),"---")</f>
        <v>---</v>
      </c>
      <c s="51" r="Z40"/>
    </row>
    <row r="41">
      <c s="822" r="A41"/>
      <c s="611" r="B41">
        <v>7</v>
      </c>
      <c t="str" s="475" r="C41">
        <f>IF(($C16="Pool"),C16,"---")</f>
        <v>---</v>
      </c>
      <c t="str" s="89" r="D41">
        <f>IF(($C16="Pool"),IF((D16&lt;&gt;0),D16,"---"),"---")</f>
        <v>---</v>
      </c>
      <c t="str" s="89" r="E41">
        <f>IF(($C16="Pool"),IF((E16&lt;&gt;0),E16,"---"),"---")</f>
        <v>---</v>
      </c>
      <c t="str" s="89" r="F41">
        <f>IF(($C16="Pool"),IF((F16&lt;&gt;0),F16,"---"),"---")</f>
        <v>---</v>
      </c>
      <c t="str" s="89" r="G41">
        <f>IF(($C16="Pool"),IF((G16&lt;&gt;0),G16,"---"),"---")</f>
        <v>---</v>
      </c>
      <c t="str" s="89" r="H41">
        <f>IF(($C16="Pool"),IF((H16&lt;&gt;0),H16,"---"),"---")</f>
        <v>---</v>
      </c>
      <c t="str" s="89" r="I41">
        <f>IF(($C16="Pool"),IF((I16&lt;&gt;0),I16,"---"),"---")</f>
        <v>---</v>
      </c>
      <c t="str" s="89" r="J41">
        <f>IF(($C16="Pool"),IF((J16&lt;&gt;0),J16,"---"),"---")</f>
        <v>---</v>
      </c>
      <c t="str" s="89" r="K41">
        <f>IF(($C16="Pool"),IF((K16&lt;&gt;0),K16,"---"),"---")</f>
        <v>---</v>
      </c>
      <c t="str" s="89" r="L41">
        <f>IF(($C16="Pool"),IF((L16&lt;&gt;0),L16,"---"),"---")</f>
        <v>---</v>
      </c>
      <c t="str" s="89" r="M41">
        <f>IF(($C16="Pool"),IF((M16&lt;&gt;0),M16,"---"),"---")</f>
        <v>---</v>
      </c>
      <c t="str" s="620" r="N41">
        <f>IF(($C16="Pool"),IF((N16&lt;&gt;0),N16,"---"),"---")</f>
        <v>---</v>
      </c>
      <c t="str" s="89" r="O41">
        <f>IF(($C16="Pool"),IF((O16&lt;&gt;0),O16,"---"),"---")</f>
        <v>---</v>
      </c>
      <c t="str" s="89" r="P41">
        <f>IF(($C16="Pool"),IF((P16&lt;&gt;0),P16,"---"),"---")</f>
        <v>---</v>
      </c>
      <c s="89" r="Q41"/>
      <c t="str" s="89" r="R41">
        <f>IF(($C16="Pool"),IF((R16&lt;&gt;0),R16,"---"),"---")</f>
        <v>---</v>
      </c>
      <c s="89" r="S41"/>
      <c t="str" s="89" r="T41">
        <f>IF(($C16="Pool"),IF((T16&lt;&gt;0),T16,"---"),"---")</f>
        <v>---</v>
      </c>
      <c t="str" s="89" r="U41">
        <f>IF(($C16="Pool"),IF((U16&lt;&gt;0),U16,"---"),"---")</f>
        <v>---</v>
      </c>
      <c t="str" s="89" r="V41">
        <f>IF(($C16="Pool"),IF((V16&lt;&gt;0),V16,"---"),"---")</f>
        <v>---</v>
      </c>
      <c t="str" s="89" r="W41">
        <f>IF(($C16="Pool"),IF((W16&lt;&gt;0),W16,"---"),"---")</f>
        <v>---</v>
      </c>
      <c t="str" s="89" r="X41">
        <f>IF(($C16="Pool"),IF((X16&lt;&gt;0),X16,"---"),"---")</f>
        <v>---</v>
      </c>
      <c t="str" s="89" r="Y41">
        <f>IF(($C16="Pool"),IF((Y16&lt;&gt;0),Y16,"---"),"---")</f>
        <v>---</v>
      </c>
      <c s="51" r="Z41"/>
    </row>
    <row r="42">
      <c s="822" r="A42"/>
      <c s="611" r="B42">
        <v>6</v>
      </c>
      <c t="str" s="475" r="C42">
        <f>IF(($C17="Pool"),C17,"---")</f>
        <v>---</v>
      </c>
      <c t="str" s="89" r="D42">
        <f>IF(($C17="Pool"),IF((D17&lt;&gt;0),D17,"---"),"---")</f>
        <v>---</v>
      </c>
      <c t="str" s="89" r="E42">
        <f>IF(($C17="Pool"),IF((E17&lt;&gt;0),E17,"---"),"---")</f>
        <v>---</v>
      </c>
      <c t="str" s="89" r="F42">
        <f>IF(($C17="Pool"),IF((F17&lt;&gt;0),F17,"---"),"---")</f>
        <v>---</v>
      </c>
      <c t="str" s="89" r="G42">
        <f>IF(($C17="Pool"),IF((G17&lt;&gt;0),G17,"---"),"---")</f>
        <v>---</v>
      </c>
      <c t="str" s="89" r="H42">
        <f>IF(($C17="Pool"),IF((H17&lt;&gt;0),H17,"---"),"---")</f>
        <v>---</v>
      </c>
      <c t="str" s="89" r="I42">
        <f>IF(($C17="Pool"),IF((I17&lt;&gt;0),I17,"---"),"---")</f>
        <v>---</v>
      </c>
      <c t="str" s="89" r="J42">
        <f>IF(($C17="Pool"),IF((J17&lt;&gt;0),J17,"---"),"---")</f>
        <v>---</v>
      </c>
      <c t="str" s="89" r="K42">
        <f>IF(($C17="Pool"),IF((K17&lt;&gt;0),K17,"---"),"---")</f>
        <v>---</v>
      </c>
      <c t="str" s="89" r="L42">
        <f>IF(($C17="Pool"),IF((L17&lt;&gt;0),L17,"---"),"---")</f>
        <v>---</v>
      </c>
      <c t="str" s="89" r="M42">
        <f>IF(($C17="Pool"),IF((M17&lt;&gt;0),M17,"---"),"---")</f>
        <v>---</v>
      </c>
      <c t="str" s="620" r="N42">
        <f>IF(($C17="Pool"),IF((N17&lt;&gt;0),N17,"---"),"---")</f>
        <v>---</v>
      </c>
      <c t="str" s="89" r="O42">
        <f>IF(($C17="Pool"),IF((O17&lt;&gt;0),O17,"---"),"---")</f>
        <v>---</v>
      </c>
      <c t="str" s="89" r="P42">
        <f>IF(($C17="Pool"),IF((P17&lt;&gt;0),P17,"---"),"---")</f>
        <v>---</v>
      </c>
      <c s="89" r="Q42"/>
      <c t="str" s="89" r="R42">
        <f>IF(($C17="Pool"),IF((R17&lt;&gt;0),R17,"---"),"---")</f>
        <v>---</v>
      </c>
      <c s="89" r="S42"/>
      <c t="str" s="89" r="T42">
        <f>IF(($C17="Pool"),IF((T17&lt;&gt;0),T17,"---"),"---")</f>
        <v>---</v>
      </c>
      <c t="str" s="89" r="U42">
        <f>IF(($C17="Pool"),IF((U17&lt;&gt;0),U17,"---"),"---")</f>
        <v>---</v>
      </c>
      <c t="str" s="89" r="V42">
        <f>IF(($C17="Pool"),IF((V17&lt;&gt;0),V17,"---"),"---")</f>
        <v>---</v>
      </c>
      <c t="str" s="89" r="W42">
        <f>IF(($C17="Pool"),IF((W17&lt;&gt;0),W17,"---"),"---")</f>
        <v>---</v>
      </c>
      <c t="str" s="89" r="X42">
        <f>IF(($C17="Pool"),IF((X17&lt;&gt;0),X17,"---"),"---")</f>
        <v>---</v>
      </c>
      <c t="str" s="89" r="Y42">
        <f>IF(($C17="Pool"),IF((Y17&lt;&gt;0),Y17,"---"),"---")</f>
        <v>---</v>
      </c>
      <c s="51" r="Z42"/>
    </row>
    <row r="43">
      <c s="822" r="A43"/>
      <c s="611" r="B43">
        <v>5</v>
      </c>
      <c t="str" s="475" r="C43">
        <f>IF(($C18="Pool"),C18,"---")</f>
        <v>---</v>
      </c>
      <c t="str" s="89" r="D43">
        <f>IF(($C18="Pool"),IF((D18&lt;&gt;0),D18,"---"),"---")</f>
        <v>---</v>
      </c>
      <c t="str" s="89" r="E43">
        <f>IF(($C18="Pool"),IF((E18&lt;&gt;0),E18,"---"),"---")</f>
        <v>---</v>
      </c>
      <c t="str" s="89" r="F43">
        <f>IF(($C18="Pool"),IF((F18&lt;&gt;0),F18,"---"),"---")</f>
        <v>---</v>
      </c>
      <c t="str" s="89" r="G43">
        <f>IF(($C18="Pool"),IF((G18&lt;&gt;0),G18,"---"),"---")</f>
        <v>---</v>
      </c>
      <c t="str" s="89" r="H43">
        <f>IF(($C18="Pool"),IF((H18&lt;&gt;0),H18,"---"),"---")</f>
        <v>---</v>
      </c>
      <c t="str" s="89" r="I43">
        <f>IF(($C18="Pool"),IF((I18&lt;&gt;0),I18,"---"),"---")</f>
        <v>---</v>
      </c>
      <c t="str" s="89" r="J43">
        <f>IF(($C18="Pool"),IF((J18&lt;&gt;0),J18,"---"),"---")</f>
        <v>---</v>
      </c>
      <c t="str" s="89" r="K43">
        <f>IF(($C18="Pool"),IF((K18&lt;&gt;0),K18,"---"),"---")</f>
        <v>---</v>
      </c>
      <c t="str" s="89" r="L43">
        <f>IF(($C18="Pool"),IF((L18&lt;&gt;0),L18,"---"),"---")</f>
        <v>---</v>
      </c>
      <c t="str" s="89" r="M43">
        <f>IF(($C18="Pool"),IF((M18&lt;&gt;0),M18,"---"),"---")</f>
        <v>---</v>
      </c>
      <c t="str" s="620" r="N43">
        <f>IF(($C18="Pool"),IF((N18&lt;&gt;0),N18,"---"),"---")</f>
        <v>---</v>
      </c>
      <c t="str" s="89" r="O43">
        <f>IF(($C18="Pool"),IF((O18&lt;&gt;0),O18,"---"),"---")</f>
        <v>---</v>
      </c>
      <c t="str" s="89" r="P43">
        <f>IF(($C18="Pool"),IF((P18&lt;&gt;0),P18,"---"),"---")</f>
        <v>---</v>
      </c>
      <c s="89" r="Q43"/>
      <c t="str" s="89" r="R43">
        <f>IF(($C18="Pool"),IF((R18&lt;&gt;0),R18,"---"),"---")</f>
        <v>---</v>
      </c>
      <c s="89" r="S43"/>
      <c t="str" s="89" r="T43">
        <f>IF(($C18="Pool"),IF((T18&lt;&gt;0),T18,"---"),"---")</f>
        <v>---</v>
      </c>
      <c t="str" s="89" r="U43">
        <f>IF(($C18="Pool"),IF((U18&lt;&gt;0),U18,"---"),"---")</f>
        <v>---</v>
      </c>
      <c t="str" s="89" r="V43">
        <f>IF(($C18="Pool"),IF((V18&lt;&gt;0),V18,"---"),"---")</f>
        <v>---</v>
      </c>
      <c t="str" s="89" r="W43">
        <f>IF(($C18="Pool"),IF((W18&lt;&gt;0),W18,"---"),"---")</f>
        <v>---</v>
      </c>
      <c t="str" s="89" r="X43">
        <f>IF(($C18="Pool"),IF((X18&lt;&gt;0),X18,"---"),"---")</f>
        <v>---</v>
      </c>
      <c t="str" s="89" r="Y43">
        <f>IF(($C18="Pool"),IF((Y18&lt;&gt;0),Y18,"---"),"---")</f>
        <v>---</v>
      </c>
      <c s="51" r="Z43"/>
    </row>
    <row r="44">
      <c s="822" r="A44"/>
      <c s="611" r="B44"/>
      <c s="475" r="C44"/>
      <c s="89" r="D44"/>
      <c s="89" r="E44"/>
      <c s="89" r="F44"/>
      <c s="89" r="G44"/>
      <c s="89" r="H44"/>
      <c s="89" r="I44"/>
      <c s="89" r="J44"/>
      <c s="89" r="K44"/>
      <c s="89" r="L44"/>
      <c s="89" r="M44"/>
      <c s="620" r="N44"/>
      <c s="89" r="O44"/>
      <c s="89" r="P44"/>
      <c s="89" r="Q44"/>
      <c s="89" r="R44"/>
      <c s="89" r="S44"/>
      <c s="89" r="T44"/>
      <c s="89" r="U44"/>
      <c s="89" r="V44"/>
      <c s="89" r="W44"/>
      <c s="89" r="X44"/>
      <c s="89" r="Y44"/>
      <c s="51" r="Z44"/>
    </row>
    <row r="45">
      <c s="822" r="A45"/>
      <c s="611" r="B45"/>
      <c s="475" r="C45"/>
      <c s="89" r="D45"/>
      <c s="89" r="E45"/>
      <c s="89" r="F45"/>
      <c s="89" r="G45"/>
      <c s="89" r="H45"/>
      <c s="89" r="I45"/>
      <c s="89" r="J45"/>
      <c s="89" r="K45"/>
      <c s="89" r="L45"/>
      <c s="89" r="M45"/>
      <c s="620" r="N45"/>
      <c s="89" r="O45"/>
      <c s="89" r="P45"/>
      <c s="89" r="Q45"/>
      <c s="89" r="R45"/>
      <c s="89" r="S45"/>
      <c s="89" r="T45"/>
      <c s="89" r="U45"/>
      <c s="89" r="V45"/>
      <c s="89" r="W45"/>
      <c s="89" r="X45"/>
      <c s="89" r="Y45"/>
      <c s="51" r="Z45"/>
    </row>
    <row r="46">
      <c s="822" r="A46"/>
      <c s="611" r="B46"/>
      <c s="475" r="C46"/>
      <c s="89" r="D46"/>
      <c s="89" r="E46"/>
      <c s="89" r="F46"/>
      <c s="89" r="G46"/>
      <c s="89" r="H46"/>
      <c s="89" r="I46"/>
      <c s="89" r="J46"/>
      <c s="89" r="K46"/>
      <c s="89" r="L46"/>
      <c s="89" r="M46"/>
      <c s="620" r="N46"/>
      <c s="89" r="O46"/>
      <c s="89" r="P46"/>
      <c s="89" r="Q46"/>
      <c s="89" r="R46"/>
      <c s="89" r="S46"/>
      <c s="89" r="T46"/>
      <c s="89" r="U46"/>
      <c s="89" r="V46"/>
      <c s="89" r="W46"/>
      <c s="89" r="X46"/>
      <c s="89" r="Y46"/>
      <c s="51" r="Z46"/>
    </row>
    <row r="47">
      <c s="822" r="A47"/>
      <c s="611" r="B47"/>
      <c s="475" r="C47"/>
      <c s="89" r="D47"/>
      <c s="89" r="E47"/>
      <c s="89" r="F47"/>
      <c s="89" r="G47"/>
      <c s="89" r="H47"/>
      <c s="89" r="I47"/>
      <c s="89" r="J47"/>
      <c s="89" r="K47"/>
      <c s="89" r="L47"/>
      <c s="89" r="M47"/>
      <c s="620" r="N47"/>
      <c s="89" r="O47"/>
      <c s="89" r="P47"/>
      <c s="89" r="Q47"/>
      <c s="89" r="R47"/>
      <c s="89" r="S47"/>
      <c s="89" r="T47"/>
      <c s="89" r="U47"/>
      <c s="89" r="V47"/>
      <c s="89" r="W47"/>
      <c s="89" r="X47"/>
      <c s="89" r="Y47"/>
      <c s="51" r="Z47"/>
    </row>
    <row customHeight="1" r="48" ht="13.5">
      <c s="822" r="A48"/>
      <c s="875" r="B48"/>
      <c s="14" r="C48"/>
      <c s="804" r="D48"/>
      <c s="804" r="E48"/>
      <c s="804" r="F48"/>
      <c s="804" r="G48"/>
      <c s="804" r="H48"/>
      <c s="804" r="I48"/>
      <c s="804" r="J48"/>
      <c s="804" r="K48"/>
      <c s="804" r="L48"/>
      <c s="804" r="M48"/>
      <c s="400" r="N48"/>
      <c s="804" r="O48"/>
      <c s="804" r="P48"/>
      <c s="804" r="Q48"/>
      <c s="804" r="R48"/>
      <c s="804" r="S48"/>
      <c s="804" r="T48"/>
      <c s="804" r="U48"/>
      <c s="804" r="V48"/>
      <c s="804" r="W48"/>
      <c s="804" r="X48"/>
      <c s="804" r="Y48"/>
      <c s="51" r="Z48"/>
    </row>
    <row r="49">
      <c s="125" r="A49"/>
      <c s="614" r="B49"/>
      <c s="614" r="C49"/>
      <c s="614" r="D49"/>
      <c s="614" r="E49"/>
      <c s="614" r="F49"/>
      <c s="614" r="G49"/>
      <c s="614" r="H49"/>
      <c s="614" r="I49"/>
      <c s="614" r="J49"/>
      <c s="614" r="K49"/>
      <c s="614" r="L49"/>
      <c s="614" r="M49"/>
      <c s="614" r="N49"/>
      <c s="614" r="O49"/>
      <c s="614" r="P49"/>
      <c s="614" r="Q49"/>
      <c s="614" r="R49"/>
      <c s="614" r="S49"/>
      <c s="614" r="T49"/>
      <c s="614" r="U49"/>
      <c s="614" r="V49"/>
      <c s="614" r="W49"/>
      <c s="614" r="X49"/>
      <c s="614" r="Y49"/>
      <c s="125" r="Z49"/>
    </row>
    <row r="50">
      <c s="125" r="A50"/>
      <c s="125" r="B50"/>
      <c s="125" r="C50"/>
      <c s="125" r="D50"/>
      <c s="125" r="E50"/>
      <c s="125" r="F50"/>
      <c s="125" r="G50"/>
      <c s="125" r="H50"/>
      <c s="125" r="I50"/>
      <c s="125" r="J50"/>
      <c s="125" r="K50"/>
      <c s="125" r="L50"/>
      <c s="125" r="M50"/>
      <c s="125" r="N50"/>
      <c s="125" r="O50"/>
      <c s="125" r="P50"/>
      <c s="125" r="Q50"/>
      <c s="125" r="R50"/>
      <c s="125" r="S50"/>
      <c s="125" r="T50"/>
      <c s="125" r="U50"/>
      <c s="125" r="V50"/>
      <c s="125" r="W50"/>
      <c s="125" r="X50"/>
      <c s="125" r="Y50"/>
      <c s="125" r="Z50"/>
    </row>
    <row r="51">
      <c s="125" r="A51"/>
      <c s="125" r="B51"/>
      <c s="125" r="C51"/>
      <c s="125" r="D51"/>
      <c s="125" r="E51"/>
      <c s="125" r="F51"/>
      <c s="125" r="G51"/>
      <c s="125" r="H51"/>
      <c s="125" r="I51"/>
      <c s="125" r="J51"/>
      <c s="125" r="K51"/>
      <c s="125" r="L51"/>
      <c s="125" r="M51"/>
      <c s="125" r="N51"/>
      <c s="125" r="O51"/>
      <c s="125" r="P51"/>
      <c s="125" r="Q51"/>
      <c s="125" r="R51"/>
      <c s="125" r="S51"/>
      <c s="125" r="T51"/>
      <c s="125" r="U51"/>
      <c s="125" r="V51"/>
      <c s="125" r="W51"/>
      <c s="125" r="X51"/>
      <c s="125" r="Y51"/>
      <c s="125" r="Z51"/>
    </row>
    <row r="52">
      <c s="125" r="A52"/>
      <c s="125" r="B52"/>
      <c s="125" r="C52"/>
      <c s="125" r="D52"/>
      <c s="125" r="E52"/>
      <c s="125" r="F52"/>
      <c s="125" r="G52"/>
      <c s="125" r="H52"/>
      <c s="125" r="I52"/>
      <c s="125" r="J52"/>
      <c s="125" r="K52"/>
      <c s="125" r="L52"/>
      <c s="125" r="M52"/>
      <c s="125" r="N52"/>
      <c s="125" r="O52"/>
      <c s="125" r="P52"/>
      <c s="125" r="Q52"/>
      <c s="125" r="R52"/>
      <c s="125" r="S52"/>
      <c s="125" r="T52"/>
      <c s="125" r="U52"/>
      <c s="125" r="V52"/>
      <c s="125" r="W52"/>
      <c s="125" r="X52"/>
      <c s="125" r="Y52"/>
      <c s="125" r="Z52"/>
    </row>
    <row r="53">
      <c s="125" r="A53"/>
      <c s="125" r="B53"/>
      <c s="125" r="C53"/>
      <c s="125" r="D53"/>
      <c s="125" r="E53"/>
      <c s="125" r="F53"/>
      <c s="125" r="G53"/>
      <c s="125" r="H53"/>
      <c s="125" r="I53"/>
      <c s="125" r="J53"/>
      <c s="125" r="K53"/>
      <c s="125" r="L53"/>
      <c s="125" r="M53"/>
      <c s="125" r="N53"/>
      <c s="125" r="O53"/>
      <c s="125" r="P53"/>
      <c s="125" r="Q53"/>
      <c s="125" r="R53"/>
      <c s="125" r="S53"/>
      <c s="125" r="T53"/>
      <c s="125" r="U53"/>
      <c s="125" r="V53"/>
      <c s="125" r="W53"/>
      <c s="125" r="X53"/>
      <c s="125" r="Y53"/>
      <c s="125" r="Z53"/>
    </row>
    <row r="54">
      <c s="125" r="A54"/>
      <c s="125" r="B54"/>
      <c s="125" r="C54"/>
      <c s="125" r="D54"/>
      <c s="125" r="E54"/>
      <c s="125" r="F54"/>
      <c s="125" r="G54"/>
      <c s="125" r="H54"/>
      <c s="125" r="I54"/>
      <c s="125" r="J54"/>
      <c s="125" r="K54"/>
      <c s="125" r="L54"/>
      <c s="125" r="M54"/>
      <c s="125" r="N54"/>
      <c s="125" r="O54"/>
      <c s="125" r="P54"/>
      <c t="s" s="125" r="Q54">
        <v>2</v>
      </c>
      <c s="125" r="R54"/>
      <c s="125" r="S54"/>
      <c s="125" r="T54"/>
      <c s="125" r="U54"/>
      <c s="125" r="V54"/>
      <c s="125" r="W54"/>
      <c s="125" r="X54"/>
      <c s="125" r="Y54"/>
      <c s="125" r="Z54"/>
    </row>
  </sheetData>
  <conditionalFormatting sqref="Y24">
    <cfRule priority="1" type="cellIs" operator="notBetween" stopIfTrue="1" dxfId="3">
      <formula>0.1</formula>
      <formula>120</formula>
    </cfRule>
  </conditionalFormatting>
  <legacyDrawing r:id="rId2"/>
</worksheet>
</file>